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268" yWindow="-12" windowWidth="14136" windowHeight="13932" activeTab="4"/>
  </bookViews>
  <sheets>
    <sheet name="Eingabe und Übersicht" sheetId="6" r:id="rId1"/>
    <sheet name="Wirtschaftlichkeit" sheetId="1" r:id="rId2"/>
    <sheet name="Prämissen" sheetId="3" r:id="rId3"/>
    <sheet name="Listen" sheetId="4" r:id="rId4"/>
    <sheet name="Beziehungen_Schlüsselvariablen" sheetId="9" r:id="rId5"/>
    <sheet name="Sensitivitätsanalyse" sheetId="10" r:id="rId6"/>
    <sheet name="AbschätzungStromverbrauch" sheetId="11" r:id="rId7"/>
  </sheets>
  <definedNames>
    <definedName name="Anwendungsbereich">Listen!#REF!</definedName>
    <definedName name="HFKW">Listen!$B$4:$B$20</definedName>
    <definedName name="Natürliche">Listen!$B$28:$B$32</definedName>
    <definedName name="_xlnm.Print_Area" localSheetId="4">Beziehungen_Schlüsselvariablen!$E$2:$AA$12</definedName>
    <definedName name="_xlnm.Print_Area" localSheetId="0">'Eingabe und Übersicht'!$B$7:$E$37</definedName>
  </definedNames>
  <calcPr calcId="152511"/>
</workbook>
</file>

<file path=xl/calcChain.xml><?xml version="1.0" encoding="utf-8"?>
<calcChain xmlns="http://schemas.openxmlformats.org/spreadsheetml/2006/main">
  <c r="O23" i="9" l="1"/>
  <c r="G23" i="9"/>
  <c r="O22" i="9"/>
  <c r="G22" i="9"/>
  <c r="O21" i="9"/>
  <c r="G21" i="9"/>
  <c r="T20" i="9"/>
  <c r="S20" i="9"/>
  <c r="R20" i="9"/>
  <c r="Q20" i="9"/>
  <c r="P20" i="9"/>
  <c r="O20" i="9"/>
  <c r="L20" i="9"/>
  <c r="K20" i="9"/>
  <c r="J20" i="9"/>
  <c r="I20" i="9"/>
  <c r="H20" i="9"/>
  <c r="G20" i="9"/>
  <c r="O30" i="9"/>
  <c r="G30" i="9"/>
  <c r="O29" i="9"/>
  <c r="G29" i="9"/>
  <c r="O28" i="9"/>
  <c r="G28" i="9"/>
  <c r="T27" i="9"/>
  <c r="S27" i="9"/>
  <c r="R27" i="9"/>
  <c r="Q27" i="9"/>
  <c r="P27" i="9"/>
  <c r="O27" i="9"/>
  <c r="L27" i="9"/>
  <c r="K27" i="9"/>
  <c r="J27" i="9"/>
  <c r="I27" i="9"/>
  <c r="H27" i="9"/>
  <c r="G27" i="9"/>
  <c r="O37" i="9"/>
  <c r="G37" i="9"/>
  <c r="O36" i="9"/>
  <c r="G36" i="9"/>
  <c r="O35" i="9"/>
  <c r="G35" i="9"/>
  <c r="T34" i="9"/>
  <c r="S34" i="9"/>
  <c r="R34" i="9"/>
  <c r="Q34" i="9"/>
  <c r="P34" i="9"/>
  <c r="O34" i="9"/>
  <c r="L34" i="9"/>
  <c r="K34" i="9"/>
  <c r="J34" i="9"/>
  <c r="I34" i="9"/>
  <c r="H34" i="9"/>
  <c r="G34" i="9"/>
  <c r="O45" i="9"/>
  <c r="G45" i="9"/>
  <c r="O44" i="9"/>
  <c r="G44" i="9"/>
  <c r="O43" i="9"/>
  <c r="G43" i="9"/>
  <c r="T42" i="9"/>
  <c r="S42" i="9"/>
  <c r="R42" i="9"/>
  <c r="Q42" i="9"/>
  <c r="P42" i="9"/>
  <c r="O42" i="9"/>
  <c r="L42" i="9"/>
  <c r="K42" i="9"/>
  <c r="J42" i="9"/>
  <c r="I42" i="9"/>
  <c r="H42" i="9"/>
  <c r="G42" i="9"/>
  <c r="D14" i="3"/>
  <c r="F26" i="10" l="1"/>
  <c r="H25" i="10"/>
  <c r="G25" i="10"/>
  <c r="E25" i="10"/>
  <c r="D25" i="10"/>
  <c r="O14" i="9" l="1"/>
  <c r="O13" i="9"/>
  <c r="O12" i="9"/>
  <c r="T11" i="9"/>
  <c r="S11" i="9"/>
  <c r="R11" i="9"/>
  <c r="Q11" i="9"/>
  <c r="P11" i="9"/>
  <c r="G14" i="9"/>
  <c r="G13" i="9"/>
  <c r="G12" i="9"/>
  <c r="L11" i="9"/>
  <c r="K11" i="9"/>
  <c r="J11" i="9"/>
  <c r="I11" i="9"/>
  <c r="H11" i="9"/>
  <c r="B55" i="4"/>
  <c r="B54" i="4"/>
  <c r="B53" i="4"/>
  <c r="B52" i="4"/>
  <c r="Q4" i="10" l="1"/>
  <c r="P3" i="10"/>
  <c r="O3" i="10"/>
  <c r="K3" i="10"/>
  <c r="H13" i="10" l="1"/>
  <c r="F32" i="10"/>
  <c r="F33" i="10"/>
  <c r="D8" i="9"/>
  <c r="E18" i="6" s="1"/>
  <c r="D6" i="1" s="1"/>
  <c r="D9" i="9"/>
  <c r="D4" i="1" l="1"/>
  <c r="M3" i="10"/>
  <c r="E7" i="11"/>
  <c r="H38" i="10"/>
  <c r="G38" i="10"/>
  <c r="H31" i="10"/>
  <c r="H32" i="10" s="1"/>
  <c r="G31" i="10"/>
  <c r="G32" i="10" s="1"/>
  <c r="H19" i="10"/>
  <c r="G19" i="10"/>
  <c r="E38" i="10"/>
  <c r="D38" i="10"/>
  <c r="E31" i="10"/>
  <c r="E32" i="10" s="1"/>
  <c r="D31" i="10"/>
  <c r="D32" i="10" s="1"/>
  <c r="E19" i="10"/>
  <c r="D19" i="10"/>
  <c r="F39" i="10"/>
  <c r="F20" i="10"/>
  <c r="D13" i="10"/>
  <c r="E13" i="10"/>
  <c r="E27" i="6"/>
  <c r="Q5" i="10" l="1"/>
  <c r="D9" i="3" l="1"/>
  <c r="D5" i="3"/>
  <c r="E8" i="11"/>
  <c r="E10" i="11" l="1"/>
  <c r="D12" i="3"/>
  <c r="D14" i="1" s="1"/>
  <c r="D28" i="1" s="1"/>
  <c r="D11" i="3"/>
  <c r="D11" i="1" s="1"/>
  <c r="F14" i="10"/>
  <c r="E11" i="11" l="1"/>
  <c r="E12" i="11" s="1"/>
  <c r="E21" i="11"/>
  <c r="E22" i="11" s="1"/>
  <c r="D31" i="1"/>
  <c r="D10" i="1"/>
  <c r="D16" i="1" s="1"/>
  <c r="E26" i="6" l="1"/>
  <c r="F75" i="1" s="1"/>
  <c r="D19" i="1" l="1"/>
  <c r="D33" i="1"/>
  <c r="N20" i="4"/>
  <c r="N18" i="4"/>
  <c r="K29" i="4"/>
  <c r="N8" i="4" l="1"/>
  <c r="N5" i="4"/>
  <c r="N3" i="4"/>
  <c r="H68" i="1" l="1"/>
  <c r="I68" i="1"/>
  <c r="J68" i="1"/>
  <c r="L68" i="1"/>
  <c r="M68" i="1"/>
  <c r="N68" i="1"/>
  <c r="O68" i="1"/>
  <c r="P68" i="1"/>
  <c r="Q68" i="1"/>
  <c r="R68" i="1"/>
  <c r="S68" i="1"/>
  <c r="T68" i="1"/>
  <c r="V68" i="1"/>
  <c r="W68" i="1"/>
  <c r="X68" i="1"/>
  <c r="Y68" i="1"/>
  <c r="AA68" i="1"/>
  <c r="AB68" i="1"/>
  <c r="AC68" i="1"/>
  <c r="AD68" i="1"/>
  <c r="G68" i="1"/>
  <c r="E5" i="6" l="1"/>
  <c r="D12" i="1" s="1"/>
  <c r="K20" i="4"/>
  <c r="K19" i="4"/>
  <c r="K18" i="4"/>
  <c r="K17" i="4"/>
  <c r="K16" i="4"/>
  <c r="K15" i="4"/>
  <c r="K14" i="4"/>
  <c r="K13" i="4"/>
  <c r="K12" i="4"/>
  <c r="K11" i="4"/>
  <c r="K10" i="4"/>
  <c r="K9" i="4"/>
  <c r="K8" i="4"/>
  <c r="K7" i="4"/>
  <c r="K6" i="4"/>
  <c r="I6" i="4"/>
  <c r="I7" i="4"/>
  <c r="I8" i="4"/>
  <c r="I9" i="4"/>
  <c r="I10" i="4"/>
  <c r="I11" i="4"/>
  <c r="I12" i="4"/>
  <c r="I13" i="4"/>
  <c r="I14" i="4"/>
  <c r="I15" i="4"/>
  <c r="I16" i="4"/>
  <c r="I17" i="4"/>
  <c r="I18" i="4"/>
  <c r="I19" i="4"/>
  <c r="I20" i="4"/>
  <c r="I5" i="4"/>
  <c r="J5" i="4"/>
  <c r="K5" i="4" s="1"/>
  <c r="AD67" i="1" l="1"/>
  <c r="W67" i="1"/>
  <c r="H67" i="1"/>
  <c r="X67" i="1"/>
  <c r="Q67" i="1"/>
  <c r="J67" i="1"/>
  <c r="S67" i="1"/>
  <c r="AB67" i="1"/>
  <c r="F67" i="1"/>
  <c r="AB50" i="1"/>
  <c r="X50" i="1"/>
  <c r="T50" i="1"/>
  <c r="P50" i="1"/>
  <c r="L50" i="1"/>
  <c r="AC50" i="1"/>
  <c r="Y50" i="1"/>
  <c r="U50" i="1"/>
  <c r="Q50" i="1"/>
  <c r="M50" i="1"/>
  <c r="AD50" i="1"/>
  <c r="Z50" i="1"/>
  <c r="V50" i="1"/>
  <c r="R50" i="1"/>
  <c r="N50" i="1"/>
  <c r="AE50" i="1"/>
  <c r="AA50" i="1"/>
  <c r="W50" i="1"/>
  <c r="S50" i="1"/>
  <c r="O50" i="1"/>
  <c r="G50" i="1"/>
  <c r="I50" i="1"/>
  <c r="J50" i="1"/>
  <c r="K50" i="1"/>
  <c r="H50" i="1"/>
  <c r="D34" i="1"/>
  <c r="W43" i="1"/>
  <c r="W75" i="1" s="1"/>
  <c r="AE43" i="1"/>
  <c r="AE75" i="1" s="1"/>
  <c r="AD43" i="1"/>
  <c r="AC43" i="1"/>
  <c r="AC75" i="1" s="1"/>
  <c r="AB43" i="1"/>
  <c r="AA43" i="1"/>
  <c r="AA75" i="1" s="1"/>
  <c r="K43" i="1"/>
  <c r="K75" i="1" s="1"/>
  <c r="L43" i="1"/>
  <c r="L67" i="1" s="1"/>
  <c r="J43" i="1"/>
  <c r="J75" i="1" s="1"/>
  <c r="I43" i="1"/>
  <c r="I75" i="1" s="1"/>
  <c r="T43" i="1"/>
  <c r="T75" i="1" s="1"/>
  <c r="Z43" i="1"/>
  <c r="Z67" i="1" s="1"/>
  <c r="S43" i="1"/>
  <c r="S75" i="1" s="1"/>
  <c r="R43" i="1"/>
  <c r="R75" i="1" s="1"/>
  <c r="Q43" i="1"/>
  <c r="P43" i="1"/>
  <c r="H43" i="1"/>
  <c r="H75" i="1" s="1"/>
  <c r="G43" i="1"/>
  <c r="G75" i="1" s="1"/>
  <c r="O43" i="1"/>
  <c r="O75" i="1" s="1"/>
  <c r="Y43" i="1"/>
  <c r="Y75" i="1" s="1"/>
  <c r="V43" i="1"/>
  <c r="V75" i="1" s="1"/>
  <c r="N43" i="1"/>
  <c r="N75" i="1" s="1"/>
  <c r="X43" i="1"/>
  <c r="X75" i="1" s="1"/>
  <c r="U43" i="1"/>
  <c r="U67" i="1" s="1"/>
  <c r="M43" i="1"/>
  <c r="M75" i="1" s="1"/>
  <c r="AA66" i="1" l="1"/>
  <c r="AB66" i="1"/>
  <c r="AB75" i="1"/>
  <c r="AB79" i="1" s="1"/>
  <c r="S66" i="1"/>
  <c r="M67" i="1"/>
  <c r="AA67" i="1"/>
  <c r="AA79" i="1" s="1"/>
  <c r="R67" i="1"/>
  <c r="I67" i="1"/>
  <c r="AE67" i="1"/>
  <c r="V67" i="1"/>
  <c r="U66" i="1"/>
  <c r="U75" i="1"/>
  <c r="P74" i="1"/>
  <c r="P75" i="1"/>
  <c r="Z74" i="1"/>
  <c r="Z75" i="1"/>
  <c r="L66" i="1"/>
  <c r="L75" i="1"/>
  <c r="R66" i="1"/>
  <c r="Z66" i="1"/>
  <c r="N67" i="1"/>
  <c r="Q66" i="1"/>
  <c r="Q75" i="1"/>
  <c r="AD66" i="1"/>
  <c r="AD75" i="1"/>
  <c r="T66" i="1"/>
  <c r="V66" i="1"/>
  <c r="AC67" i="1"/>
  <c r="T67" i="1"/>
  <c r="K67" i="1"/>
  <c r="Y67" i="1"/>
  <c r="P67" i="1"/>
  <c r="O67" i="1"/>
  <c r="G67" i="1"/>
  <c r="P66" i="1"/>
  <c r="AE74" i="1"/>
  <c r="M74" i="1"/>
  <c r="Y74" i="1"/>
  <c r="AC74" i="1"/>
  <c r="Y66" i="1"/>
  <c r="O74" i="1"/>
  <c r="T74" i="1"/>
  <c r="AD74" i="1"/>
  <c r="O66" i="1"/>
  <c r="D43" i="1"/>
  <c r="G74" i="1"/>
  <c r="H74" i="1"/>
  <c r="W74" i="1"/>
  <c r="U74" i="1"/>
  <c r="X74" i="1"/>
  <c r="Q74" i="1"/>
  <c r="K74" i="1"/>
  <c r="X66" i="1"/>
  <c r="I74" i="1"/>
  <c r="J74" i="1"/>
  <c r="L74" i="1"/>
  <c r="N74" i="1"/>
  <c r="R74" i="1"/>
  <c r="AA74" i="1"/>
  <c r="AC66" i="1"/>
  <c r="AE66" i="1"/>
  <c r="V74" i="1"/>
  <c r="S74" i="1"/>
  <c r="AB74" i="1"/>
  <c r="M66" i="1"/>
  <c r="W66" i="1"/>
  <c r="N66" i="1"/>
  <c r="D25" i="1"/>
  <c r="D26" i="1"/>
  <c r="D29" i="1"/>
  <c r="AC79" i="1" l="1"/>
  <c r="H66" i="1"/>
  <c r="K66" i="1"/>
  <c r="I66" i="1"/>
  <c r="G66" i="1"/>
  <c r="J66" i="1"/>
  <c r="F66" i="1"/>
  <c r="D45" i="1"/>
  <c r="D24" i="1"/>
  <c r="D23" i="1"/>
  <c r="D17" i="1"/>
  <c r="D15" i="1"/>
  <c r="D18" i="1"/>
  <c r="K65" i="1" l="1"/>
  <c r="H65" i="1"/>
  <c r="J65" i="1"/>
  <c r="G65" i="1"/>
  <c r="F65" i="1"/>
  <c r="D32" i="1"/>
  <c r="V65" i="1" s="1"/>
  <c r="J64" i="1"/>
  <c r="K64" i="1"/>
  <c r="G64" i="1"/>
  <c r="H64" i="1"/>
  <c r="I64" i="1"/>
  <c r="L64" i="1"/>
  <c r="T64" i="1"/>
  <c r="AB64" i="1"/>
  <c r="M64" i="1"/>
  <c r="AC64" i="1"/>
  <c r="AD64" i="1"/>
  <c r="W64" i="1"/>
  <c r="Y64" i="1"/>
  <c r="R64" i="1"/>
  <c r="N64" i="1"/>
  <c r="P64" i="1"/>
  <c r="S64" i="1"/>
  <c r="AA64" i="1"/>
  <c r="U64" i="1"/>
  <c r="V64" i="1"/>
  <c r="O64" i="1"/>
  <c r="AE64" i="1"/>
  <c r="X64" i="1"/>
  <c r="Q64" i="1"/>
  <c r="Z64" i="1"/>
  <c r="F64" i="1"/>
  <c r="AA72" i="1"/>
  <c r="AB72" i="1"/>
  <c r="AE72" i="1"/>
  <c r="AD72" i="1"/>
  <c r="AC72" i="1"/>
  <c r="Z72" i="1"/>
  <c r="V45" i="1"/>
  <c r="AE45" i="1"/>
  <c r="AD45" i="1"/>
  <c r="AC45" i="1"/>
  <c r="AB45" i="1"/>
  <c r="AA45" i="1"/>
  <c r="Z45" i="1"/>
  <c r="F68" i="1"/>
  <c r="D27" i="1"/>
  <c r="D13" i="1"/>
  <c r="I45" i="1"/>
  <c r="M45" i="1"/>
  <c r="Q45" i="1"/>
  <c r="U45" i="1"/>
  <c r="Y45" i="1"/>
  <c r="H45" i="1"/>
  <c r="L45" i="1"/>
  <c r="P45" i="1"/>
  <c r="T45" i="1"/>
  <c r="X45" i="1"/>
  <c r="G45" i="1"/>
  <c r="K45" i="1"/>
  <c r="O45" i="1"/>
  <c r="S45" i="1"/>
  <c r="W45" i="1"/>
  <c r="F45" i="1"/>
  <c r="J45" i="1"/>
  <c r="N45" i="1"/>
  <c r="R45" i="1"/>
  <c r="I65" i="1" l="1"/>
  <c r="O65" i="1"/>
  <c r="Y65" i="1"/>
  <c r="AC65" i="1"/>
  <c r="AC69" i="1" s="1"/>
  <c r="N65" i="1"/>
  <c r="P65" i="1"/>
  <c r="AE65" i="1"/>
  <c r="W65" i="1"/>
  <c r="T65" i="1"/>
  <c r="AA65" i="1"/>
  <c r="AA69" i="1" s="1"/>
  <c r="AB65" i="1"/>
  <c r="AB69" i="1" s="1"/>
  <c r="Z65" i="1"/>
  <c r="L65" i="1"/>
  <c r="U65" i="1"/>
  <c r="M65" i="1"/>
  <c r="S65" i="1"/>
  <c r="AD65" i="1"/>
  <c r="AD69" i="1" s="1"/>
  <c r="G69" i="1"/>
  <c r="Q65" i="1"/>
  <c r="R65" i="1"/>
  <c r="X65" i="1"/>
  <c r="AB73" i="1"/>
  <c r="AB76" i="1" s="1"/>
  <c r="AD73" i="1"/>
  <c r="AD76" i="1" s="1"/>
  <c r="AC73" i="1"/>
  <c r="AC76" i="1" s="1"/>
  <c r="AE73" i="1"/>
  <c r="AE76" i="1" s="1"/>
  <c r="AA73" i="1"/>
  <c r="AA76" i="1" s="1"/>
  <c r="Z51" i="1"/>
  <c r="AE51" i="1"/>
  <c r="AA51" i="1"/>
  <c r="AB51" i="1"/>
  <c r="AC51" i="1"/>
  <c r="AD51" i="1"/>
  <c r="Z53" i="1"/>
  <c r="AB53" i="1"/>
  <c r="AA53" i="1"/>
  <c r="AC53" i="1"/>
  <c r="AE53" i="1"/>
  <c r="AD53" i="1"/>
  <c r="Z73" i="1"/>
  <c r="Z76" i="1" s="1"/>
  <c r="K68" i="1"/>
  <c r="P51" i="1"/>
  <c r="I51" i="1"/>
  <c r="J51" i="1"/>
  <c r="O51" i="1"/>
  <c r="Y51" i="1"/>
  <c r="F74" i="1"/>
  <c r="V72" i="1"/>
  <c r="R72" i="1"/>
  <c r="G72" i="1"/>
  <c r="P72" i="1"/>
  <c r="I72" i="1"/>
  <c r="F72" i="1"/>
  <c r="K72" i="1"/>
  <c r="X72" i="1"/>
  <c r="M72" i="1"/>
  <c r="J72" i="1"/>
  <c r="O72" i="1"/>
  <c r="L72" i="1"/>
  <c r="U72" i="1"/>
  <c r="Q72" i="1"/>
  <c r="N72" i="1"/>
  <c r="S72" i="1"/>
  <c r="T72" i="1"/>
  <c r="H72" i="1"/>
  <c r="Y72" i="1"/>
  <c r="W72" i="1"/>
  <c r="D44" i="1"/>
  <c r="AC55" i="1" l="1"/>
  <c r="AA55" i="1"/>
  <c r="AB55" i="1"/>
  <c r="Z55" i="1"/>
  <c r="AD55" i="1"/>
  <c r="AE55" i="1"/>
  <c r="AB91" i="1"/>
  <c r="AA91" i="1"/>
  <c r="AD91" i="1"/>
  <c r="AC91" i="1"/>
  <c r="AC81" i="1"/>
  <c r="AB81" i="1"/>
  <c r="U68" i="1"/>
  <c r="U79" i="1" s="1"/>
  <c r="Z68" i="1"/>
  <c r="Z79" i="1" s="1"/>
  <c r="AD81" i="1"/>
  <c r="AD79" i="1"/>
  <c r="AA83" i="1"/>
  <c r="AD83" i="1"/>
  <c r="AE81" i="1"/>
  <c r="AB83" i="1"/>
  <c r="AC83" i="1"/>
  <c r="AA81" i="1"/>
  <c r="Z81" i="1"/>
  <c r="Q79" i="1"/>
  <c r="S79" i="1"/>
  <c r="R51" i="1"/>
  <c r="H79" i="1"/>
  <c r="M51" i="1"/>
  <c r="P79" i="1"/>
  <c r="Q51" i="1"/>
  <c r="K51" i="1"/>
  <c r="W79" i="1"/>
  <c r="L79" i="1"/>
  <c r="M79" i="1"/>
  <c r="N51" i="1"/>
  <c r="O79" i="1"/>
  <c r="V79" i="1"/>
  <c r="N79" i="1"/>
  <c r="W51" i="1"/>
  <c r="G79" i="1"/>
  <c r="R79" i="1"/>
  <c r="I79" i="1"/>
  <c r="J79" i="1"/>
  <c r="F51" i="1"/>
  <c r="L51" i="1"/>
  <c r="G51" i="1"/>
  <c r="H51" i="1"/>
  <c r="V51" i="1"/>
  <c r="X51" i="1"/>
  <c r="S51" i="1"/>
  <c r="T51" i="1"/>
  <c r="U51" i="1"/>
  <c r="G44" i="1"/>
  <c r="H44" i="1" s="1"/>
  <c r="I44" i="1" s="1"/>
  <c r="J44" i="1" s="1"/>
  <c r="K44" i="1" s="1"/>
  <c r="L44" i="1" s="1"/>
  <c r="M44" i="1" s="1"/>
  <c r="N44" i="1" s="1"/>
  <c r="O44" i="1" s="1"/>
  <c r="P44" i="1" s="1"/>
  <c r="Q44" i="1" s="1"/>
  <c r="R44" i="1" s="1"/>
  <c r="S44" i="1" s="1"/>
  <c r="T44" i="1" s="1"/>
  <c r="U44" i="1" s="1"/>
  <c r="V44" i="1" s="1"/>
  <c r="W44" i="1" s="1"/>
  <c r="X44" i="1" s="1"/>
  <c r="Y44" i="1" s="1"/>
  <c r="Z44" i="1" s="1"/>
  <c r="V73" i="1"/>
  <c r="R73" i="1"/>
  <c r="N73" i="1"/>
  <c r="J73" i="1"/>
  <c r="F73" i="1"/>
  <c r="W73" i="1"/>
  <c r="O73" i="1"/>
  <c r="G73" i="1"/>
  <c r="T73" i="1"/>
  <c r="L73" i="1"/>
  <c r="Y73" i="1"/>
  <c r="U73" i="1"/>
  <c r="Q73" i="1"/>
  <c r="M73" i="1"/>
  <c r="I73" i="1"/>
  <c r="S73" i="1"/>
  <c r="K73" i="1"/>
  <c r="X73" i="1"/>
  <c r="P73" i="1"/>
  <c r="H73" i="1"/>
  <c r="W53" i="1"/>
  <c r="S53" i="1"/>
  <c r="O53" i="1"/>
  <c r="O55" i="1" s="1"/>
  <c r="K53" i="1"/>
  <c r="G53" i="1"/>
  <c r="X53" i="1"/>
  <c r="P53" i="1"/>
  <c r="P55" i="1" s="1"/>
  <c r="H53" i="1"/>
  <c r="Y53" i="1"/>
  <c r="Y55" i="1" s="1"/>
  <c r="U53" i="1"/>
  <c r="M53" i="1"/>
  <c r="V53" i="1"/>
  <c r="R53" i="1"/>
  <c r="N53" i="1"/>
  <c r="J53" i="1"/>
  <c r="J55" i="1" s="1"/>
  <c r="T53" i="1"/>
  <c r="L53" i="1"/>
  <c r="Q53" i="1"/>
  <c r="I53" i="1"/>
  <c r="I55" i="1" s="1"/>
  <c r="L55" i="1" l="1"/>
  <c r="W55" i="1"/>
  <c r="U55" i="1"/>
  <c r="V55" i="1"/>
  <c r="Q55" i="1"/>
  <c r="R55" i="1"/>
  <c r="X55" i="1"/>
  <c r="N55" i="1"/>
  <c r="S55" i="1"/>
  <c r="G55" i="1"/>
  <c r="M55" i="1"/>
  <c r="K55" i="1"/>
  <c r="T55" i="1"/>
  <c r="H55" i="1"/>
  <c r="G76" i="1"/>
  <c r="G81" i="1"/>
  <c r="Z69" i="1"/>
  <c r="Z83" i="1" s="1"/>
  <c r="Z84" i="1" s="1"/>
  <c r="Z80" i="1"/>
  <c r="AA44" i="1"/>
  <c r="AA84" i="1" s="1"/>
  <c r="Z82" i="1"/>
  <c r="G80" i="1"/>
  <c r="W80" i="1"/>
  <c r="M80" i="1"/>
  <c r="P80" i="1"/>
  <c r="J80" i="1"/>
  <c r="V80" i="1"/>
  <c r="U80" i="1"/>
  <c r="L80" i="1"/>
  <c r="S80" i="1"/>
  <c r="I80" i="1"/>
  <c r="R80" i="1"/>
  <c r="H80" i="1"/>
  <c r="Q80" i="1"/>
  <c r="N80" i="1"/>
  <c r="O80" i="1"/>
  <c r="Z91" i="1" l="1"/>
  <c r="Z92" i="1" s="1"/>
  <c r="AA92" i="1"/>
  <c r="AA82" i="1"/>
  <c r="AB44" i="1"/>
  <c r="AB92" i="1" s="1"/>
  <c r="AA80" i="1"/>
  <c r="Y76" i="1"/>
  <c r="U76" i="1"/>
  <c r="Q76" i="1"/>
  <c r="M76" i="1"/>
  <c r="I76" i="1"/>
  <c r="W76" i="1"/>
  <c r="S76" i="1"/>
  <c r="O76" i="1"/>
  <c r="K76" i="1"/>
  <c r="T76" i="1"/>
  <c r="L76" i="1"/>
  <c r="V76" i="1"/>
  <c r="R76" i="1"/>
  <c r="N76" i="1"/>
  <c r="J76" i="1"/>
  <c r="X76" i="1"/>
  <c r="P76" i="1"/>
  <c r="H76" i="1"/>
  <c r="AC44" i="1" l="1"/>
  <c r="AC92" i="1" s="1"/>
  <c r="AB80" i="1"/>
  <c r="AB82" i="1"/>
  <c r="AB84" i="1"/>
  <c r="R81" i="1"/>
  <c r="R82" i="1" s="1"/>
  <c r="I81" i="1"/>
  <c r="I82" i="1" s="1"/>
  <c r="S81" i="1"/>
  <c r="S82" i="1" s="1"/>
  <c r="J81" i="1"/>
  <c r="J82" i="1" s="1"/>
  <c r="W81" i="1"/>
  <c r="W82" i="1" s="1"/>
  <c r="N81" i="1"/>
  <c r="N82" i="1" s="1"/>
  <c r="M81" i="1"/>
  <c r="M82" i="1" s="1"/>
  <c r="T81" i="1"/>
  <c r="T82" i="1" s="1"/>
  <c r="K81" i="1"/>
  <c r="K82" i="1" s="1"/>
  <c r="X81" i="1"/>
  <c r="X82" i="1" s="1"/>
  <c r="O81" i="1"/>
  <c r="O82" i="1" s="1"/>
  <c r="F81" i="1"/>
  <c r="F82" i="1" s="1"/>
  <c r="Q81" i="1"/>
  <c r="Q82" i="1" s="1"/>
  <c r="H81" i="1"/>
  <c r="H82" i="1" s="1"/>
  <c r="V81" i="1"/>
  <c r="V82" i="1" s="1"/>
  <c r="U81" i="1"/>
  <c r="U82" i="1" s="1"/>
  <c r="L81" i="1"/>
  <c r="L82" i="1" s="1"/>
  <c r="Y81" i="1"/>
  <c r="Y82" i="1" s="1"/>
  <c r="P81" i="1"/>
  <c r="P82" i="1" s="1"/>
  <c r="G82" i="1"/>
  <c r="Y79" i="1"/>
  <c r="Y80" i="1" s="1"/>
  <c r="T79" i="1"/>
  <c r="T80" i="1" s="1"/>
  <c r="M69" i="1"/>
  <c r="Y69" i="1"/>
  <c r="H69" i="1"/>
  <c r="T69" i="1"/>
  <c r="W69" i="1"/>
  <c r="F69" i="1"/>
  <c r="V69" i="1"/>
  <c r="U69" i="1"/>
  <c r="S69" i="1"/>
  <c r="R69" i="1"/>
  <c r="Q69" i="1"/>
  <c r="P69" i="1"/>
  <c r="O69" i="1"/>
  <c r="N69" i="1"/>
  <c r="I69" i="1"/>
  <c r="L69" i="1"/>
  <c r="J69" i="1"/>
  <c r="N83" i="1" l="1"/>
  <c r="N84" i="1" s="1"/>
  <c r="N91" i="1"/>
  <c r="N92" i="1" s="1"/>
  <c r="G83" i="1"/>
  <c r="G84" i="1" s="1"/>
  <c r="G91" i="1"/>
  <c r="G92" i="1" s="1"/>
  <c r="Q83" i="1"/>
  <c r="Q84" i="1" s="1"/>
  <c r="Q91" i="1"/>
  <c r="Q92" i="1" s="1"/>
  <c r="T83" i="1"/>
  <c r="T84" i="1" s="1"/>
  <c r="T91" i="1"/>
  <c r="T92" i="1" s="1"/>
  <c r="I83" i="1"/>
  <c r="I84" i="1" s="1"/>
  <c r="I91" i="1"/>
  <c r="I92" i="1" s="1"/>
  <c r="V83" i="1"/>
  <c r="V84" i="1" s="1"/>
  <c r="V91" i="1"/>
  <c r="V92" i="1" s="1"/>
  <c r="O83" i="1"/>
  <c r="O84" i="1" s="1"/>
  <c r="O91" i="1"/>
  <c r="O92" i="1" s="1"/>
  <c r="J83" i="1"/>
  <c r="J84" i="1" s="1"/>
  <c r="J91" i="1"/>
  <c r="J92" i="1" s="1"/>
  <c r="R83" i="1"/>
  <c r="R84" i="1" s="1"/>
  <c r="R91" i="1"/>
  <c r="M83" i="1"/>
  <c r="M84" i="1" s="1"/>
  <c r="M91" i="1"/>
  <c r="M92" i="1" s="1"/>
  <c r="W83" i="1"/>
  <c r="W84" i="1" s="1"/>
  <c r="W91" i="1"/>
  <c r="W92" i="1" s="1"/>
  <c r="P83" i="1"/>
  <c r="P84" i="1" s="1"/>
  <c r="P91" i="1"/>
  <c r="P92" i="1" s="1"/>
  <c r="S83" i="1"/>
  <c r="S84" i="1" s="1"/>
  <c r="S91" i="1"/>
  <c r="S92" i="1" s="1"/>
  <c r="H83" i="1"/>
  <c r="H84" i="1" s="1"/>
  <c r="H91" i="1"/>
  <c r="H92" i="1" s="1"/>
  <c r="L83" i="1"/>
  <c r="L84" i="1" s="1"/>
  <c r="L91" i="1"/>
  <c r="L92" i="1" s="1"/>
  <c r="U83" i="1"/>
  <c r="U84" i="1" s="1"/>
  <c r="U91" i="1"/>
  <c r="U92" i="1" s="1"/>
  <c r="Y83" i="1"/>
  <c r="Y84" i="1" s="1"/>
  <c r="Y91" i="1"/>
  <c r="Y92" i="1" s="1"/>
  <c r="AC82" i="1"/>
  <c r="AD44" i="1"/>
  <c r="AD92" i="1" s="1"/>
  <c r="AC84" i="1"/>
  <c r="AC80" i="1"/>
  <c r="D58" i="1"/>
  <c r="D56" i="1"/>
  <c r="D57" i="1"/>
  <c r="E32" i="6" l="1"/>
  <c r="R92" i="1"/>
  <c r="AD84" i="1"/>
  <c r="AE44" i="1"/>
  <c r="AD80" i="1"/>
  <c r="AD82" i="1"/>
  <c r="F90" i="1"/>
  <c r="E33" i="6" l="1"/>
  <c r="AE82" i="1"/>
  <c r="D100" i="1" l="1"/>
  <c r="W19" i="1"/>
  <c r="D82" i="1"/>
  <c r="D99" i="1" s="1"/>
  <c r="G13" i="10" l="1"/>
  <c r="F79" i="1" l="1"/>
  <c r="F80" i="1" s="1"/>
  <c r="F76" i="1"/>
  <c r="K79" i="1" l="1"/>
  <c r="K80" i="1" s="1"/>
  <c r="K69" i="1"/>
  <c r="F83" i="1"/>
  <c r="F91" i="1"/>
  <c r="AE68" i="1"/>
  <c r="X79" i="1"/>
  <c r="X80" i="1" s="1"/>
  <c r="X69" i="1"/>
  <c r="K83" i="1" l="1"/>
  <c r="K84" i="1" s="1"/>
  <c r="K91" i="1"/>
  <c r="K92" i="1" s="1"/>
  <c r="X91" i="1"/>
  <c r="X92" i="1" s="1"/>
  <c r="X83" i="1"/>
  <c r="X84" i="1" s="1"/>
  <c r="F92" i="1"/>
  <c r="F93" i="1" s="1"/>
  <c r="G93" i="1" s="1"/>
  <c r="H93" i="1" s="1"/>
  <c r="I93" i="1" s="1"/>
  <c r="J93" i="1" s="1"/>
  <c r="AE79" i="1"/>
  <c r="AE80" i="1" s="1"/>
  <c r="D80" i="1" s="1"/>
  <c r="AE69" i="1"/>
  <c r="F84" i="1"/>
  <c r="F85" i="1" s="1"/>
  <c r="G85" i="1" s="1"/>
  <c r="H85" i="1" s="1"/>
  <c r="I85" i="1" s="1"/>
  <c r="J85" i="1" s="1"/>
  <c r="K93" i="1" l="1"/>
  <c r="L93" i="1" s="1"/>
  <c r="M93" i="1" s="1"/>
  <c r="N93" i="1" s="1"/>
  <c r="O93" i="1" s="1"/>
  <c r="P93" i="1" s="1"/>
  <c r="Q93" i="1" s="1"/>
  <c r="R93" i="1" s="1"/>
  <c r="S93" i="1" s="1"/>
  <c r="T93" i="1" s="1"/>
  <c r="U93" i="1" s="1"/>
  <c r="V93" i="1" s="1"/>
  <c r="W93" i="1" s="1"/>
  <c r="X93" i="1" s="1"/>
  <c r="Y93" i="1" s="1"/>
  <c r="Z93" i="1" s="1"/>
  <c r="AA93" i="1" s="1"/>
  <c r="AB93" i="1" s="1"/>
  <c r="AC93" i="1" s="1"/>
  <c r="AD93" i="1" s="1"/>
  <c r="K85" i="1"/>
  <c r="L85" i="1" s="1"/>
  <c r="M85" i="1" s="1"/>
  <c r="N85" i="1" s="1"/>
  <c r="O85" i="1" s="1"/>
  <c r="P85" i="1" s="1"/>
  <c r="Q85" i="1" s="1"/>
  <c r="R85" i="1" s="1"/>
  <c r="S85" i="1" s="1"/>
  <c r="T85" i="1" s="1"/>
  <c r="U85" i="1" s="1"/>
  <c r="V85" i="1" s="1"/>
  <c r="W85" i="1" s="1"/>
  <c r="X85" i="1" s="1"/>
  <c r="Y85" i="1" s="1"/>
  <c r="Z85" i="1" s="1"/>
  <c r="AA85" i="1" s="1"/>
  <c r="AB85" i="1" s="1"/>
  <c r="AC85" i="1" s="1"/>
  <c r="AD85" i="1" s="1"/>
  <c r="AE91" i="1"/>
  <c r="AE83" i="1"/>
  <c r="W17" i="1"/>
  <c r="C98" i="1"/>
  <c r="AE92" i="1" l="1"/>
  <c r="AE93" i="1" s="1"/>
  <c r="D94" i="1" s="1"/>
  <c r="D95" i="1"/>
  <c r="AE84" i="1"/>
  <c r="AE85" i="1" s="1"/>
  <c r="D86" i="1" s="1"/>
  <c r="D87" i="1"/>
  <c r="D11" i="9" l="1"/>
  <c r="G11" i="9" s="1"/>
  <c r="U21" i="1"/>
  <c r="D10" i="9"/>
  <c r="U13" i="1"/>
  <c r="D13" i="9"/>
  <c r="O11" i="9" s="1"/>
  <c r="U23" i="1"/>
  <c r="U31" i="1" s="1"/>
  <c r="D12" i="9"/>
  <c r="U15" i="1"/>
  <c r="U29" i="1" l="1"/>
  <c r="J7" i="10"/>
</calcChain>
</file>

<file path=xl/sharedStrings.xml><?xml version="1.0" encoding="utf-8"?>
<sst xmlns="http://schemas.openxmlformats.org/spreadsheetml/2006/main" count="519" uniqueCount="268">
  <si>
    <t>Parameter</t>
  </si>
  <si>
    <t>Einheit</t>
  </si>
  <si>
    <t>Wert</t>
  </si>
  <si>
    <t>Bemerkungen</t>
  </si>
  <si>
    <t>CHF</t>
  </si>
  <si>
    <t>Kältemittel</t>
  </si>
  <si>
    <t>R22</t>
  </si>
  <si>
    <t>EF</t>
  </si>
  <si>
    <t>HFCKW</t>
  </si>
  <si>
    <t>Inbetriebnahme</t>
  </si>
  <si>
    <t>Füllmenge</t>
  </si>
  <si>
    <t>-</t>
  </si>
  <si>
    <t>Jahr</t>
  </si>
  <si>
    <t>kg</t>
  </si>
  <si>
    <t>Kosten Strom</t>
  </si>
  <si>
    <t>CHF/kWh</t>
  </si>
  <si>
    <t>Annahme Neosys</t>
  </si>
  <si>
    <t>Anwendungsbereich</t>
  </si>
  <si>
    <t>Leckage</t>
  </si>
  <si>
    <t>Energiekosten</t>
  </si>
  <si>
    <t>Kalkulatorischer Zinssatz</t>
  </si>
  <si>
    <t>Bafu</t>
  </si>
  <si>
    <t>EF [kgCO2/kgKältemittel]</t>
  </si>
  <si>
    <t>Preis [CHF/kg]</t>
  </si>
  <si>
    <t>Preis KM</t>
  </si>
  <si>
    <t>Bestehende Anlage</t>
  </si>
  <si>
    <t>Angaben</t>
  </si>
  <si>
    <t>Neue Anlage</t>
  </si>
  <si>
    <t>Allgemeine Angaben</t>
  </si>
  <si>
    <t>Natürliche</t>
  </si>
  <si>
    <t>R744 (CO2)</t>
  </si>
  <si>
    <t>Kosten Referenzszenario</t>
  </si>
  <si>
    <t>Wartungskosten Kältemittel</t>
  </si>
  <si>
    <t>Vorgabe</t>
  </si>
  <si>
    <t>Investition neue Anlage</t>
  </si>
  <si>
    <t>Kosten Projektszenario</t>
  </si>
  <si>
    <t>Total Kosten</t>
  </si>
  <si>
    <t>Abzinsung</t>
  </si>
  <si>
    <t>Abgezinste Differenz</t>
  </si>
  <si>
    <t>Kapitalwertentwicklung</t>
  </si>
  <si>
    <t>Wirtschaftlichkeitsanalyse</t>
  </si>
  <si>
    <t>Vergleich Referenz, Projekt</t>
  </si>
  <si>
    <t>tCO2</t>
  </si>
  <si>
    <t>Klimakälte</t>
  </si>
  <si>
    <t>Hilfsgrössen</t>
  </si>
  <si>
    <t>Referenz: Emissionen aus Leckage</t>
  </si>
  <si>
    <t>EF Strom</t>
  </si>
  <si>
    <t>tCO2/kWh</t>
  </si>
  <si>
    <t>Projekt: Emissionen aus Leckage</t>
  </si>
  <si>
    <t>CO2-Berechnungen</t>
  </si>
  <si>
    <t>Vergleich Referenz, Projekt mit CO2-Bonus</t>
  </si>
  <si>
    <t>Differenz Referenz minus Projekt + CO2-Bonus</t>
  </si>
  <si>
    <t>Erlös pro Tonne CO2</t>
  </si>
  <si>
    <t>CHF/tCO2</t>
  </si>
  <si>
    <t xml:space="preserve">R407A </t>
  </si>
  <si>
    <t>R407B</t>
  </si>
  <si>
    <t xml:space="preserve">R407C </t>
  </si>
  <si>
    <t>R407D</t>
  </si>
  <si>
    <t>R407F</t>
  </si>
  <si>
    <t>R410A</t>
  </si>
  <si>
    <t xml:space="preserve">R413A </t>
  </si>
  <si>
    <t>R417A</t>
  </si>
  <si>
    <t>R422D (Isceon 29)</t>
  </si>
  <si>
    <t>R507A</t>
  </si>
  <si>
    <t>Gewerbekälte</t>
  </si>
  <si>
    <t>kgCO2/kgKM</t>
  </si>
  <si>
    <t>CHF/kgKM</t>
  </si>
  <si>
    <t>Emissionen aus Leckage</t>
  </si>
  <si>
    <t>tCO2/a</t>
  </si>
  <si>
    <t>Emissionen aus Stromverbrauch</t>
  </si>
  <si>
    <t>Recyclingfaktor</t>
  </si>
  <si>
    <t>Emissionen aus Recycling</t>
  </si>
  <si>
    <t>CHF/a</t>
  </si>
  <si>
    <t>Summe ER erste 7 Jahre</t>
  </si>
  <si>
    <t>Projektlaufzeit</t>
  </si>
  <si>
    <t>Summe ER Projektlaufzeit</t>
  </si>
  <si>
    <t>Restwert</t>
  </si>
  <si>
    <t>Restwert Anlage in der Referenz</t>
  </si>
  <si>
    <t>Hilfsgrössen bestehende Anlage</t>
  </si>
  <si>
    <t>Hilfsgrössen neue Anlage</t>
  </si>
  <si>
    <t>Hilfsgrössen allgemeine Anlage</t>
  </si>
  <si>
    <t>NBW ohne CO2-Erlös</t>
  </si>
  <si>
    <t>NBW mit CO2-Erlös</t>
  </si>
  <si>
    <t>R404A</t>
  </si>
  <si>
    <t>R23</t>
  </si>
  <si>
    <t>R134a</t>
  </si>
  <si>
    <t>R125</t>
  </si>
  <si>
    <t>R143a</t>
  </si>
  <si>
    <t>R422A (Isceon 79)</t>
  </si>
  <si>
    <t>R427A</t>
  </si>
  <si>
    <t>R290 (Propan)</t>
  </si>
  <si>
    <t>R600 (Butan)</t>
  </si>
  <si>
    <t>HFKW</t>
  </si>
  <si>
    <t>kW</t>
  </si>
  <si>
    <t>%</t>
  </si>
  <si>
    <t>Angabe SSP (1% - 1.5%)</t>
  </si>
  <si>
    <t>Wartungskosten allgemein</t>
  </si>
  <si>
    <t>Summe ER bis 2020</t>
  </si>
  <si>
    <t>a</t>
  </si>
  <si>
    <t>Kennzahlen CO2-Programm</t>
  </si>
  <si>
    <t>CO2-Einsparung bis 2020</t>
  </si>
  <si>
    <t>Provisorische Vergütung</t>
  </si>
  <si>
    <t>Cashflow Referenz minus Projekt</t>
  </si>
  <si>
    <t>Investitionen Referenz minus Projekt</t>
  </si>
  <si>
    <t>NBW Mehrinvestitionen im Projektszenario</t>
  </si>
  <si>
    <t>Kosteneinsparungen im Projektszenario</t>
  </si>
  <si>
    <t>NBW Kosteneinsparungen im Projektszenario</t>
  </si>
  <si>
    <t>NBW Cashflow Referenz minus Projekt</t>
  </si>
  <si>
    <t>Mehrinvestitionen Projekt</t>
  </si>
  <si>
    <t>Kosteneinsparungen Projekt</t>
  </si>
  <si>
    <t>Investitionen</t>
  </si>
  <si>
    <t>Ertrag</t>
  </si>
  <si>
    <t>Erlös aus CO2-Bescheinigungen</t>
  </si>
  <si>
    <t>Referenz
Anmeldeformular</t>
  </si>
  <si>
    <t>2.3.3</t>
  </si>
  <si>
    <t>2.3.5</t>
  </si>
  <si>
    <t>2.3.4</t>
  </si>
  <si>
    <t>2.3.6</t>
  </si>
  <si>
    <t>2.3.7</t>
  </si>
  <si>
    <t>2.5.4</t>
  </si>
  <si>
    <t>2.5.6. / 2.6.1</t>
  </si>
  <si>
    <t>Emissionsreduktion pro Jahr</t>
  </si>
  <si>
    <t>Jahre</t>
  </si>
  <si>
    <t>Wartungskosten Anteil an Investitionen für alte Anlagen</t>
  </si>
  <si>
    <t>Internal Rate on Investment IRR</t>
  </si>
  <si>
    <t>wenn negativ, dann grundsätzlich additionell</t>
  </si>
  <si>
    <t>Stromverbrauch</t>
  </si>
  <si>
    <t>CO2-Erlös bis 2020 als Investitionsbeitrag</t>
  </si>
  <si>
    <t>kWh/a</t>
  </si>
  <si>
    <t>Kälteleistung</t>
  </si>
  <si>
    <t>Klimaschutzprogramm vorzeitiger Ersatz von stationären HFKW-Kälteanlagen</t>
  </si>
  <si>
    <t>Beispielrechnung provisorisch</t>
  </si>
  <si>
    <t>ohne Gewähr</t>
  </si>
  <si>
    <t>Restlaufzeit</t>
  </si>
  <si>
    <t>Euro</t>
  </si>
  <si>
    <t>www.klimaimport.de</t>
  </si>
  <si>
    <t>www.KälteTechnikShop.com</t>
  </si>
  <si>
    <t>CHF + 50%</t>
  </si>
  <si>
    <t>Offerte climalife.dehon.com</t>
  </si>
  <si>
    <t>SSP Kälteplaner.CH</t>
  </si>
  <si>
    <t>min</t>
  </si>
  <si>
    <t>max</t>
  </si>
  <si>
    <t>Jährliches Nachfüllen der Kältemittel</t>
  </si>
  <si>
    <t>übrige Wartungskosten</t>
  </si>
  <si>
    <t>Nachfüllkosten Kältemittel</t>
  </si>
  <si>
    <t>Füllmenge pro KW Leistung</t>
  </si>
  <si>
    <t>Input</t>
  </si>
  <si>
    <t>IRR mit THG-Erlös</t>
  </si>
  <si>
    <t>Kosten pro KW Leistung</t>
  </si>
  <si>
    <t>mit THG-Erlös</t>
  </si>
  <si>
    <t>IRR</t>
  </si>
  <si>
    <t>IRR ohne THG-Erlös</t>
  </si>
  <si>
    <t>R404a</t>
  </si>
  <si>
    <t>NBW pro KW Leistung</t>
  </si>
  <si>
    <t>IRR &lt; 3%</t>
  </si>
  <si>
    <t>finanziell uninteressant, aber akzeptierbar</t>
  </si>
  <si>
    <t>Einsparung des Stromverbrauchs gegenüber Altanlage</t>
  </si>
  <si>
    <t>Preis der alten Kältemittel</t>
  </si>
  <si>
    <t>Eingabefeld</t>
  </si>
  <si>
    <t>Standardwert</t>
  </si>
  <si>
    <t>Anteil THG-Erlös an den Mehrinvestitionen</t>
  </si>
  <si>
    <t>Anteil THG-Erlös an den Anfangsinvestitionen</t>
  </si>
  <si>
    <t>NBW ohne THG-Erlös</t>
  </si>
  <si>
    <t>NBW mit THG-Erlös</t>
  </si>
  <si>
    <t>Wirtschaftliche Kennzahlen</t>
  </si>
  <si>
    <t>Ausgabefeld IRR ohne THG-Erlös</t>
  </si>
  <si>
    <t>wirtschaftlich</t>
  </si>
  <si>
    <t>Bemerkung</t>
  </si>
  <si>
    <t>Bewertung</t>
  </si>
  <si>
    <t>NBW negativ</t>
  </si>
  <si>
    <t>Schlüsselvariablen</t>
  </si>
  <si>
    <t>Füllmenge pro Kälteleistung (kg/kW)</t>
  </si>
  <si>
    <t xml:space="preserve">Sensitivität bei Variation der Parameter </t>
  </si>
  <si>
    <t xml:space="preserve"> IRR ohne THG-Erlös </t>
  </si>
  <si>
    <t>Abweichung in %</t>
  </si>
  <si>
    <t>Preis pro kg Kältemittel (HFKW)</t>
  </si>
  <si>
    <t>CHF/kg</t>
  </si>
  <si>
    <t>Recherche Markpreise 2013</t>
  </si>
  <si>
    <t>BAFU</t>
  </si>
  <si>
    <t>Benchmark für den IRR</t>
  </si>
  <si>
    <t>Fazit</t>
  </si>
  <si>
    <t>ohne THG-Erlös</t>
  </si>
  <si>
    <t>Stromverbrauch pro KW Kälteleistung</t>
  </si>
  <si>
    <t>Berechnet mit konservativen Annahmen zu COP und Laufzeit</t>
  </si>
  <si>
    <t>kWh/kW</t>
  </si>
  <si>
    <t>R744-Anlage (neu)</t>
  </si>
  <si>
    <t>Kommentar</t>
  </si>
  <si>
    <t>Leistung</t>
  </si>
  <si>
    <t>COP</t>
  </si>
  <si>
    <t>Schätzung Kälteplaner</t>
  </si>
  <si>
    <t>Laufzeit</t>
  </si>
  <si>
    <t>h/a</t>
  </si>
  <si>
    <t>Energieverbrauch Kälteanlage</t>
  </si>
  <si>
    <t>kWh</t>
  </si>
  <si>
    <t>berechnet</t>
  </si>
  <si>
    <t>Energie Hilfsbetrieb zusätzlich</t>
  </si>
  <si>
    <t>Energieverbrauch gesamt</t>
  </si>
  <si>
    <t>Energieeinsparung durch Neuanlage</t>
  </si>
  <si>
    <t>alte Anlage</t>
  </si>
  <si>
    <t>spezifischer Stromverbrauch pro Kälteleistung</t>
  </si>
  <si>
    <t>Anlagekosten pro Kälteleistung (CHF/kW)</t>
  </si>
  <si>
    <t>Stromverbrauch Altanlage pro kW Kälteleistung (kWh/a)</t>
  </si>
  <si>
    <t>spezifischer Stromverbrauch pro Kälteleistung gerundet</t>
  </si>
  <si>
    <t>Eingabefelder</t>
  </si>
  <si>
    <t>Berechnete Werte</t>
  </si>
  <si>
    <t>NBW pro KW Leistung CHF</t>
  </si>
  <si>
    <t>Vorsicht: Damit die Berechnung funktioniert müssen die Eingabe-</t>
  </si>
  <si>
    <t>felder in der Tabelle "Beziehung_Schlüsselvariablen" leer sein.</t>
  </si>
  <si>
    <t>R717 (NH3)</t>
  </si>
  <si>
    <t>R723 (NH3/DME)</t>
  </si>
  <si>
    <t>unwirtschaftlich</t>
  </si>
  <si>
    <t>Strompreis</t>
  </si>
  <si>
    <t>Wartungskosten Neuanlage (% der Anlagekosten)</t>
  </si>
  <si>
    <t xml:space="preserve">Einsparung gegenüber Altanlage </t>
  </si>
  <si>
    <t>KPMG, Kapitalkostenstudie 2013</t>
  </si>
  <si>
    <t>provisorischer Preisplan mit KliK</t>
  </si>
  <si>
    <t>Einsparung beim Stromverbrauch</t>
  </si>
  <si>
    <t>Einsparung Stromverbrauch gegenüber Altanlage</t>
  </si>
  <si>
    <t>Wartungs- und Revisionskosten</t>
  </si>
  <si>
    <t>behandelte Fälle in Sensitivitätsanalyse</t>
  </si>
  <si>
    <t>allgemeine Wartungskosten Anteil an Investitionen für Neuanlagen</t>
  </si>
  <si>
    <t>berechnete Felder</t>
  </si>
  <si>
    <t>Typ</t>
  </si>
  <si>
    <t>allgemeine Kriterien</t>
  </si>
  <si>
    <t>spezifische Kriterien</t>
  </si>
  <si>
    <t>Leckrate</t>
  </si>
  <si>
    <t>Supermarkt- und Gewerbekälte</t>
  </si>
  <si>
    <t>Anlagen in Supermärkten und im Nahrungsmittelhandel mit direktem Verkauf an Endverbraucher oder in der Gastronomie/ Hotellerie</t>
  </si>
  <si>
    <t>Baujahr bis 2004</t>
  </si>
  <si>
    <t>Baujahr ab 2005</t>
  </si>
  <si>
    <t>Industriekälte</t>
  </si>
  <si>
    <t>Anlagen in Industriebetrieben oder im Nahrungsmittel-Grosshandel (kein Verkauf an Endkunden)</t>
  </si>
  <si>
    <t>übrige Industriekälte mit Baujahr bis 2004</t>
  </si>
  <si>
    <t>Klimaanlagen, Kaltwassersätze, Wärmepumpen</t>
  </si>
  <si>
    <t>n.r.</t>
  </si>
  <si>
    <t>Industriekälteanlagen</t>
  </si>
  <si>
    <t>Supermarkt-Kälteanlagen</t>
  </si>
  <si>
    <t>kW Leistung</t>
  </si>
  <si>
    <t>Baujahr</t>
  </si>
  <si>
    <t>Anlage</t>
  </si>
  <si>
    <t xml:space="preserve">Berechnungsbeispiel für </t>
  </si>
  <si>
    <t>Gewerbekälteanlage</t>
  </si>
  <si>
    <t>(Leckrate 18%)</t>
  </si>
  <si>
    <t>Grossanlagen (&gt;500 kg Füllmenge) mit Baujahr bis 2004</t>
  </si>
  <si>
    <t>Kategorie</t>
  </si>
  <si>
    <t>Recyclingfaktor &gt;100kg Füllgewicht</t>
  </si>
  <si>
    <t>Recyclingfaktor &lt;=100kg Füllgewicht</t>
  </si>
  <si>
    <t>Jahres-Schalter</t>
  </si>
  <si>
    <t>kg/kW</t>
  </si>
  <si>
    <t>Bereich</t>
  </si>
  <si>
    <t>CHF/kW</t>
  </si>
  <si>
    <t>5% Einsparung</t>
  </si>
  <si>
    <t>Ohne THG-Erlös</t>
  </si>
  <si>
    <t>Mit THG-Erlös</t>
  </si>
  <si>
    <t>Erneuerungsinvestitionen nach 12.5 Jahren</t>
  </si>
  <si>
    <t>Investiton neue Anlage und Revisionen</t>
  </si>
  <si>
    <t>&lt;3%</t>
  </si>
  <si>
    <t>IRR 3% - 6%</t>
  </si>
  <si>
    <t>NBW positiv, aber IRR unter dem Benchmark von 6%</t>
  </si>
  <si>
    <t>IRR &gt; 6%</t>
  </si>
  <si>
    <t>IRR über dem Benchmark von 6%</t>
  </si>
  <si>
    <t>Fall 1000.-/kW Q, Füllmenge 2.5 kg/kW, Stromeinsparung 20%</t>
  </si>
  <si>
    <r>
      <t xml:space="preserve">Erläuterung für den Validierer:
Die Sensitivitätsanalyse wurde für diejenigen Anlagen durchgeführt, die am ehesten ohne Beiträge wirtschaftlich sein könnten.
Dieses Sensitivitätstool ist halbautomatisiert. Die Werte der obigen Tabelle sind als Resultate aus Berechnungen als fixe Werte eingefügt. Die Berechnungen basieren darauf, dass jeweils nur ein Parameter variiert wurde, währenddem die andere auf den Standardwert gesetzt wurden.
Die Berechnungen lassen sich durch Variation der Ausgangsparameter in den Eigabefeldern überprüfen.
</t>
    </r>
    <r>
      <rPr>
        <b/>
        <sz val="11"/>
        <color theme="1"/>
        <rFont val="Calibri"/>
        <family val="2"/>
        <scheme val="minor"/>
      </rPr>
      <t>Fazit aus der Sensitivitätsanalyse:
Auch bei Variation der Parameter wird der Benchmark für den IRR nicht überschritten.</t>
    </r>
  </si>
  <si>
    <t>Berechnung</t>
  </si>
  <si>
    <t>Resultate</t>
  </si>
  <si>
    <t>Erfahrungswert für Kompressoren</t>
  </si>
  <si>
    <t>Ersatzinvestition nach Halbzeit (pro kW Kälteleistung)</t>
  </si>
  <si>
    <t>Kann nicht immer berechnet werden. Wenn kleiner als der Benchmark von 6%, dann additionell.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</si>
</sst>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fr.&quot;\ * #,##0.00_ ;_ &quot;fr.&quot;\ * \-#,##0.00_ ;_ &quot;fr.&quot;\ * &quot;-&quot;??_ ;_ @_ "/>
    <numFmt numFmtId="43" formatCode="_ * #,##0.00_ ;_ * \-#,##0.00_ ;_ * &quot;-&quot;??_ ;_ @_ "/>
    <numFmt numFmtId="164" formatCode="0.0%"/>
    <numFmt numFmtId="165" formatCode="_ * #,##0_ ;_ * \-#,##0_ ;_ * &quot;-&quot;??_ ;_ @_ "/>
    <numFmt numFmtId="166" formatCode="_ &quot;fr.&quot;\ * #,##0_ ;_ &quot;fr.&quot;\ * \-#,##0_ ;_ &quot;fr.&quot;\ * &quot;-&quot;??_ ;_ @_ "/>
    <numFmt numFmtId="167" formatCode="0.000%"/>
    <numFmt numFmtId="168" formatCode="_ * #,##0.000_ ;_ * \-#,##0.000_ ;_ * &quot;-&quot;??_ ;_ @_ "/>
  </numFmts>
  <fonts count="18" x14ac:knownFonts="1">
    <font>
      <sz val="11"/>
      <color theme="1"/>
      <name val="Calibri"/>
      <family val="2"/>
      <scheme val="minor"/>
    </font>
    <font>
      <sz val="9"/>
      <color theme="1"/>
      <name val="Arial"/>
      <family val="2"/>
    </font>
    <font>
      <b/>
      <sz val="9"/>
      <color theme="3" tint="-0.499984740745262"/>
      <name val="Arial"/>
      <family val="2"/>
    </font>
    <font>
      <b/>
      <sz val="9"/>
      <color theme="1"/>
      <name val="Arial"/>
      <family val="2"/>
    </font>
    <font>
      <b/>
      <sz val="9"/>
      <color theme="9" tint="-0.499984740745262"/>
      <name val="Arial"/>
      <family val="2"/>
    </font>
    <font>
      <b/>
      <sz val="9"/>
      <color theme="0"/>
      <name val="Arial"/>
      <family val="2"/>
    </font>
    <font>
      <b/>
      <sz val="9"/>
      <color theme="0" tint="-0.499984740745262"/>
      <name val="Arial"/>
      <family val="2"/>
    </font>
    <font>
      <sz val="9"/>
      <color theme="0" tint="-0.499984740745262"/>
      <name val="Arial"/>
      <family val="2"/>
    </font>
    <font>
      <sz val="9"/>
      <name val="Arial"/>
      <family val="2"/>
    </font>
    <font>
      <b/>
      <sz val="9"/>
      <color theme="7" tint="-0.499984740745262"/>
      <name val="Arial"/>
      <family val="2"/>
    </font>
    <font>
      <b/>
      <sz val="11"/>
      <color theme="1"/>
      <name val="Arial"/>
      <family val="2"/>
    </font>
    <font>
      <sz val="11"/>
      <color theme="1"/>
      <name val="Calibri"/>
      <family val="2"/>
      <scheme val="minor"/>
    </font>
    <font>
      <b/>
      <sz val="12"/>
      <color rgb="FF000000"/>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9"/>
      <color rgb="FFFF0000"/>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44" fontId="11" fillId="0" borderId="0" applyFont="0" applyFill="0" applyBorder="0" applyAlignment="0" applyProtection="0"/>
  </cellStyleXfs>
  <cellXfs count="247">
    <xf numFmtId="0" fontId="0" fillId="0" borderId="0" xfId="0"/>
    <xf numFmtId="0" fontId="1" fillId="0" borderId="0" xfId="0" applyFont="1"/>
    <xf numFmtId="0" fontId="1" fillId="0" borderId="1" xfId="0" applyFont="1" applyBorder="1"/>
    <xf numFmtId="0" fontId="2" fillId="2" borderId="1" xfId="0" applyFont="1" applyFill="1" applyBorder="1" applyAlignment="1">
      <alignment horizontal="center"/>
    </xf>
    <xf numFmtId="9" fontId="1" fillId="0" borderId="1" xfId="0" applyNumberFormat="1" applyFont="1" applyBorder="1"/>
    <xf numFmtId="0" fontId="2" fillId="2" borderId="2" xfId="0" applyFont="1" applyFill="1" applyBorder="1" applyAlignment="1">
      <alignment horizontal="center"/>
    </xf>
    <xf numFmtId="0" fontId="4" fillId="3" borderId="1" xfId="0" applyFont="1" applyFill="1" applyBorder="1"/>
    <xf numFmtId="0" fontId="1" fillId="0" borderId="0" xfId="0" applyFont="1" applyBorder="1"/>
    <xf numFmtId="0" fontId="3" fillId="0" borderId="1" xfId="0" applyFont="1" applyBorder="1"/>
    <xf numFmtId="2" fontId="1" fillId="0" borderId="1" xfId="0" applyNumberFormat="1" applyFont="1" applyBorder="1"/>
    <xf numFmtId="1" fontId="1" fillId="0" borderId="1" xfId="0" applyNumberFormat="1" applyFont="1" applyBorder="1"/>
    <xf numFmtId="0" fontId="7" fillId="0" borderId="1" xfId="0" applyFont="1" applyBorder="1"/>
    <xf numFmtId="1" fontId="1" fillId="0" borderId="4" xfId="0" applyNumberFormat="1" applyFont="1" applyBorder="1"/>
    <xf numFmtId="0" fontId="8" fillId="0" borderId="1" xfId="0" applyFont="1" applyBorder="1"/>
    <xf numFmtId="0" fontId="6" fillId="5" borderId="1" xfId="0" applyFont="1" applyFill="1" applyBorder="1"/>
    <xf numFmtId="0" fontId="1" fillId="5" borderId="1" xfId="0" applyFont="1" applyFill="1" applyBorder="1"/>
    <xf numFmtId="0" fontId="7" fillId="5" borderId="1" xfId="0" applyFont="1" applyFill="1" applyBorder="1"/>
    <xf numFmtId="0" fontId="3" fillId="5" borderId="1" xfId="0" applyFont="1" applyFill="1" applyBorder="1"/>
    <xf numFmtId="2" fontId="1" fillId="0" borderId="0" xfId="0" applyNumberFormat="1" applyFont="1" applyBorder="1"/>
    <xf numFmtId="0" fontId="7" fillId="0" borderId="1" xfId="0" applyFont="1" applyFill="1" applyBorder="1"/>
    <xf numFmtId="1" fontId="3" fillId="0" borderId="1" xfId="0" applyNumberFormat="1" applyFont="1" applyBorder="1"/>
    <xf numFmtId="0" fontId="1" fillId="0" borderId="3" xfId="0" applyFont="1" applyBorder="1" applyAlignment="1">
      <alignment horizontal="center"/>
    </xf>
    <xf numFmtId="0" fontId="1" fillId="0" borderId="1" xfId="0" applyFont="1" applyBorder="1" applyAlignment="1">
      <alignment horizontal="center"/>
    </xf>
    <xf numFmtId="0" fontId="7" fillId="0" borderId="1" xfId="0" applyFont="1" applyBorder="1" applyAlignment="1">
      <alignment horizontal="center"/>
    </xf>
    <xf numFmtId="0" fontId="7" fillId="0" borderId="1" xfId="0" applyFont="1" applyFill="1" applyBorder="1" applyAlignment="1">
      <alignment horizontal="center"/>
    </xf>
    <xf numFmtId="0" fontId="3" fillId="0" borderId="1" xfId="0" applyFont="1" applyBorder="1" applyAlignment="1">
      <alignment horizontal="center"/>
    </xf>
    <xf numFmtId="0" fontId="4" fillId="3" borderId="1" xfId="0" applyFont="1" applyFill="1" applyBorder="1" applyAlignment="1">
      <alignment horizontal="right"/>
    </xf>
    <xf numFmtId="0" fontId="10" fillId="7" borderId="1" xfId="0" applyFont="1" applyFill="1" applyBorder="1"/>
    <xf numFmtId="3" fontId="10" fillId="7" borderId="1" xfId="0" applyNumberFormat="1" applyFont="1" applyFill="1" applyBorder="1"/>
    <xf numFmtId="0" fontId="2" fillId="2" borderId="1" xfId="0" applyFont="1" applyFill="1" applyBorder="1" applyAlignment="1">
      <alignment horizontal="center" wrapText="1"/>
    </xf>
    <xf numFmtId="49" fontId="1" fillId="0" borderId="3" xfId="0" applyNumberFormat="1" applyFont="1" applyBorder="1"/>
    <xf numFmtId="49" fontId="1" fillId="0" borderId="3" xfId="0" applyNumberFormat="1" applyFont="1" applyBorder="1" applyAlignment="1">
      <alignment horizontal="center"/>
    </xf>
    <xf numFmtId="1" fontId="1" fillId="0" borderId="1" xfId="0" applyNumberFormat="1" applyFont="1" applyBorder="1" applyAlignment="1">
      <alignment horizontal="center"/>
    </xf>
    <xf numFmtId="0" fontId="3" fillId="0" borderId="0" xfId="0" applyFont="1"/>
    <xf numFmtId="1" fontId="1" fillId="0" borderId="0" xfId="0" applyNumberFormat="1" applyFont="1"/>
    <xf numFmtId="3" fontId="1" fillId="0" borderId="1" xfId="0" applyNumberFormat="1" applyFont="1" applyBorder="1"/>
    <xf numFmtId="3" fontId="1" fillId="0" borderId="1" xfId="0" applyNumberFormat="1" applyFont="1" applyBorder="1" applyAlignment="1">
      <alignment horizontal="center"/>
    </xf>
    <xf numFmtId="3" fontId="1" fillId="0" borderId="0" xfId="0" applyNumberFormat="1" applyFont="1"/>
    <xf numFmtId="3" fontId="3" fillId="0" borderId="1" xfId="0" applyNumberFormat="1" applyFont="1" applyBorder="1"/>
    <xf numFmtId="3" fontId="3" fillId="0" borderId="1" xfId="0" applyNumberFormat="1" applyFont="1" applyBorder="1" applyAlignment="1">
      <alignment horizontal="center"/>
    </xf>
    <xf numFmtId="3" fontId="3" fillId="5" borderId="1" xfId="0" applyNumberFormat="1" applyFont="1" applyFill="1" applyBorder="1"/>
    <xf numFmtId="3" fontId="1" fillId="0" borderId="0" xfId="1" applyNumberFormat="1" applyFont="1"/>
    <xf numFmtId="3" fontId="1" fillId="0" borderId="1" xfId="1" applyNumberFormat="1" applyFont="1" applyBorder="1"/>
    <xf numFmtId="3" fontId="1" fillId="0" borderId="1" xfId="1" applyNumberFormat="1" applyFont="1" applyBorder="1" applyAlignment="1">
      <alignment horizontal="center"/>
    </xf>
    <xf numFmtId="3" fontId="9" fillId="6" borderId="1" xfId="0" applyNumberFormat="1" applyFont="1" applyFill="1" applyBorder="1"/>
    <xf numFmtId="3" fontId="9" fillId="6" borderId="1" xfId="0" applyNumberFormat="1" applyFont="1" applyFill="1" applyBorder="1" applyAlignment="1">
      <alignment horizontal="center"/>
    </xf>
    <xf numFmtId="10" fontId="9" fillId="6" borderId="1" xfId="2" applyNumberFormat="1" applyFont="1" applyFill="1" applyBorder="1"/>
    <xf numFmtId="9" fontId="1" fillId="0" borderId="0" xfId="2" applyFont="1"/>
    <xf numFmtId="0" fontId="0" fillId="0" borderId="0" xfId="0" applyBorder="1"/>
    <xf numFmtId="14" fontId="3" fillId="0" borderId="0" xfId="0" applyNumberFormat="1" applyFont="1"/>
    <xf numFmtId="0" fontId="12" fillId="0" borderId="0" xfId="0" applyFont="1" applyAlignment="1">
      <alignment horizontal="center" vertical="center" readingOrder="1"/>
    </xf>
    <xf numFmtId="0" fontId="13" fillId="0" borderId="0" xfId="3"/>
    <xf numFmtId="2" fontId="1" fillId="0" borderId="0" xfId="0" applyNumberFormat="1" applyFont="1"/>
    <xf numFmtId="0" fontId="1" fillId="9" borderId="1" xfId="0" applyFont="1" applyFill="1" applyBorder="1"/>
    <xf numFmtId="1" fontId="8" fillId="0" borderId="1" xfId="0" applyNumberFormat="1" applyFont="1" applyBorder="1"/>
    <xf numFmtId="0" fontId="8" fillId="9" borderId="1" xfId="0" applyFont="1" applyFill="1" applyBorder="1"/>
    <xf numFmtId="0" fontId="0" fillId="0" borderId="1" xfId="0" applyBorder="1"/>
    <xf numFmtId="0" fontId="14" fillId="0" borderId="0" xfId="0" applyFont="1"/>
    <xf numFmtId="164" fontId="0" fillId="10" borderId="6" xfId="2" applyNumberFormat="1" applyFont="1" applyFill="1" applyBorder="1"/>
    <xf numFmtId="0" fontId="0" fillId="0" borderId="14" xfId="0" applyBorder="1"/>
    <xf numFmtId="0" fontId="0" fillId="9" borderId="0" xfId="0" applyFill="1"/>
    <xf numFmtId="10" fontId="1" fillId="0" borderId="0" xfId="0" applyNumberFormat="1" applyFont="1"/>
    <xf numFmtId="43" fontId="0" fillId="9" borderId="0" xfId="1" applyFont="1" applyFill="1"/>
    <xf numFmtId="0" fontId="0" fillId="0" borderId="3" xfId="0" applyBorder="1"/>
    <xf numFmtId="0" fontId="0" fillId="0" borderId="17" xfId="0" applyBorder="1"/>
    <xf numFmtId="0" fontId="0" fillId="0" borderId="18"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4" fillId="0" borderId="2" xfId="0" applyFont="1" applyBorder="1"/>
    <xf numFmtId="0" fontId="0" fillId="5" borderId="19" xfId="0" applyFill="1" applyBorder="1"/>
    <xf numFmtId="0" fontId="0" fillId="0" borderId="19" xfId="0" applyBorder="1"/>
    <xf numFmtId="0" fontId="14" fillId="0" borderId="19" xfId="0" applyFont="1" applyBorder="1"/>
    <xf numFmtId="0" fontId="0" fillId="0" borderId="4" xfId="0" applyBorder="1"/>
    <xf numFmtId="0" fontId="0" fillId="0" borderId="19" xfId="0" applyFont="1" applyBorder="1"/>
    <xf numFmtId="0" fontId="14" fillId="0" borderId="8" xfId="0" applyFont="1" applyBorder="1"/>
    <xf numFmtId="0" fontId="0" fillId="0" borderId="4" xfId="0" applyFont="1" applyBorder="1"/>
    <xf numFmtId="0" fontId="0" fillId="0" borderId="19" xfId="0" applyFont="1" applyBorder="1" applyAlignment="1">
      <alignment horizontal="right"/>
    </xf>
    <xf numFmtId="0" fontId="14" fillId="0" borderId="5" xfId="0" applyFont="1" applyBorder="1"/>
    <xf numFmtId="0" fontId="1" fillId="0" borderId="5" xfId="0" applyFont="1" applyBorder="1"/>
    <xf numFmtId="0" fontId="1" fillId="0" borderId="6" xfId="0" applyFont="1" applyBorder="1"/>
    <xf numFmtId="0" fontId="1" fillId="0" borderId="7" xfId="0" applyFont="1" applyBorder="1"/>
    <xf numFmtId="0" fontId="3" fillId="0" borderId="8" xfId="0" applyFont="1" applyBorder="1"/>
    <xf numFmtId="0" fontId="1" fillId="0" borderId="9" xfId="0" applyFont="1" applyBorder="1"/>
    <xf numFmtId="0" fontId="1" fillId="0" borderId="8" xfId="0" applyFont="1" applyBorder="1"/>
    <xf numFmtId="0" fontId="1" fillId="0" borderId="10" xfId="0" applyFont="1" applyBorder="1"/>
    <xf numFmtId="0" fontId="1" fillId="0" borderId="11" xfId="0" applyFont="1" applyBorder="1"/>
    <xf numFmtId="0" fontId="1" fillId="0" borderId="12" xfId="0" applyFont="1" applyBorder="1"/>
    <xf numFmtId="0" fontId="3" fillId="0" borderId="0" xfId="0" applyFont="1" applyBorder="1"/>
    <xf numFmtId="0" fontId="3" fillId="5" borderId="1" xfId="0" applyFont="1" applyFill="1" applyBorder="1" applyAlignment="1">
      <alignment horizontal="center"/>
    </xf>
    <xf numFmtId="0" fontId="0" fillId="3" borderId="0" xfId="0" applyFill="1" applyBorder="1"/>
    <xf numFmtId="164" fontId="0" fillId="0" borderId="8" xfId="2" applyNumberFormat="1" applyFont="1" applyBorder="1"/>
    <xf numFmtId="164" fontId="0" fillId="0" borderId="0" xfId="2" applyNumberFormat="1" applyFont="1" applyBorder="1"/>
    <xf numFmtId="164" fontId="0" fillId="3" borderId="0" xfId="2" applyNumberFormat="1" applyFont="1" applyFill="1" applyBorder="1"/>
    <xf numFmtId="164" fontId="0" fillId="0" borderId="9" xfId="2" applyNumberFormat="1" applyFont="1" applyBorder="1"/>
    <xf numFmtId="0" fontId="0" fillId="0" borderId="7" xfId="0" applyFill="1" applyBorder="1"/>
    <xf numFmtId="0" fontId="0" fillId="0" borderId="9" xfId="0" applyFill="1" applyBorder="1"/>
    <xf numFmtId="3" fontId="0" fillId="0" borderId="9" xfId="0" applyNumberFormat="1" applyFill="1" applyBorder="1"/>
    <xf numFmtId="0" fontId="14" fillId="0" borderId="6" xfId="0" applyFont="1" applyBorder="1"/>
    <xf numFmtId="0" fontId="14" fillId="0" borderId="19" xfId="0" applyFont="1" applyBorder="1" applyAlignment="1">
      <alignment horizontal="left"/>
    </xf>
    <xf numFmtId="10" fontId="0" fillId="12" borderId="9" xfId="0" applyNumberFormat="1" applyFill="1" applyBorder="1"/>
    <xf numFmtId="10" fontId="0" fillId="12" borderId="12" xfId="0" applyNumberFormat="1" applyFill="1" applyBorder="1"/>
    <xf numFmtId="9" fontId="0" fillId="8" borderId="9" xfId="0" applyNumberFormat="1" applyFill="1" applyBorder="1"/>
    <xf numFmtId="164" fontId="0" fillId="7" borderId="11" xfId="2" applyNumberFormat="1" applyFont="1" applyFill="1" applyBorder="1"/>
    <xf numFmtId="164" fontId="0" fillId="5" borderId="4" xfId="0" applyNumberFormat="1" applyFill="1" applyBorder="1"/>
    <xf numFmtId="9" fontId="0" fillId="0" borderId="0" xfId="0" applyNumberFormat="1" applyBorder="1"/>
    <xf numFmtId="0" fontId="0" fillId="0" borderId="2" xfId="0" applyBorder="1"/>
    <xf numFmtId="165" fontId="0" fillId="5" borderId="19" xfId="1" applyNumberFormat="1" applyFont="1" applyFill="1" applyBorder="1"/>
    <xf numFmtId="43" fontId="0" fillId="0" borderId="19" xfId="1" applyFont="1" applyBorder="1"/>
    <xf numFmtId="44" fontId="0" fillId="5" borderId="19" xfId="4" applyNumberFormat="1" applyFont="1" applyFill="1" applyBorder="1"/>
    <xf numFmtId="167" fontId="0" fillId="5" borderId="19" xfId="0" applyNumberFormat="1" applyFill="1" applyBorder="1"/>
    <xf numFmtId="166" fontId="0" fillId="5" borderId="19" xfId="4" applyNumberFormat="1" applyFont="1" applyFill="1" applyBorder="1"/>
    <xf numFmtId="10" fontId="0" fillId="11" borderId="0" xfId="0" applyNumberFormat="1" applyFill="1"/>
    <xf numFmtId="0" fontId="0" fillId="0" borderId="20" xfId="0" applyBorder="1"/>
    <xf numFmtId="10" fontId="1" fillId="13" borderId="1" xfId="0" applyNumberFormat="1" applyFont="1" applyFill="1" applyBorder="1"/>
    <xf numFmtId="10" fontId="1" fillId="8" borderId="1" xfId="0" applyNumberFormat="1" applyFont="1" applyFill="1" applyBorder="1"/>
    <xf numFmtId="0" fontId="1" fillId="13" borderId="0" xfId="0" applyFont="1" applyFill="1"/>
    <xf numFmtId="0" fontId="1" fillId="8" borderId="0" xfId="0" applyFont="1" applyFill="1"/>
    <xf numFmtId="0" fontId="1" fillId="13" borderId="1" xfId="0" applyNumberFormat="1" applyFont="1" applyFill="1" applyBorder="1"/>
    <xf numFmtId="9" fontId="1" fillId="13" borderId="1" xfId="2" applyFont="1" applyFill="1" applyBorder="1"/>
    <xf numFmtId="0" fontId="8" fillId="13" borderId="1" xfId="0" applyNumberFormat="1" applyFont="1" applyFill="1" applyBorder="1"/>
    <xf numFmtId="44" fontId="1" fillId="8" borderId="1" xfId="0" applyNumberFormat="1" applyFont="1" applyFill="1" applyBorder="1"/>
    <xf numFmtId="1" fontId="4" fillId="8" borderId="1" xfId="0" applyNumberFormat="1" applyFont="1" applyFill="1" applyBorder="1"/>
    <xf numFmtId="0" fontId="4" fillId="8" borderId="1" xfId="0" applyFont="1" applyFill="1" applyBorder="1"/>
    <xf numFmtId="9" fontId="4" fillId="8" borderId="1" xfId="2" applyFont="1" applyFill="1" applyBorder="1"/>
    <xf numFmtId="0" fontId="1" fillId="0" borderId="21" xfId="0" applyFont="1" applyBorder="1"/>
    <xf numFmtId="0" fontId="1" fillId="0" borderId="22" xfId="0" applyFont="1" applyBorder="1"/>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1" fillId="0" borderId="27" xfId="0" applyFont="1" applyBorder="1" applyAlignment="1">
      <alignment vertical="center"/>
    </xf>
    <xf numFmtId="9" fontId="1" fillId="0" borderId="28" xfId="0" applyNumberFormat="1" applyFont="1" applyBorder="1" applyAlignment="1">
      <alignment horizontal="center" vertical="center"/>
    </xf>
    <xf numFmtId="0" fontId="1" fillId="0" borderId="1" xfId="0" applyFont="1" applyBorder="1" applyAlignment="1">
      <alignment vertical="center"/>
    </xf>
    <xf numFmtId="9" fontId="1" fillId="0" borderId="14" xfId="0" applyNumberFormat="1" applyFont="1" applyBorder="1" applyAlignment="1">
      <alignment horizontal="center" vertical="center"/>
    </xf>
    <xf numFmtId="0" fontId="1" fillId="0" borderId="27" xfId="0" applyFont="1" applyBorder="1" applyAlignment="1">
      <alignment vertical="center" wrapText="1"/>
    </xf>
    <xf numFmtId="0" fontId="1" fillId="0" borderId="1" xfId="0" applyFont="1" applyBorder="1" applyAlignment="1">
      <alignment vertical="center" wrapText="1"/>
    </xf>
    <xf numFmtId="0" fontId="1" fillId="0" borderId="32" xfId="0" applyFont="1" applyBorder="1" applyAlignment="1">
      <alignment vertical="center"/>
    </xf>
    <xf numFmtId="9" fontId="1" fillId="0" borderId="33" xfId="0" applyNumberFormat="1" applyFont="1" applyBorder="1" applyAlignment="1">
      <alignment horizontal="center" vertical="center"/>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4" xfId="0" applyFont="1" applyBorder="1" applyAlignment="1">
      <alignment vertical="center"/>
    </xf>
    <xf numFmtId="9" fontId="1" fillId="0" borderId="25" xfId="0" applyNumberFormat="1" applyFont="1" applyBorder="1" applyAlignment="1">
      <alignment horizontal="center" vertical="center"/>
    </xf>
    <xf numFmtId="9" fontId="7" fillId="0" borderId="1" xfId="2" applyFont="1" applyBorder="1"/>
    <xf numFmtId="0" fontId="2" fillId="2" borderId="1" xfId="0" applyFont="1" applyFill="1" applyBorder="1"/>
    <xf numFmtId="1" fontId="14" fillId="0" borderId="0" xfId="0" applyNumberFormat="1" applyFont="1"/>
    <xf numFmtId="0" fontId="14" fillId="0" borderId="0" xfId="0" applyFont="1" applyAlignment="1">
      <alignment horizontal="right"/>
    </xf>
    <xf numFmtId="9" fontId="14" fillId="0" borderId="0" xfId="0" applyNumberFormat="1" applyFont="1"/>
    <xf numFmtId="0" fontId="16" fillId="0" borderId="0" xfId="0" applyFont="1"/>
    <xf numFmtId="0" fontId="16" fillId="0" borderId="0" xfId="0" applyFont="1" applyAlignment="1">
      <alignment horizontal="right"/>
    </xf>
    <xf numFmtId="0" fontId="1" fillId="8" borderId="1" xfId="0" applyFont="1" applyFill="1" applyBorder="1"/>
    <xf numFmtId="165" fontId="1" fillId="8" borderId="1" xfId="1" applyNumberFormat="1" applyFont="1" applyFill="1" applyBorder="1"/>
    <xf numFmtId="9" fontId="1" fillId="13" borderId="1" xfId="0" applyNumberFormat="1" applyFont="1" applyFill="1" applyBorder="1"/>
    <xf numFmtId="0" fontId="17" fillId="0" borderId="0" xfId="0" applyFont="1"/>
    <xf numFmtId="0" fontId="1" fillId="0" borderId="1" xfId="0" applyFont="1" applyBorder="1" applyAlignment="1">
      <alignment wrapText="1"/>
    </xf>
    <xf numFmtId="0" fontId="1" fillId="0" borderId="0" xfId="0" applyFont="1" applyAlignment="1">
      <alignment wrapText="1"/>
    </xf>
    <xf numFmtId="0" fontId="0" fillId="0" borderId="34" xfId="0" applyBorder="1"/>
    <xf numFmtId="0" fontId="0" fillId="0" borderId="36" xfId="0" applyBorder="1"/>
    <xf numFmtId="10" fontId="0" fillId="0" borderId="1" xfId="0" applyNumberFormat="1" applyBorder="1"/>
    <xf numFmtId="9" fontId="0" fillId="0" borderId="1" xfId="0" applyNumberFormat="1" applyBorder="1"/>
    <xf numFmtId="164" fontId="0" fillId="0" borderId="1" xfId="0" applyNumberFormat="1" applyBorder="1"/>
    <xf numFmtId="0" fontId="0" fillId="0" borderId="35" xfId="0" applyBorder="1"/>
    <xf numFmtId="0" fontId="0" fillId="0" borderId="32" xfId="0" applyBorder="1"/>
    <xf numFmtId="0" fontId="0" fillId="8" borderId="1" xfId="0" applyFill="1" applyBorder="1"/>
    <xf numFmtId="0" fontId="0" fillId="9" borderId="9" xfId="0" applyFill="1" applyBorder="1"/>
    <xf numFmtId="0" fontId="0" fillId="0" borderId="8" xfId="0" applyBorder="1" applyAlignment="1">
      <alignment horizontal="right"/>
    </xf>
    <xf numFmtId="0" fontId="0" fillId="0" borderId="0" xfId="0" applyBorder="1" applyAlignment="1">
      <alignment horizontal="right"/>
    </xf>
    <xf numFmtId="0" fontId="0" fillId="3" borderId="0" xfId="0" applyFill="1" applyBorder="1" applyAlignment="1">
      <alignment horizontal="right"/>
    </xf>
    <xf numFmtId="0" fontId="0" fillId="0" borderId="9" xfId="0" applyBorder="1" applyAlignment="1">
      <alignment horizontal="right"/>
    </xf>
    <xf numFmtId="165" fontId="0" fillId="0" borderId="8" xfId="1" applyNumberFormat="1" applyFont="1" applyBorder="1" applyAlignment="1">
      <alignment horizontal="right"/>
    </xf>
    <xf numFmtId="165" fontId="0" fillId="0" borderId="0" xfId="1" applyNumberFormat="1" applyFont="1" applyBorder="1" applyAlignment="1">
      <alignment horizontal="right"/>
    </xf>
    <xf numFmtId="165" fontId="0" fillId="3" borderId="0" xfId="1" applyNumberFormat="1" applyFont="1" applyFill="1" applyBorder="1" applyAlignment="1">
      <alignment horizontal="right"/>
    </xf>
    <xf numFmtId="165" fontId="0" fillId="9" borderId="0" xfId="1" applyNumberFormat="1" applyFont="1" applyFill="1" applyBorder="1" applyAlignment="1">
      <alignment horizontal="right"/>
    </xf>
    <xf numFmtId="165" fontId="0" fillId="0" borderId="9" xfId="1" applyNumberFormat="1" applyFont="1" applyBorder="1" applyAlignment="1">
      <alignment horizontal="right"/>
    </xf>
    <xf numFmtId="164" fontId="0" fillId="0" borderId="8" xfId="0" applyNumberFormat="1" applyBorder="1" applyAlignment="1">
      <alignment horizontal="right"/>
    </xf>
    <xf numFmtId="164" fontId="0" fillId="0" borderId="0" xfId="0" applyNumberFormat="1" applyBorder="1" applyAlignment="1">
      <alignment horizontal="right"/>
    </xf>
    <xf numFmtId="164" fontId="0" fillId="3" borderId="0" xfId="0" applyNumberFormat="1" applyFill="1" applyBorder="1" applyAlignment="1">
      <alignment horizontal="right"/>
    </xf>
    <xf numFmtId="164" fontId="0" fillId="0" borderId="9" xfId="0" applyNumberFormat="1" applyBorder="1" applyAlignment="1">
      <alignment horizontal="right"/>
    </xf>
    <xf numFmtId="10" fontId="0" fillId="0" borderId="8" xfId="0" applyNumberFormat="1" applyBorder="1" applyAlignment="1">
      <alignment horizontal="right"/>
    </xf>
    <xf numFmtId="10" fontId="0" fillId="0" borderId="0" xfId="0" applyNumberFormat="1" applyBorder="1" applyAlignment="1">
      <alignment horizontal="right"/>
    </xf>
    <xf numFmtId="10" fontId="0" fillId="3" borderId="0" xfId="0" applyNumberFormat="1" applyFill="1" applyBorder="1" applyAlignment="1">
      <alignment horizontal="right"/>
    </xf>
    <xf numFmtId="10" fontId="15" fillId="0" borderId="9" xfId="0" applyNumberFormat="1" applyFont="1" applyBorder="1" applyAlignment="1">
      <alignment horizontal="right"/>
    </xf>
    <xf numFmtId="10" fontId="0" fillId="0" borderId="8" xfId="2" applyNumberFormat="1" applyFont="1" applyBorder="1" applyAlignment="1">
      <alignment horizontal="right"/>
    </xf>
    <xf numFmtId="10" fontId="0" fillId="0" borderId="0" xfId="2" applyNumberFormat="1" applyFont="1" applyBorder="1" applyAlignment="1">
      <alignment horizontal="right"/>
    </xf>
    <xf numFmtId="10" fontId="0" fillId="3" borderId="0" xfId="2" applyNumberFormat="1" applyFont="1" applyFill="1" applyBorder="1" applyAlignment="1">
      <alignment horizontal="right"/>
    </xf>
    <xf numFmtId="10" fontId="0" fillId="0" borderId="9" xfId="2" applyNumberFormat="1" applyFont="1" applyBorder="1" applyAlignment="1">
      <alignment horizontal="right"/>
    </xf>
    <xf numFmtId="164" fontId="0" fillId="0" borderId="8" xfId="2" applyNumberFormat="1" applyFont="1" applyBorder="1" applyAlignment="1">
      <alignment horizontal="right"/>
    </xf>
    <xf numFmtId="164" fontId="0" fillId="0" borderId="0" xfId="2" applyNumberFormat="1" applyFont="1" applyBorder="1" applyAlignment="1">
      <alignment horizontal="right"/>
    </xf>
    <xf numFmtId="164" fontId="0" fillId="3" borderId="0" xfId="2" applyNumberFormat="1" applyFont="1" applyFill="1" applyBorder="1" applyAlignment="1">
      <alignment horizontal="right"/>
    </xf>
    <xf numFmtId="164" fontId="0" fillId="0" borderId="9" xfId="2" applyNumberFormat="1" applyFont="1" applyBorder="1" applyAlignment="1">
      <alignment horizontal="right"/>
    </xf>
    <xf numFmtId="44" fontId="0" fillId="0" borderId="8" xfId="4" applyNumberFormat="1" applyFont="1" applyBorder="1" applyAlignment="1">
      <alignment horizontal="right"/>
    </xf>
    <xf numFmtId="44" fontId="0" fillId="0" borderId="0" xfId="4" applyNumberFormat="1" applyFont="1" applyBorder="1" applyAlignment="1">
      <alignment horizontal="right"/>
    </xf>
    <xf numFmtId="44" fontId="0" fillId="3" borderId="0" xfId="4" applyNumberFormat="1" applyFont="1" applyFill="1" applyBorder="1" applyAlignment="1">
      <alignment horizontal="right"/>
    </xf>
    <xf numFmtId="44" fontId="0" fillId="9" borderId="0" xfId="4" applyNumberFormat="1" applyFont="1" applyFill="1" applyBorder="1" applyAlignment="1">
      <alignment horizontal="right"/>
    </xf>
    <xf numFmtId="44" fontId="0" fillId="0" borderId="9" xfId="4" applyNumberFormat="1" applyFont="1" applyBorder="1" applyAlignment="1">
      <alignment horizontal="right"/>
    </xf>
    <xf numFmtId="9" fontId="0" fillId="0" borderId="8" xfId="2" applyFont="1" applyBorder="1" applyAlignment="1">
      <alignment horizontal="right"/>
    </xf>
    <xf numFmtId="9" fontId="0" fillId="0" borderId="0" xfId="2" applyFont="1" applyBorder="1" applyAlignment="1">
      <alignment horizontal="right"/>
    </xf>
    <xf numFmtId="9" fontId="0" fillId="0" borderId="9" xfId="2" applyFont="1" applyBorder="1" applyAlignment="1">
      <alignment horizontal="right"/>
    </xf>
    <xf numFmtId="168" fontId="0" fillId="0" borderId="8" xfId="1" applyNumberFormat="1" applyFont="1" applyBorder="1" applyAlignment="1">
      <alignment horizontal="right"/>
    </xf>
    <xf numFmtId="168" fontId="0" fillId="9" borderId="0" xfId="1" applyNumberFormat="1" applyFont="1" applyFill="1" applyBorder="1" applyAlignment="1">
      <alignment horizontal="right"/>
    </xf>
    <xf numFmtId="168" fontId="0" fillId="3" borderId="0" xfId="1" applyNumberFormat="1" applyFont="1" applyFill="1" applyBorder="1" applyAlignment="1">
      <alignment horizontal="right"/>
    </xf>
    <xf numFmtId="168" fontId="0" fillId="0" borderId="0" xfId="1" applyNumberFormat="1" applyFont="1" applyBorder="1" applyAlignment="1">
      <alignment horizontal="right"/>
    </xf>
    <xf numFmtId="168" fontId="0" fillId="0" borderId="9" xfId="1" applyNumberFormat="1" applyFont="1" applyBorder="1" applyAlignment="1">
      <alignment horizontal="right"/>
    </xf>
    <xf numFmtId="166" fontId="0" fillId="0" borderId="8" xfId="4" applyNumberFormat="1" applyFont="1" applyBorder="1" applyAlignment="1">
      <alignment horizontal="right"/>
    </xf>
    <xf numFmtId="166" fontId="0" fillId="0" borderId="0" xfId="4" applyNumberFormat="1" applyFont="1" applyBorder="1" applyAlignment="1">
      <alignment horizontal="right"/>
    </xf>
    <xf numFmtId="166" fontId="0" fillId="3" borderId="0" xfId="4" applyNumberFormat="1" applyFont="1" applyFill="1" applyBorder="1" applyAlignment="1">
      <alignment horizontal="right"/>
    </xf>
    <xf numFmtId="166" fontId="0" fillId="9" borderId="0" xfId="4" applyNumberFormat="1" applyFont="1" applyFill="1" applyBorder="1" applyAlignment="1">
      <alignment horizontal="right"/>
    </xf>
    <xf numFmtId="166" fontId="0" fillId="0" borderId="9" xfId="4" applyNumberFormat="1" applyFont="1" applyBorder="1" applyAlignment="1">
      <alignment horizontal="right"/>
    </xf>
    <xf numFmtId="164" fontId="0" fillId="0" borderId="10" xfId="2" applyNumberFormat="1" applyFont="1" applyBorder="1" applyAlignment="1">
      <alignment horizontal="right"/>
    </xf>
    <xf numFmtId="164" fontId="0" fillId="0" borderId="11" xfId="2" applyNumberFormat="1" applyFont="1" applyBorder="1" applyAlignment="1">
      <alignment horizontal="right"/>
    </xf>
    <xf numFmtId="164" fontId="0" fillId="3" borderId="11" xfId="2" applyNumberFormat="1" applyFont="1" applyFill="1" applyBorder="1" applyAlignment="1">
      <alignment horizontal="right"/>
    </xf>
    <xf numFmtId="164" fontId="0" fillId="0" borderId="12" xfId="2" applyNumberFormat="1" applyFont="1" applyBorder="1" applyAlignment="1">
      <alignment horizontal="right"/>
    </xf>
    <xf numFmtId="0" fontId="14" fillId="0" borderId="0" xfId="0" applyFont="1" applyBorder="1"/>
    <xf numFmtId="0" fontId="14" fillId="0" borderId="35" xfId="0" applyFont="1" applyBorder="1"/>
    <xf numFmtId="0" fontId="0" fillId="0" borderId="37" xfId="0" applyBorder="1"/>
    <xf numFmtId="0" fontId="14" fillId="0" borderId="36" xfId="0" applyFont="1" applyBorder="1"/>
    <xf numFmtId="0" fontId="0" fillId="0" borderId="38" xfId="0" applyBorder="1"/>
    <xf numFmtId="164" fontId="0" fillId="0" borderId="14" xfId="0" applyNumberFormat="1" applyBorder="1"/>
    <xf numFmtId="164" fontId="0" fillId="0" borderId="32" xfId="0" applyNumberFormat="1" applyBorder="1"/>
    <xf numFmtId="0" fontId="0" fillId="0" borderId="39" xfId="0" applyBorder="1"/>
    <xf numFmtId="164" fontId="0" fillId="0" borderId="33" xfId="0" applyNumberFormat="1" applyBorder="1"/>
    <xf numFmtId="166" fontId="1" fillId="8" borderId="1" xfId="0" applyNumberFormat="1" applyFont="1" applyFill="1" applyBorder="1"/>
    <xf numFmtId="0" fontId="5" fillId="4" borderId="0" xfId="0" applyFont="1" applyFill="1" applyAlignment="1">
      <alignment horizontal="left"/>
    </xf>
    <xf numFmtId="0" fontId="5" fillId="4" borderId="0" xfId="0" applyFont="1" applyFill="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left"/>
    </xf>
    <xf numFmtId="0" fontId="1" fillId="0" borderId="26" xfId="0" applyFont="1" applyBorder="1" applyAlignment="1">
      <alignment vertical="center" wrapText="1"/>
    </xf>
    <xf numFmtId="0" fontId="1" fillId="0" borderId="31" xfId="0" applyFont="1" applyBorder="1" applyAlignment="1">
      <alignment vertical="center" wrapText="1"/>
    </xf>
    <xf numFmtId="0" fontId="1" fillId="0" borderId="19" xfId="0" applyFont="1" applyBorder="1" applyAlignment="1">
      <alignment vertical="center" wrapText="1"/>
    </xf>
    <xf numFmtId="0" fontId="1" fillId="0" borderId="13" xfId="0" applyFont="1" applyBorder="1" applyAlignment="1">
      <alignment vertical="center" wrapText="1"/>
    </xf>
    <xf numFmtId="0" fontId="1" fillId="0" borderId="30" xfId="0" applyFont="1" applyBorder="1" applyAlignment="1">
      <alignment vertical="center" wrapText="1"/>
    </xf>
    <xf numFmtId="0" fontId="1" fillId="0" borderId="29" xfId="0" applyFont="1" applyBorder="1" applyAlignment="1">
      <alignment vertical="center" wrapText="1"/>
    </xf>
    <xf numFmtId="9" fontId="0" fillId="0" borderId="15" xfId="0" applyNumberFormat="1" applyBorder="1" applyAlignment="1">
      <alignment horizontal="center"/>
    </xf>
    <xf numFmtId="9" fontId="0" fillId="0" borderId="1" xfId="0" applyNumberForma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9" fontId="0" fillId="0" borderId="14" xfId="0" applyNumberFormat="1" applyBorder="1" applyAlignment="1">
      <alignment horizontal="center"/>
    </xf>
    <xf numFmtId="10" fontId="0" fillId="0" borderId="3" xfId="2" applyNumberFormat="1" applyFont="1" applyBorder="1" applyAlignment="1">
      <alignment horizontal="left" vertical="top" wrapText="1"/>
    </xf>
    <xf numFmtId="10" fontId="0" fillId="0" borderId="17" xfId="2" applyNumberFormat="1" applyFont="1" applyBorder="1" applyAlignment="1">
      <alignment horizontal="left" vertical="top" wrapText="1"/>
    </xf>
    <xf numFmtId="10" fontId="0" fillId="0" borderId="18" xfId="2" applyNumberFormat="1" applyFont="1" applyBorder="1" applyAlignment="1">
      <alignment horizontal="left" vertical="top" wrapText="1"/>
    </xf>
  </cellXfs>
  <cellStyles count="5">
    <cellStyle name="Lien hypertexte" xfId="3" builtinId="8"/>
    <cellStyle name="Milliers" xfId="1" builtinId="3"/>
    <cellStyle name="Monétaire" xfId="4" builtinId="4"/>
    <cellStyle name="Normal" xfId="0" builtinId="0"/>
    <cellStyle name="Pourcentage" xfId="2" builtinId="5"/>
  </cellStyles>
  <dxfs count="40">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sz="1200"/>
              <a:t>Investitionsrechnung </a:t>
            </a:r>
            <a:r>
              <a:rPr lang="de-CH" sz="1200" baseline="0"/>
              <a:t>CHF, Nettobarwert über Projektlaufzeit</a:t>
            </a:r>
            <a:endParaRPr lang="de-CH" sz="1200"/>
          </a:p>
        </c:rich>
      </c:tx>
      <c:overlay val="0"/>
    </c:title>
    <c:autoTitleDeleted val="0"/>
    <c:plotArea>
      <c:layout/>
      <c:barChart>
        <c:barDir val="col"/>
        <c:grouping val="stacked"/>
        <c:varyColors val="0"/>
        <c:ser>
          <c:idx val="0"/>
          <c:order val="0"/>
          <c:tx>
            <c:strRef>
              <c:f>Wirtschaftlichkeit!$B$98</c:f>
              <c:strCache>
                <c:ptCount val="1"/>
                <c:pt idx="0">
                  <c:v>Mehrinvestitionen Projekt</c:v>
                </c:pt>
              </c:strCache>
            </c:strRef>
          </c:tx>
          <c:invertIfNegative val="0"/>
          <c:cat>
            <c:strRef>
              <c:f>Wirtschaftlichkeit!$C$97:$D$97</c:f>
              <c:strCache>
                <c:ptCount val="2"/>
                <c:pt idx="0">
                  <c:v>Investitionen</c:v>
                </c:pt>
                <c:pt idx="1">
                  <c:v>Ertrag</c:v>
                </c:pt>
              </c:strCache>
            </c:strRef>
          </c:cat>
          <c:val>
            <c:numRef>
              <c:f>Wirtschaftlichkeit!$C$98:$D$98</c:f>
              <c:numCache>
                <c:formatCode>0</c:formatCode>
                <c:ptCount val="2"/>
                <c:pt idx="0">
                  <c:v>34675.191350079156</c:v>
                </c:pt>
              </c:numCache>
            </c:numRef>
          </c:val>
        </c:ser>
        <c:ser>
          <c:idx val="1"/>
          <c:order val="1"/>
          <c:tx>
            <c:strRef>
              <c:f>Wirtschaftlichkeit!$B$99</c:f>
              <c:strCache>
                <c:ptCount val="1"/>
                <c:pt idx="0">
                  <c:v>Kosteneinsparungen Projekt</c:v>
                </c:pt>
              </c:strCache>
            </c:strRef>
          </c:tx>
          <c:invertIfNegative val="0"/>
          <c:cat>
            <c:strRef>
              <c:f>Wirtschaftlichkeit!$C$97:$D$97</c:f>
              <c:strCache>
                <c:ptCount val="2"/>
                <c:pt idx="0">
                  <c:v>Investitionen</c:v>
                </c:pt>
                <c:pt idx="1">
                  <c:v>Ertrag</c:v>
                </c:pt>
              </c:strCache>
            </c:strRef>
          </c:cat>
          <c:val>
            <c:numRef>
              <c:f>Wirtschaftlichkeit!$C$99:$D$99</c:f>
              <c:numCache>
                <c:formatCode>0</c:formatCode>
                <c:ptCount val="2"/>
                <c:pt idx="1">
                  <c:v>35767.513131989312</c:v>
                </c:pt>
              </c:numCache>
            </c:numRef>
          </c:val>
        </c:ser>
        <c:ser>
          <c:idx val="2"/>
          <c:order val="2"/>
          <c:tx>
            <c:strRef>
              <c:f>Wirtschaftlichkeit!$B$100</c:f>
              <c:strCache>
                <c:ptCount val="1"/>
                <c:pt idx="0">
                  <c:v>Erlös aus CO2-Bescheinigungen</c:v>
                </c:pt>
              </c:strCache>
            </c:strRef>
          </c:tx>
          <c:invertIfNegative val="0"/>
          <c:cat>
            <c:strRef>
              <c:f>Wirtschaftlichkeit!$C$97:$D$97</c:f>
              <c:strCache>
                <c:ptCount val="2"/>
                <c:pt idx="0">
                  <c:v>Investitionen</c:v>
                </c:pt>
                <c:pt idx="1">
                  <c:v>Ertrag</c:v>
                </c:pt>
              </c:strCache>
            </c:strRef>
          </c:cat>
          <c:val>
            <c:numRef>
              <c:f>Wirtschaftlichkeit!$C$100:$D$100</c:f>
              <c:numCache>
                <c:formatCode>0</c:formatCode>
                <c:ptCount val="2"/>
                <c:pt idx="1">
                  <c:v>66000</c:v>
                </c:pt>
              </c:numCache>
            </c:numRef>
          </c:val>
        </c:ser>
        <c:dLbls>
          <c:showLegendKey val="0"/>
          <c:showVal val="0"/>
          <c:showCatName val="0"/>
          <c:showSerName val="0"/>
          <c:showPercent val="0"/>
          <c:showBubbleSize val="0"/>
        </c:dLbls>
        <c:gapWidth val="150"/>
        <c:overlap val="100"/>
        <c:axId val="209057648"/>
        <c:axId val="209062992"/>
      </c:barChart>
      <c:catAx>
        <c:axId val="209057648"/>
        <c:scaling>
          <c:orientation val="minMax"/>
        </c:scaling>
        <c:delete val="0"/>
        <c:axPos val="b"/>
        <c:numFmt formatCode="General" sourceLinked="0"/>
        <c:majorTickMark val="out"/>
        <c:minorTickMark val="none"/>
        <c:tickLblPos val="nextTo"/>
        <c:crossAx val="209062992"/>
        <c:crosses val="autoZero"/>
        <c:auto val="1"/>
        <c:lblAlgn val="ctr"/>
        <c:lblOffset val="100"/>
        <c:noMultiLvlLbl val="0"/>
      </c:catAx>
      <c:valAx>
        <c:axId val="209062992"/>
        <c:scaling>
          <c:orientation val="minMax"/>
        </c:scaling>
        <c:delete val="0"/>
        <c:axPos val="l"/>
        <c:majorGridlines/>
        <c:numFmt formatCode="0" sourceLinked="1"/>
        <c:majorTickMark val="out"/>
        <c:minorTickMark val="none"/>
        <c:tickLblPos val="nextTo"/>
        <c:crossAx val="209057648"/>
        <c:crosses val="autoZero"/>
        <c:crossBetween val="between"/>
      </c:valAx>
    </c:plotArea>
    <c:legend>
      <c:legendPos val="r"/>
      <c:overlay val="0"/>
    </c:legend>
    <c:plotVisOnly val="1"/>
    <c:dispBlanksAs val="gap"/>
    <c:showDLblsOverMax val="0"/>
  </c:chart>
  <c:printSettings>
    <c:headerFooter/>
    <c:pageMargins b="0.78740157480314954" l="0.70866141732283505" r="0.70866141732283505" t="0.78740157480314954" header="0.31496062992126017" footer="0.31496062992126017"/>
    <c:pageSetup paperSize="9"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1066800</xdr:colOff>
      <xdr:row>38</xdr:row>
      <xdr:rowOff>9525</xdr:rowOff>
    </xdr:from>
    <xdr:ext cx="184731" cy="264560"/>
    <xdr:sp macro="" textlink="">
      <xdr:nvSpPr>
        <xdr:cNvPr id="2" name="Textfeld 1"/>
        <xdr:cNvSpPr txBox="1"/>
      </xdr:nvSpPr>
      <xdr:spPr>
        <a:xfrm>
          <a:off x="581025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132290</xdr:colOff>
      <xdr:row>4</xdr:row>
      <xdr:rowOff>110068</xdr:rowOff>
    </xdr:from>
    <xdr:to>
      <xdr:col>17</xdr:col>
      <xdr:colOff>306916</xdr:colOff>
      <xdr:row>33</xdr:row>
      <xdr:rowOff>31750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k&#228;ltetechnikshop.com/" TargetMode="External"/><Relationship Id="rId1" Type="http://schemas.openxmlformats.org/officeDocument/2006/relationships/hyperlink" Target="http://www.klimaimport.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8"/>
  <sheetViews>
    <sheetView workbookViewId="0">
      <selection activeCell="G32" sqref="G32"/>
    </sheetView>
  </sheetViews>
  <sheetFormatPr baseColWidth="10" defaultColWidth="11.44140625" defaultRowHeight="11.4" x14ac:dyDescent="0.2"/>
  <cols>
    <col min="1" max="1" width="5.44140625" style="1" customWidth="1"/>
    <col min="2" max="2" width="43.109375" style="1" customWidth="1"/>
    <col min="3" max="3" width="16.5546875" style="1" customWidth="1"/>
    <col min="4" max="4" width="13.88671875" style="1" customWidth="1"/>
    <col min="5" max="5" width="22" style="1" customWidth="1"/>
    <col min="6" max="6" width="4.33203125" style="1" customWidth="1"/>
    <col min="7" max="7" width="41.44140625" style="1" customWidth="1"/>
    <col min="8" max="8" width="14.88671875" style="1" customWidth="1"/>
    <col min="9" max="9" width="17.6640625" style="1" customWidth="1"/>
    <col min="10" max="16384" width="11.44140625" style="1"/>
  </cols>
  <sheetData>
    <row r="2" spans="2:5" ht="12" x14ac:dyDescent="0.25">
      <c r="B2" s="33" t="s">
        <v>130</v>
      </c>
      <c r="C2" s="33"/>
      <c r="D2" s="33"/>
      <c r="E2" s="33"/>
    </row>
    <row r="3" spans="2:5" ht="12" x14ac:dyDescent="0.25">
      <c r="B3" s="33"/>
      <c r="C3" s="33"/>
      <c r="D3" s="33"/>
      <c r="E3" s="33"/>
    </row>
    <row r="4" spans="2:5" ht="12" x14ac:dyDescent="0.25">
      <c r="B4" s="33"/>
      <c r="C4" s="33"/>
      <c r="D4" s="33"/>
      <c r="E4" s="33"/>
    </row>
    <row r="5" spans="2:5" ht="12" x14ac:dyDescent="0.25">
      <c r="B5" s="33" t="s">
        <v>131</v>
      </c>
      <c r="D5" s="33" t="s">
        <v>132</v>
      </c>
      <c r="E5" s="49">
        <f ca="1">TODAY()</f>
        <v>42172</v>
      </c>
    </row>
    <row r="8" spans="2:5" ht="12" x14ac:dyDescent="0.25">
      <c r="B8" s="226" t="s">
        <v>28</v>
      </c>
      <c r="C8" s="226"/>
      <c r="D8" s="226"/>
      <c r="E8" s="226"/>
    </row>
    <row r="10" spans="2:5" ht="24" x14ac:dyDescent="0.25">
      <c r="B10" s="3" t="s">
        <v>26</v>
      </c>
      <c r="C10" s="29" t="s">
        <v>113</v>
      </c>
      <c r="D10" s="3" t="s">
        <v>1</v>
      </c>
      <c r="E10" s="5" t="s">
        <v>2</v>
      </c>
    </row>
    <row r="11" spans="2:5" ht="12" x14ac:dyDescent="0.25">
      <c r="B11" s="2" t="s">
        <v>17</v>
      </c>
      <c r="C11" s="31" t="s">
        <v>114</v>
      </c>
      <c r="D11" s="21" t="s">
        <v>11</v>
      </c>
      <c r="E11" s="26" t="s">
        <v>64</v>
      </c>
    </row>
    <row r="13" spans="2:5" ht="12" x14ac:dyDescent="0.25">
      <c r="B13" s="226" t="s">
        <v>25</v>
      </c>
      <c r="C13" s="226"/>
      <c r="D13" s="226"/>
      <c r="E13" s="226"/>
    </row>
    <row r="15" spans="2:5" ht="12" x14ac:dyDescent="0.25">
      <c r="B15" s="3" t="s">
        <v>26</v>
      </c>
      <c r="C15" s="3"/>
      <c r="D15" s="3" t="s">
        <v>1</v>
      </c>
      <c r="E15" s="5" t="s">
        <v>2</v>
      </c>
    </row>
    <row r="16" spans="2:5" ht="12" x14ac:dyDescent="0.25">
      <c r="B16" s="2" t="s">
        <v>5</v>
      </c>
      <c r="C16" s="31" t="s">
        <v>115</v>
      </c>
      <c r="D16" s="21" t="s">
        <v>11</v>
      </c>
      <c r="E16" s="26" t="s">
        <v>83</v>
      </c>
    </row>
    <row r="17" spans="2:7" ht="12" x14ac:dyDescent="0.25">
      <c r="B17" s="2" t="s">
        <v>9</v>
      </c>
      <c r="C17" s="31" t="s">
        <v>116</v>
      </c>
      <c r="D17" s="21" t="s">
        <v>12</v>
      </c>
      <c r="E17" s="6">
        <v>2000</v>
      </c>
    </row>
    <row r="18" spans="2:7" ht="12" x14ac:dyDescent="0.25">
      <c r="B18" s="2" t="s">
        <v>10</v>
      </c>
      <c r="C18" s="31" t="s">
        <v>117</v>
      </c>
      <c r="D18" s="21" t="s">
        <v>13</v>
      </c>
      <c r="E18" s="127">
        <f>Beziehungen_Schlüsselvariablen!D8*'Eingabe und Übersicht'!E19</f>
        <v>250</v>
      </c>
    </row>
    <row r="19" spans="2:7" ht="12" x14ac:dyDescent="0.25">
      <c r="B19" s="2" t="s">
        <v>129</v>
      </c>
      <c r="C19" s="31" t="s">
        <v>118</v>
      </c>
      <c r="D19" s="21" t="s">
        <v>93</v>
      </c>
      <c r="E19" s="6">
        <v>100</v>
      </c>
      <c r="G19" s="157"/>
    </row>
    <row r="21" spans="2:7" ht="12" x14ac:dyDescent="0.25">
      <c r="B21" s="226" t="s">
        <v>27</v>
      </c>
      <c r="C21" s="226"/>
      <c r="D21" s="226"/>
      <c r="E21" s="226"/>
    </row>
    <row r="23" spans="2:7" ht="12" x14ac:dyDescent="0.25">
      <c r="B23" s="3" t="s">
        <v>26</v>
      </c>
      <c r="C23" s="3"/>
      <c r="D23" s="3" t="s">
        <v>1</v>
      </c>
      <c r="E23" s="5" t="s">
        <v>2</v>
      </c>
    </row>
    <row r="24" spans="2:7" ht="12" x14ac:dyDescent="0.25">
      <c r="B24" s="2" t="s">
        <v>5</v>
      </c>
      <c r="C24" s="31" t="s">
        <v>119</v>
      </c>
      <c r="D24" s="21" t="s">
        <v>11</v>
      </c>
      <c r="E24" s="26" t="s">
        <v>30</v>
      </c>
    </row>
    <row r="25" spans="2:7" ht="12" x14ac:dyDescent="0.25">
      <c r="B25" s="2" t="s">
        <v>9</v>
      </c>
      <c r="C25" s="31" t="s">
        <v>120</v>
      </c>
      <c r="D25" s="21" t="s">
        <v>12</v>
      </c>
      <c r="E25" s="6">
        <v>2015</v>
      </c>
    </row>
    <row r="26" spans="2:7" ht="12" x14ac:dyDescent="0.25">
      <c r="B26" s="2" t="s">
        <v>34</v>
      </c>
      <c r="C26" s="30"/>
      <c r="D26" s="21" t="s">
        <v>4</v>
      </c>
      <c r="E26" s="128">
        <f>E19*Beziehungen_Schlüsselvariablen!D9</f>
        <v>100000</v>
      </c>
    </row>
    <row r="27" spans="2:7" ht="12" x14ac:dyDescent="0.25">
      <c r="B27" s="2" t="s">
        <v>217</v>
      </c>
      <c r="C27" s="30"/>
      <c r="D27" s="21" t="s">
        <v>94</v>
      </c>
      <c r="E27" s="129">
        <f>IF(ISBLANK(Beziehungen_Schlüsselvariablen!D6),Sensitivitätsanalyse!C6,Beziehungen_Schlüsselvariablen!D6)</f>
        <v>0.2</v>
      </c>
    </row>
    <row r="29" spans="2:7" ht="12" x14ac:dyDescent="0.25">
      <c r="B29" s="226" t="s">
        <v>99</v>
      </c>
      <c r="C29" s="226"/>
      <c r="D29" s="226"/>
      <c r="E29" s="226"/>
    </row>
    <row r="31" spans="2:7" ht="12" x14ac:dyDescent="0.25">
      <c r="B31" s="3" t="s">
        <v>26</v>
      </c>
      <c r="C31" s="3"/>
      <c r="D31" s="3" t="s">
        <v>1</v>
      </c>
      <c r="E31" s="3" t="s">
        <v>2</v>
      </c>
    </row>
    <row r="32" spans="2:7" x14ac:dyDescent="0.2">
      <c r="B32" s="2" t="s">
        <v>100</v>
      </c>
      <c r="C32" s="30"/>
      <c r="D32" s="2" t="s">
        <v>42</v>
      </c>
      <c r="E32" s="10">
        <f ca="1">Wirtschaftlichkeit!D58</f>
        <v>881.77500000000009</v>
      </c>
    </row>
    <row r="33" spans="2:5" ht="13.8" x14ac:dyDescent="0.25">
      <c r="B33" s="27" t="s">
        <v>101</v>
      </c>
      <c r="C33" s="27"/>
      <c r="D33" s="27" t="s">
        <v>4</v>
      </c>
      <c r="E33" s="28">
        <f ca="1">ROUND(Wirtschaftlichkeit!F90,-3)</f>
        <v>66000</v>
      </c>
    </row>
    <row r="36" spans="2:5" ht="12" x14ac:dyDescent="0.25">
      <c r="B36" s="33"/>
      <c r="C36" s="33"/>
      <c r="D36" s="33"/>
      <c r="E36" s="33"/>
    </row>
    <row r="37" spans="2:5" ht="12" x14ac:dyDescent="0.25">
      <c r="D37" s="6"/>
      <c r="E37" s="1" t="s">
        <v>203</v>
      </c>
    </row>
    <row r="38" spans="2:5" ht="12" x14ac:dyDescent="0.25">
      <c r="D38" s="127"/>
      <c r="E38" s="1" t="s">
        <v>221</v>
      </c>
    </row>
  </sheetData>
  <mergeCells count="4">
    <mergeCell ref="B8:E8"/>
    <mergeCell ref="B13:E13"/>
    <mergeCell ref="B21:E21"/>
    <mergeCell ref="B29:E29"/>
  </mergeCells>
  <dataValidations count="2">
    <dataValidation type="list" allowBlank="1" showInputMessage="1" showErrorMessage="1" sqref="E24">
      <formula1>Natürliche</formula1>
    </dataValidation>
    <dataValidation type="list" allowBlank="1" showInputMessage="1" showErrorMessage="1" sqref="E16">
      <formula1>HFKW</formula1>
    </dataValidation>
  </dataValidations>
  <pageMargins left="0.70866141732283472" right="0.70866141732283472" top="0.78740157480314965" bottom="0.78740157480314965" header="0.31496062992125984" footer="0.31496062992125984"/>
  <pageSetup paperSize="9" scale="9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Listen!$B$35:$B$38</xm:f>
          </x14:formula1>
          <xm:sqref>E11</xm:sqref>
        </x14:dataValidation>
        <x14:dataValidation type="list" allowBlank="1" showInputMessage="1" showErrorMessage="1">
          <x14:formula1>
            <xm:f>Listen!B35:B38</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100"/>
  <sheetViews>
    <sheetView topLeftCell="A3" workbookViewId="0">
      <selection activeCell="F87" sqref="F87"/>
    </sheetView>
  </sheetViews>
  <sheetFormatPr baseColWidth="10" defaultColWidth="11.44140625" defaultRowHeight="11.4" x14ac:dyDescent="0.2"/>
  <cols>
    <col min="1" max="1" width="3.44140625" style="1" customWidth="1"/>
    <col min="2" max="2" width="38.6640625" style="1" customWidth="1"/>
    <col min="3" max="3" width="11.88671875" style="1" customWidth="1"/>
    <col min="4" max="4" width="9.5546875" style="1" bestFit="1" customWidth="1"/>
    <col min="5" max="5" width="3.44140625" style="1" customWidth="1"/>
    <col min="6" max="31" width="10.6640625" style="1" customWidth="1"/>
    <col min="32" max="16384" width="11.44140625" style="1"/>
  </cols>
  <sheetData>
    <row r="2" spans="2:27" ht="15.6" x14ac:dyDescent="0.25">
      <c r="B2" s="226" t="s">
        <v>28</v>
      </c>
      <c r="C2" s="226"/>
      <c r="D2" s="226"/>
      <c r="K2" s="50"/>
    </row>
    <row r="3" spans="2:27" ht="12" x14ac:dyDescent="0.25">
      <c r="B3" s="14" t="s">
        <v>80</v>
      </c>
      <c r="C3" s="15"/>
      <c r="D3" s="16"/>
    </row>
    <row r="4" spans="2:27" x14ac:dyDescent="0.2">
      <c r="B4" s="11" t="s">
        <v>18</v>
      </c>
      <c r="C4" s="11" t="s">
        <v>11</v>
      </c>
      <c r="D4" s="147">
        <f>IF(OR('Eingabe und Übersicht'!E11="Gewerbekälte",'Eingabe und Übersicht'!E11="Supermarkt-Kälteanlagen"),IF('Eingabe und Übersicht'!E17&lt;2005,0.18,0.12),IF('Eingabe und Übersicht'!E11="Industriekälteanlagen",IF('Eingabe und Übersicht'!E17&lt;2005,IF('Eingabe und Übersicht'!E18&gt;=500,0.1,0.12),0.08),0.06))</f>
        <v>0.18</v>
      </c>
    </row>
    <row r="5" spans="2:27" x14ac:dyDescent="0.2">
      <c r="B5" s="11" t="s">
        <v>74</v>
      </c>
      <c r="C5" s="11" t="s">
        <v>12</v>
      </c>
      <c r="D5" s="11">
        <v>25</v>
      </c>
    </row>
    <row r="6" spans="2:27" x14ac:dyDescent="0.2">
      <c r="B6" s="11" t="s">
        <v>70</v>
      </c>
      <c r="C6" s="11" t="s">
        <v>11</v>
      </c>
      <c r="D6" s="11">
        <f>VLOOKUP('Eingabe und Übersicht'!E11,Listen!B52:E55,IF('Eingabe und Übersicht'!E18&gt;100,3,4),FALSE)</f>
        <v>0.7</v>
      </c>
    </row>
    <row r="8" spans="2:27" ht="12" x14ac:dyDescent="0.25">
      <c r="B8" s="226" t="s">
        <v>25</v>
      </c>
      <c r="C8" s="226"/>
      <c r="D8" s="226"/>
    </row>
    <row r="9" spans="2:27" ht="12" x14ac:dyDescent="0.25">
      <c r="B9" s="14" t="s">
        <v>78</v>
      </c>
      <c r="C9" s="15"/>
      <c r="D9" s="16"/>
    </row>
    <row r="10" spans="2:27" x14ac:dyDescent="0.2">
      <c r="B10" s="11" t="s">
        <v>7</v>
      </c>
      <c r="C10" s="23" t="s">
        <v>65</v>
      </c>
      <c r="D10" s="11">
        <f>VLOOKUP('Eingabe und Übersicht'!E16,Listen!B4:D20,2,FALSE)</f>
        <v>3920</v>
      </c>
    </row>
    <row r="11" spans="2:27" ht="12" x14ac:dyDescent="0.25">
      <c r="B11" s="11" t="s">
        <v>24</v>
      </c>
      <c r="C11" s="23" t="s">
        <v>66</v>
      </c>
      <c r="D11" s="11">
        <f>Prämissen!D11</f>
        <v>60</v>
      </c>
      <c r="S11" s="33" t="s">
        <v>164</v>
      </c>
    </row>
    <row r="12" spans="2:27" x14ac:dyDescent="0.2">
      <c r="B12" s="11" t="s">
        <v>133</v>
      </c>
      <c r="C12" s="23" t="s">
        <v>122</v>
      </c>
      <c r="D12" s="11">
        <f ca="1">IF(YEAR('Eingabe und Übersicht'!E5)-'Eingabe und Übersicht'!E17&lt;20,5,0)</f>
        <v>5</v>
      </c>
    </row>
    <row r="13" spans="2:27" x14ac:dyDescent="0.2">
      <c r="B13" s="11" t="s">
        <v>67</v>
      </c>
      <c r="C13" s="23" t="s">
        <v>68</v>
      </c>
      <c r="D13" s="11">
        <f>'Eingabe und Übersicht'!E18*D4*D10/1000</f>
        <v>176.4</v>
      </c>
      <c r="S13" s="1" t="s">
        <v>162</v>
      </c>
      <c r="U13" s="34">
        <f ca="1">D86</f>
        <v>1092.3217819101556</v>
      </c>
      <c r="V13" s="1" t="s">
        <v>4</v>
      </c>
      <c r="AA13" s="34"/>
    </row>
    <row r="14" spans="2:27" x14ac:dyDescent="0.2">
      <c r="B14" s="11" t="s">
        <v>126</v>
      </c>
      <c r="C14" s="23" t="s">
        <v>128</v>
      </c>
      <c r="D14" s="11">
        <f>'Eingabe und Übersicht'!E19*Prämissen!D12</f>
        <v>140000</v>
      </c>
      <c r="U14" s="34"/>
      <c r="AA14" s="34"/>
    </row>
    <row r="15" spans="2:27" x14ac:dyDescent="0.2">
      <c r="B15" s="11" t="s">
        <v>69</v>
      </c>
      <c r="C15" s="23" t="s">
        <v>68</v>
      </c>
      <c r="D15" s="11">
        <f>Wirtschaftlichkeit!D14*Prämissen!D6</f>
        <v>3.3879999999999999</v>
      </c>
      <c r="S15" s="1" t="s">
        <v>163</v>
      </c>
      <c r="U15" s="34">
        <f ca="1">D94</f>
        <v>67225.446781910156</v>
      </c>
      <c r="V15" s="1" t="s">
        <v>4</v>
      </c>
      <c r="AA15" s="34"/>
    </row>
    <row r="16" spans="2:27" x14ac:dyDescent="0.2">
      <c r="B16" s="11" t="s">
        <v>71</v>
      </c>
      <c r="C16" s="23" t="s">
        <v>42</v>
      </c>
      <c r="D16" s="11">
        <f>(1-D6)*'Eingabe und Übersicht'!E18*D10/1000</f>
        <v>294.00000000000006</v>
      </c>
    </row>
    <row r="17" spans="2:29" x14ac:dyDescent="0.2">
      <c r="B17" s="11" t="s">
        <v>19</v>
      </c>
      <c r="C17" s="23" t="s">
        <v>72</v>
      </c>
      <c r="D17" s="11">
        <f>Wirtschaftlichkeit!D14*Prämissen!D5</f>
        <v>25200</v>
      </c>
      <c r="S17" s="1" t="s">
        <v>160</v>
      </c>
      <c r="W17" s="47">
        <f ca="1">'Eingabe und Übersicht'!E33/-Wirtschaftlichkeit!D80</f>
        <v>1.9033781049300349</v>
      </c>
    </row>
    <row r="18" spans="2:29" x14ac:dyDescent="0.2">
      <c r="B18" s="11" t="s">
        <v>144</v>
      </c>
      <c r="C18" s="23" t="s">
        <v>72</v>
      </c>
      <c r="D18" s="11">
        <f>300+'Eingabe und Übersicht'!E18*D4*D11</f>
        <v>3000</v>
      </c>
      <c r="AC18" s="47"/>
    </row>
    <row r="19" spans="2:29" x14ac:dyDescent="0.2">
      <c r="B19" s="11" t="s">
        <v>96</v>
      </c>
      <c r="C19" s="23" t="s">
        <v>72</v>
      </c>
      <c r="D19" s="11">
        <f>'Eingabe und Übersicht'!E26*Prämissen!D10</f>
        <v>1500</v>
      </c>
      <c r="S19" s="1" t="s">
        <v>161</v>
      </c>
      <c r="W19" s="47">
        <f ca="1">'Eingabe und Übersicht'!E33/'Eingabe und Übersicht'!E26</f>
        <v>0.66</v>
      </c>
    </row>
    <row r="21" spans="2:29" ht="12" x14ac:dyDescent="0.25">
      <c r="B21" s="226" t="s">
        <v>27</v>
      </c>
      <c r="C21" s="226"/>
      <c r="D21" s="226"/>
      <c r="S21" s="1" t="s">
        <v>151</v>
      </c>
      <c r="U21" s="61">
        <f ca="1">D87</f>
        <v>3.5954027563176671E-2</v>
      </c>
    </row>
    <row r="22" spans="2:29" ht="12" x14ac:dyDescent="0.25">
      <c r="B22" s="14" t="s">
        <v>79</v>
      </c>
      <c r="C22" s="15"/>
      <c r="D22" s="16"/>
    </row>
    <row r="23" spans="2:29" x14ac:dyDescent="0.2">
      <c r="B23" s="11" t="s">
        <v>7</v>
      </c>
      <c r="C23" s="23" t="s">
        <v>65</v>
      </c>
      <c r="D23" s="11">
        <f>VLOOKUP('Eingabe und Übersicht'!E24,Listen!B28:D32,2,FALSE)</f>
        <v>1</v>
      </c>
      <c r="S23" s="1" t="s">
        <v>147</v>
      </c>
      <c r="U23" s="61">
        <f ca="1">D95</f>
        <v>0.40227553515166425</v>
      </c>
    </row>
    <row r="24" spans="2:29" x14ac:dyDescent="0.2">
      <c r="B24" s="11" t="s">
        <v>24</v>
      </c>
      <c r="C24" s="23" t="s">
        <v>66</v>
      </c>
      <c r="D24" s="11">
        <f>VLOOKUP('Eingabe und Übersicht'!E24,Listen!B28:D32,3,FALSE)</f>
        <v>4</v>
      </c>
    </row>
    <row r="25" spans="2:29" x14ac:dyDescent="0.2">
      <c r="B25" s="11" t="s">
        <v>129</v>
      </c>
      <c r="C25" s="23" t="s">
        <v>93</v>
      </c>
      <c r="D25" s="11">
        <f>'Eingabe und Übersicht'!E19</f>
        <v>100</v>
      </c>
    </row>
    <row r="26" spans="2:29" x14ac:dyDescent="0.2">
      <c r="B26" s="11" t="s">
        <v>10</v>
      </c>
      <c r="C26" s="23" t="s">
        <v>13</v>
      </c>
      <c r="D26" s="11">
        <f>'Eingabe und Übersicht'!E18</f>
        <v>250</v>
      </c>
      <c r="S26" s="84"/>
      <c r="T26" s="85"/>
      <c r="U26" s="85"/>
      <c r="V26" s="85"/>
      <c r="W26" s="86"/>
    </row>
    <row r="27" spans="2:29" ht="12" x14ac:dyDescent="0.25">
      <c r="B27" s="11" t="s">
        <v>67</v>
      </c>
      <c r="C27" s="23" t="s">
        <v>68</v>
      </c>
      <c r="D27" s="11">
        <f>Wirtschaftlichkeit!D26*D4*D23/1000</f>
        <v>4.4999999999999998E-2</v>
      </c>
      <c r="S27" s="87" t="s">
        <v>180</v>
      </c>
      <c r="T27" s="7"/>
      <c r="U27" s="7"/>
      <c r="V27" s="7"/>
      <c r="W27" s="88"/>
    </row>
    <row r="28" spans="2:29" x14ac:dyDescent="0.2">
      <c r="B28" s="11" t="s">
        <v>126</v>
      </c>
      <c r="C28" s="23" t="s">
        <v>128</v>
      </c>
      <c r="D28" s="11">
        <f>D14*(1-'Eingabe und Übersicht'!E27)</f>
        <v>112000</v>
      </c>
      <c r="S28" s="89"/>
      <c r="T28" s="7"/>
      <c r="U28" s="7"/>
      <c r="V28" s="7"/>
      <c r="W28" s="88"/>
    </row>
    <row r="29" spans="2:29" ht="12" x14ac:dyDescent="0.25">
      <c r="B29" s="11" t="s">
        <v>69</v>
      </c>
      <c r="C29" s="23" t="s">
        <v>68</v>
      </c>
      <c r="D29" s="11">
        <f>D28*Prämissen!D6</f>
        <v>2.7103999999999999</v>
      </c>
      <c r="S29" s="87" t="s">
        <v>181</v>
      </c>
      <c r="T29" s="7"/>
      <c r="U29" s="93" t="str">
        <f ca="1">IF(U21&lt;Prämissen!D13,"unwirtschaftlich","wirtschaftlich")</f>
        <v>unwirtschaftlich</v>
      </c>
      <c r="V29" s="7"/>
      <c r="W29" s="88"/>
    </row>
    <row r="30" spans="2:29" ht="12" x14ac:dyDescent="0.25">
      <c r="B30" s="11" t="s">
        <v>71</v>
      </c>
      <c r="C30" s="23" t="s">
        <v>42</v>
      </c>
      <c r="D30" s="11" t="s">
        <v>234</v>
      </c>
      <c r="S30" s="87"/>
      <c r="T30" s="7"/>
      <c r="U30" s="7"/>
      <c r="V30" s="7"/>
      <c r="W30" s="88"/>
    </row>
    <row r="31" spans="2:29" ht="12" x14ac:dyDescent="0.25">
      <c r="B31" s="11" t="s">
        <v>19</v>
      </c>
      <c r="C31" s="23" t="s">
        <v>72</v>
      </c>
      <c r="D31" s="11">
        <f>Wirtschaftlichkeit!D28*Prämissen!D5</f>
        <v>20160</v>
      </c>
      <c r="S31" s="87" t="s">
        <v>149</v>
      </c>
      <c r="T31" s="7"/>
      <c r="U31" s="93" t="str">
        <f ca="1">IF(U23&lt;Prämissen!D13,"unwirtschaftlich","wirtschaftlich")</f>
        <v>wirtschaftlich</v>
      </c>
      <c r="V31" s="7"/>
      <c r="W31" s="88"/>
    </row>
    <row r="32" spans="2:29" x14ac:dyDescent="0.2">
      <c r="B32" s="11" t="s">
        <v>144</v>
      </c>
      <c r="C32" s="23" t="s">
        <v>72</v>
      </c>
      <c r="D32" s="11">
        <f>300+Wirtschaftlichkeit!D26*D4*D24</f>
        <v>480</v>
      </c>
      <c r="S32" s="90"/>
      <c r="T32" s="91"/>
      <c r="U32" s="91"/>
      <c r="V32" s="91"/>
      <c r="W32" s="92"/>
    </row>
    <row r="33" spans="2:31" x14ac:dyDescent="0.2">
      <c r="B33" s="11" t="s">
        <v>96</v>
      </c>
      <c r="C33" s="23" t="s">
        <v>72</v>
      </c>
      <c r="D33" s="11">
        <f>'Eingabe und Übersicht'!E26*Prämissen!D9</f>
        <v>1250</v>
      </c>
    </row>
    <row r="34" spans="2:31" x14ac:dyDescent="0.2">
      <c r="B34" s="19" t="s">
        <v>77</v>
      </c>
      <c r="C34" s="24" t="s">
        <v>4</v>
      </c>
      <c r="D34" s="19">
        <f ca="1">'Eingabe und Übersicht'!E26/D5*D12</f>
        <v>20000</v>
      </c>
    </row>
    <row r="38" spans="2:31" ht="12" x14ac:dyDescent="0.25">
      <c r="B38" s="228" t="s">
        <v>0</v>
      </c>
      <c r="C38" s="228" t="s">
        <v>1</v>
      </c>
      <c r="D38" s="228" t="s">
        <v>33</v>
      </c>
      <c r="E38" s="228"/>
      <c r="F38" s="5" t="s">
        <v>12</v>
      </c>
    </row>
    <row r="39" spans="2:31" ht="12" x14ac:dyDescent="0.25">
      <c r="B39" s="229"/>
      <c r="C39" s="229"/>
      <c r="D39" s="229"/>
      <c r="E39" s="229"/>
      <c r="F39" s="3">
        <v>0</v>
      </c>
      <c r="G39" s="3">
        <v>1</v>
      </c>
      <c r="H39" s="3">
        <v>2</v>
      </c>
      <c r="I39" s="3">
        <v>3</v>
      </c>
      <c r="J39" s="3">
        <v>4</v>
      </c>
      <c r="K39" s="3">
        <v>5</v>
      </c>
      <c r="L39" s="3">
        <v>6</v>
      </c>
      <c r="M39" s="3">
        <v>7</v>
      </c>
      <c r="N39" s="3">
        <v>8</v>
      </c>
      <c r="O39" s="3">
        <v>9</v>
      </c>
      <c r="P39" s="3">
        <v>10</v>
      </c>
      <c r="Q39" s="3">
        <v>11</v>
      </c>
      <c r="R39" s="3">
        <v>12</v>
      </c>
      <c r="S39" s="3">
        <v>13</v>
      </c>
      <c r="T39" s="3">
        <v>14</v>
      </c>
      <c r="U39" s="3">
        <v>15</v>
      </c>
      <c r="V39" s="3">
        <v>16</v>
      </c>
      <c r="W39" s="3">
        <v>17</v>
      </c>
      <c r="X39" s="3">
        <v>18</v>
      </c>
      <c r="Y39" s="3">
        <v>19</v>
      </c>
      <c r="Z39" s="3">
        <v>20</v>
      </c>
      <c r="AA39" s="3">
        <v>21</v>
      </c>
      <c r="AB39" s="3">
        <v>22</v>
      </c>
      <c r="AC39" s="3">
        <v>23</v>
      </c>
      <c r="AD39" s="3">
        <v>24</v>
      </c>
      <c r="AE39" s="3">
        <v>25</v>
      </c>
    </row>
    <row r="41" spans="2:31" ht="12" x14ac:dyDescent="0.25">
      <c r="B41" s="227" t="s">
        <v>44</v>
      </c>
      <c r="C41" s="227"/>
      <c r="D41" s="227"/>
    </row>
    <row r="43" spans="2:31" x14ac:dyDescent="0.2">
      <c r="B43" s="2" t="s">
        <v>74</v>
      </c>
      <c r="C43" s="22" t="s">
        <v>11</v>
      </c>
      <c r="D43" s="2">
        <f>SUM(F43:AE43)</f>
        <v>25</v>
      </c>
      <c r="E43" s="2"/>
      <c r="F43" s="2"/>
      <c r="G43" s="2">
        <f>IF($D$5-G39&gt;-1,1,0)</f>
        <v>1</v>
      </c>
      <c r="H43" s="2">
        <f t="shared" ref="H43:Y43" si="0">IF($D$5-H39&gt;-1,1,0)</f>
        <v>1</v>
      </c>
      <c r="I43" s="2">
        <f t="shared" si="0"/>
        <v>1</v>
      </c>
      <c r="J43" s="2">
        <f t="shared" si="0"/>
        <v>1</v>
      </c>
      <c r="K43" s="2">
        <f t="shared" si="0"/>
        <v>1</v>
      </c>
      <c r="L43" s="2">
        <f t="shared" si="0"/>
        <v>1</v>
      </c>
      <c r="M43" s="2">
        <f t="shared" si="0"/>
        <v>1</v>
      </c>
      <c r="N43" s="2">
        <f t="shared" si="0"/>
        <v>1</v>
      </c>
      <c r="O43" s="2">
        <f t="shared" si="0"/>
        <v>1</v>
      </c>
      <c r="P43" s="2">
        <f t="shared" si="0"/>
        <v>1</v>
      </c>
      <c r="Q43" s="2">
        <f t="shared" si="0"/>
        <v>1</v>
      </c>
      <c r="R43" s="2">
        <f t="shared" si="0"/>
        <v>1</v>
      </c>
      <c r="S43" s="2">
        <f t="shared" si="0"/>
        <v>1</v>
      </c>
      <c r="T43" s="2">
        <f t="shared" si="0"/>
        <v>1</v>
      </c>
      <c r="U43" s="2">
        <f t="shared" si="0"/>
        <v>1</v>
      </c>
      <c r="V43" s="2">
        <f t="shared" si="0"/>
        <v>1</v>
      </c>
      <c r="W43" s="2">
        <f>IF($D$5-W39&gt;-1,1,0)</f>
        <v>1</v>
      </c>
      <c r="X43" s="2">
        <f t="shared" si="0"/>
        <v>1</v>
      </c>
      <c r="Y43" s="2">
        <f t="shared" si="0"/>
        <v>1</v>
      </c>
      <c r="Z43" s="2">
        <f t="shared" ref="Z43:AB43" si="1">IF($D$5-Z39&gt;-1,1,0)</f>
        <v>1</v>
      </c>
      <c r="AA43" s="2">
        <f t="shared" si="1"/>
        <v>1</v>
      </c>
      <c r="AB43" s="2">
        <f t="shared" si="1"/>
        <v>1</v>
      </c>
      <c r="AC43" s="2">
        <f>IF($D$5-AC39&gt;-1,1,0)</f>
        <v>1</v>
      </c>
      <c r="AD43" s="2">
        <f t="shared" ref="AD43:AE43" si="2">IF($D$5-AD39&gt;-1,1,0)</f>
        <v>1</v>
      </c>
      <c r="AE43" s="2">
        <f t="shared" si="2"/>
        <v>1</v>
      </c>
    </row>
    <row r="44" spans="2:31" x14ac:dyDescent="0.2">
      <c r="B44" s="2" t="s">
        <v>37</v>
      </c>
      <c r="C44" s="22" t="s">
        <v>11</v>
      </c>
      <c r="D44" s="2">
        <f>Prämissen!D7</f>
        <v>0.03</v>
      </c>
      <c r="E44" s="2"/>
      <c r="F44" s="9">
        <v>1</v>
      </c>
      <c r="G44" s="9">
        <f>F44/(1+$D$44)*G43</f>
        <v>0.970873786407767</v>
      </c>
      <c r="H44" s="9">
        <f t="shared" ref="H44:Z44" si="3">G44/(1+$D$44)*H43</f>
        <v>0.94259590913375435</v>
      </c>
      <c r="I44" s="9">
        <f t="shared" si="3"/>
        <v>0.9151416593531595</v>
      </c>
      <c r="J44" s="9">
        <f t="shared" si="3"/>
        <v>0.88848704791568878</v>
      </c>
      <c r="K44" s="9">
        <f t="shared" si="3"/>
        <v>0.86260878438416388</v>
      </c>
      <c r="L44" s="9">
        <f t="shared" si="3"/>
        <v>0.83748425668365423</v>
      </c>
      <c r="M44" s="9">
        <f t="shared" si="3"/>
        <v>0.81309151134335356</v>
      </c>
      <c r="N44" s="9">
        <f t="shared" si="3"/>
        <v>0.7894092343139355</v>
      </c>
      <c r="O44" s="9">
        <f t="shared" si="3"/>
        <v>0.76641673234362673</v>
      </c>
      <c r="P44" s="9">
        <f t="shared" si="3"/>
        <v>0.74409391489672494</v>
      </c>
      <c r="Q44" s="9">
        <f t="shared" si="3"/>
        <v>0.7224212765987621</v>
      </c>
      <c r="R44" s="9">
        <f t="shared" si="3"/>
        <v>0.70137988019297293</v>
      </c>
      <c r="S44" s="9">
        <f t="shared" si="3"/>
        <v>0.68095133999317758</v>
      </c>
      <c r="T44" s="9">
        <f t="shared" si="3"/>
        <v>0.66111780581861901</v>
      </c>
      <c r="U44" s="9">
        <f t="shared" si="3"/>
        <v>0.64186194739671742</v>
      </c>
      <c r="V44" s="9">
        <f t="shared" si="3"/>
        <v>0.62316693922011401</v>
      </c>
      <c r="W44" s="9">
        <f t="shared" si="3"/>
        <v>0.60501644584477088</v>
      </c>
      <c r="X44" s="9">
        <f t="shared" si="3"/>
        <v>0.58739460761628237</v>
      </c>
      <c r="Y44" s="9">
        <f t="shared" si="3"/>
        <v>0.57028602681192464</v>
      </c>
      <c r="Z44" s="9">
        <f t="shared" si="3"/>
        <v>0.55367575418633463</v>
      </c>
      <c r="AA44" s="9">
        <f t="shared" ref="AA44" si="4">Z44/(1+$D$44)*AA43</f>
        <v>0.53754927590906276</v>
      </c>
      <c r="AB44" s="9">
        <f t="shared" ref="AB44" si="5">AA44/(1+$D$44)*AB43</f>
        <v>0.52189250088258521</v>
      </c>
      <c r="AC44" s="9">
        <f t="shared" ref="AC44" si="6">AB44/(1+$D$44)*AC43</f>
        <v>0.50669174842969433</v>
      </c>
      <c r="AD44" s="9">
        <f t="shared" ref="AD44" si="7">AC44/(1+$D$44)*AD43</f>
        <v>0.49193373633950904</v>
      </c>
      <c r="AE44" s="9">
        <f t="shared" ref="AE44" si="8">AD44/(1+$D$44)*AE43</f>
        <v>0.47760556926165926</v>
      </c>
    </row>
    <row r="45" spans="2:31" x14ac:dyDescent="0.2">
      <c r="B45" s="2" t="s">
        <v>12</v>
      </c>
      <c r="C45" s="22" t="s">
        <v>98</v>
      </c>
      <c r="D45" s="2">
        <f>'Eingabe und Übersicht'!E25</f>
        <v>2015</v>
      </c>
      <c r="E45" s="2"/>
      <c r="F45" s="10">
        <f>$D$45+F39</f>
        <v>2015</v>
      </c>
      <c r="G45" s="10">
        <f t="shared" ref="G45:Y45" si="9">$D$45+G39</f>
        <v>2016</v>
      </c>
      <c r="H45" s="10">
        <f t="shared" si="9"/>
        <v>2017</v>
      </c>
      <c r="I45" s="10">
        <f t="shared" si="9"/>
        <v>2018</v>
      </c>
      <c r="J45" s="10">
        <f t="shared" si="9"/>
        <v>2019</v>
      </c>
      <c r="K45" s="10">
        <f t="shared" si="9"/>
        <v>2020</v>
      </c>
      <c r="L45" s="10">
        <f t="shared" si="9"/>
        <v>2021</v>
      </c>
      <c r="M45" s="10">
        <f t="shared" si="9"/>
        <v>2022</v>
      </c>
      <c r="N45" s="10">
        <f t="shared" si="9"/>
        <v>2023</v>
      </c>
      <c r="O45" s="10">
        <f t="shared" si="9"/>
        <v>2024</v>
      </c>
      <c r="P45" s="10">
        <f t="shared" si="9"/>
        <v>2025</v>
      </c>
      <c r="Q45" s="10">
        <f t="shared" si="9"/>
        <v>2026</v>
      </c>
      <c r="R45" s="10">
        <f t="shared" si="9"/>
        <v>2027</v>
      </c>
      <c r="S45" s="10">
        <f t="shared" si="9"/>
        <v>2028</v>
      </c>
      <c r="T45" s="10">
        <f t="shared" si="9"/>
        <v>2029</v>
      </c>
      <c r="U45" s="10">
        <f t="shared" si="9"/>
        <v>2030</v>
      </c>
      <c r="V45" s="10">
        <f t="shared" si="9"/>
        <v>2031</v>
      </c>
      <c r="W45" s="10">
        <f t="shared" si="9"/>
        <v>2032</v>
      </c>
      <c r="X45" s="10">
        <f t="shared" si="9"/>
        <v>2033</v>
      </c>
      <c r="Y45" s="10">
        <f t="shared" si="9"/>
        <v>2034</v>
      </c>
      <c r="Z45" s="10">
        <f t="shared" ref="Z45:AE45" si="10">$D$45+Z39</f>
        <v>2035</v>
      </c>
      <c r="AA45" s="10">
        <f t="shared" si="10"/>
        <v>2036</v>
      </c>
      <c r="AB45" s="10">
        <f t="shared" si="10"/>
        <v>2037</v>
      </c>
      <c r="AC45" s="10">
        <f t="shared" si="10"/>
        <v>2038</v>
      </c>
      <c r="AD45" s="10">
        <f t="shared" si="10"/>
        <v>2039</v>
      </c>
      <c r="AE45" s="10">
        <f t="shared" si="10"/>
        <v>2040</v>
      </c>
    </row>
    <row r="46" spans="2:31" x14ac:dyDescent="0.2">
      <c r="B46" s="7"/>
      <c r="C46" s="7"/>
      <c r="D46" s="7"/>
      <c r="E46" s="7"/>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row>
    <row r="48" spans="2:31" ht="12" x14ac:dyDescent="0.25">
      <c r="B48" s="227" t="s">
        <v>49</v>
      </c>
      <c r="C48" s="227"/>
      <c r="D48" s="227"/>
    </row>
    <row r="50" spans="2:31" x14ac:dyDescent="0.2">
      <c r="B50" s="2" t="s">
        <v>247</v>
      </c>
      <c r="C50" s="22"/>
      <c r="D50" s="2"/>
      <c r="E50" s="2"/>
      <c r="F50" s="10">
        <v>0</v>
      </c>
      <c r="G50" s="10">
        <f ca="1">IF(G39&lt;=$D12,1,0)</f>
        <v>1</v>
      </c>
      <c r="H50" s="10">
        <f t="shared" ref="H50:AE50" ca="1" si="11">IF(H39&lt;=$D12,1,0)</f>
        <v>1</v>
      </c>
      <c r="I50" s="10">
        <f t="shared" ca="1" si="11"/>
        <v>1</v>
      </c>
      <c r="J50" s="10">
        <f t="shared" ca="1" si="11"/>
        <v>1</v>
      </c>
      <c r="K50" s="10">
        <f t="shared" ca="1" si="11"/>
        <v>1</v>
      </c>
      <c r="L50" s="10">
        <f t="shared" ca="1" si="11"/>
        <v>0</v>
      </c>
      <c r="M50" s="10">
        <f t="shared" ca="1" si="11"/>
        <v>0</v>
      </c>
      <c r="N50" s="10">
        <f t="shared" ca="1" si="11"/>
        <v>0</v>
      </c>
      <c r="O50" s="10">
        <f t="shared" ca="1" si="11"/>
        <v>0</v>
      </c>
      <c r="P50" s="10">
        <f t="shared" ca="1" si="11"/>
        <v>0</v>
      </c>
      <c r="Q50" s="10">
        <f t="shared" ca="1" si="11"/>
        <v>0</v>
      </c>
      <c r="R50" s="10">
        <f t="shared" ca="1" si="11"/>
        <v>0</v>
      </c>
      <c r="S50" s="10">
        <f t="shared" ca="1" si="11"/>
        <v>0</v>
      </c>
      <c r="T50" s="10">
        <f t="shared" ca="1" si="11"/>
        <v>0</v>
      </c>
      <c r="U50" s="10">
        <f t="shared" ca="1" si="11"/>
        <v>0</v>
      </c>
      <c r="V50" s="10">
        <f t="shared" ca="1" si="11"/>
        <v>0</v>
      </c>
      <c r="W50" s="10">
        <f t="shared" ca="1" si="11"/>
        <v>0</v>
      </c>
      <c r="X50" s="10">
        <f t="shared" ca="1" si="11"/>
        <v>0</v>
      </c>
      <c r="Y50" s="10">
        <f t="shared" ca="1" si="11"/>
        <v>0</v>
      </c>
      <c r="Z50" s="10">
        <f t="shared" ca="1" si="11"/>
        <v>0</v>
      </c>
      <c r="AA50" s="10">
        <f t="shared" ca="1" si="11"/>
        <v>0</v>
      </c>
      <c r="AB50" s="10">
        <f t="shared" ca="1" si="11"/>
        <v>0</v>
      </c>
      <c r="AC50" s="10">
        <f t="shared" ca="1" si="11"/>
        <v>0</v>
      </c>
      <c r="AD50" s="10">
        <f t="shared" ca="1" si="11"/>
        <v>0</v>
      </c>
      <c r="AE50" s="10">
        <f t="shared" ca="1" si="11"/>
        <v>0</v>
      </c>
    </row>
    <row r="51" spans="2:31" x14ac:dyDescent="0.2">
      <c r="B51" s="2" t="s">
        <v>45</v>
      </c>
      <c r="C51" s="22" t="s">
        <v>42</v>
      </c>
      <c r="D51" s="2"/>
      <c r="E51" s="2"/>
      <c r="F51" s="10">
        <f>$D13*F50</f>
        <v>0</v>
      </c>
      <c r="G51" s="10">
        <f t="shared" ref="G51:Y51" ca="1" si="12">$D13*G50</f>
        <v>176.4</v>
      </c>
      <c r="H51" s="10">
        <f t="shared" ca="1" si="12"/>
        <v>176.4</v>
      </c>
      <c r="I51" s="10">
        <f t="shared" ca="1" si="12"/>
        <v>176.4</v>
      </c>
      <c r="J51" s="10">
        <f t="shared" ca="1" si="12"/>
        <v>176.4</v>
      </c>
      <c r="K51" s="10">
        <f t="shared" ca="1" si="12"/>
        <v>176.4</v>
      </c>
      <c r="L51" s="10">
        <f t="shared" ca="1" si="12"/>
        <v>0</v>
      </c>
      <c r="M51" s="10">
        <f t="shared" ca="1" si="12"/>
        <v>0</v>
      </c>
      <c r="N51" s="10">
        <f t="shared" ca="1" si="12"/>
        <v>0</v>
      </c>
      <c r="O51" s="10">
        <f t="shared" ca="1" si="12"/>
        <v>0</v>
      </c>
      <c r="P51" s="10">
        <f ca="1">$D13*P50</f>
        <v>0</v>
      </c>
      <c r="Q51" s="10">
        <f t="shared" ca="1" si="12"/>
        <v>0</v>
      </c>
      <c r="R51" s="10">
        <f t="shared" ca="1" si="12"/>
        <v>0</v>
      </c>
      <c r="S51" s="10">
        <f t="shared" ca="1" si="12"/>
        <v>0</v>
      </c>
      <c r="T51" s="10">
        <f t="shared" ca="1" si="12"/>
        <v>0</v>
      </c>
      <c r="U51" s="10">
        <f t="shared" ca="1" si="12"/>
        <v>0</v>
      </c>
      <c r="V51" s="10">
        <f t="shared" ca="1" si="12"/>
        <v>0</v>
      </c>
      <c r="W51" s="10">
        <f t="shared" ca="1" si="12"/>
        <v>0</v>
      </c>
      <c r="X51" s="10">
        <f t="shared" ca="1" si="12"/>
        <v>0</v>
      </c>
      <c r="Y51" s="10">
        <f t="shared" ca="1" si="12"/>
        <v>0</v>
      </c>
      <c r="Z51" s="10">
        <f t="shared" ref="Z51:AE51" ca="1" si="13">$D13*Z50</f>
        <v>0</v>
      </c>
      <c r="AA51" s="10">
        <f t="shared" ca="1" si="13"/>
        <v>0</v>
      </c>
      <c r="AB51" s="10">
        <f t="shared" ca="1" si="13"/>
        <v>0</v>
      </c>
      <c r="AC51" s="10">
        <f t="shared" ca="1" si="13"/>
        <v>0</v>
      </c>
      <c r="AD51" s="10">
        <f t="shared" ca="1" si="13"/>
        <v>0</v>
      </c>
      <c r="AE51" s="10">
        <f t="shared" ca="1" si="13"/>
        <v>0</v>
      </c>
    </row>
    <row r="53" spans="2:31" x14ac:dyDescent="0.2">
      <c r="B53" s="2" t="s">
        <v>48</v>
      </c>
      <c r="C53" s="22" t="s">
        <v>42</v>
      </c>
      <c r="D53" s="2"/>
      <c r="E53" s="2"/>
      <c r="F53" s="10"/>
      <c r="G53" s="9">
        <f t="shared" ref="G53:AE53" si="14">$D$27*G43</f>
        <v>4.4999999999999998E-2</v>
      </c>
      <c r="H53" s="9">
        <f t="shared" si="14"/>
        <v>4.4999999999999998E-2</v>
      </c>
      <c r="I53" s="9">
        <f t="shared" si="14"/>
        <v>4.4999999999999998E-2</v>
      </c>
      <c r="J53" s="9">
        <f t="shared" si="14"/>
        <v>4.4999999999999998E-2</v>
      </c>
      <c r="K53" s="9">
        <f t="shared" si="14"/>
        <v>4.4999999999999998E-2</v>
      </c>
      <c r="L53" s="9">
        <f t="shared" si="14"/>
        <v>4.4999999999999998E-2</v>
      </c>
      <c r="M53" s="9">
        <f t="shared" si="14"/>
        <v>4.4999999999999998E-2</v>
      </c>
      <c r="N53" s="9">
        <f t="shared" si="14"/>
        <v>4.4999999999999998E-2</v>
      </c>
      <c r="O53" s="9">
        <f t="shared" si="14"/>
        <v>4.4999999999999998E-2</v>
      </c>
      <c r="P53" s="9">
        <f t="shared" si="14"/>
        <v>4.4999999999999998E-2</v>
      </c>
      <c r="Q53" s="9">
        <f t="shared" si="14"/>
        <v>4.4999999999999998E-2</v>
      </c>
      <c r="R53" s="9">
        <f t="shared" si="14"/>
        <v>4.4999999999999998E-2</v>
      </c>
      <c r="S53" s="9">
        <f t="shared" si="14"/>
        <v>4.4999999999999998E-2</v>
      </c>
      <c r="T53" s="9">
        <f t="shared" si="14"/>
        <v>4.4999999999999998E-2</v>
      </c>
      <c r="U53" s="9">
        <f t="shared" si="14"/>
        <v>4.4999999999999998E-2</v>
      </c>
      <c r="V53" s="9">
        <f t="shared" si="14"/>
        <v>4.4999999999999998E-2</v>
      </c>
      <c r="W53" s="9">
        <f t="shared" si="14"/>
        <v>4.4999999999999998E-2</v>
      </c>
      <c r="X53" s="9">
        <f t="shared" si="14"/>
        <v>4.4999999999999998E-2</v>
      </c>
      <c r="Y53" s="9">
        <f t="shared" si="14"/>
        <v>4.4999999999999998E-2</v>
      </c>
      <c r="Z53" s="9">
        <f t="shared" si="14"/>
        <v>4.4999999999999998E-2</v>
      </c>
      <c r="AA53" s="9">
        <f t="shared" si="14"/>
        <v>4.4999999999999998E-2</v>
      </c>
      <c r="AB53" s="9">
        <f t="shared" si="14"/>
        <v>4.4999999999999998E-2</v>
      </c>
      <c r="AC53" s="9">
        <f t="shared" si="14"/>
        <v>4.4999999999999998E-2</v>
      </c>
      <c r="AD53" s="9">
        <f t="shared" si="14"/>
        <v>4.4999999999999998E-2</v>
      </c>
      <c r="AE53" s="9">
        <f t="shared" si="14"/>
        <v>4.4999999999999998E-2</v>
      </c>
    </row>
    <row r="55" spans="2:31" x14ac:dyDescent="0.2">
      <c r="B55" s="2" t="s">
        <v>121</v>
      </c>
      <c r="C55" s="22" t="s">
        <v>42</v>
      </c>
      <c r="D55" s="2"/>
      <c r="E55" s="2"/>
      <c r="F55" s="10"/>
      <c r="G55" s="10">
        <f t="shared" ref="G55:AE55" ca="1" si="15">SUM(G51:G51)-SUM(G53:G53)</f>
        <v>176.35500000000002</v>
      </c>
      <c r="H55" s="10">
        <f t="shared" ca="1" si="15"/>
        <v>176.35500000000002</v>
      </c>
      <c r="I55" s="10">
        <f t="shared" ca="1" si="15"/>
        <v>176.35500000000002</v>
      </c>
      <c r="J55" s="10">
        <f t="shared" ca="1" si="15"/>
        <v>176.35500000000002</v>
      </c>
      <c r="K55" s="10">
        <f t="shared" ca="1" si="15"/>
        <v>176.35500000000002</v>
      </c>
      <c r="L55" s="10">
        <f t="shared" ca="1" si="15"/>
        <v>-4.4999999999999998E-2</v>
      </c>
      <c r="M55" s="10">
        <f t="shared" ca="1" si="15"/>
        <v>-4.4999999999999998E-2</v>
      </c>
      <c r="N55" s="10">
        <f t="shared" ca="1" si="15"/>
        <v>-4.4999999999999998E-2</v>
      </c>
      <c r="O55" s="10">
        <f t="shared" ca="1" si="15"/>
        <v>-4.4999999999999998E-2</v>
      </c>
      <c r="P55" s="10">
        <f t="shared" ca="1" si="15"/>
        <v>-4.4999999999999998E-2</v>
      </c>
      <c r="Q55" s="10">
        <f t="shared" ca="1" si="15"/>
        <v>-4.4999999999999998E-2</v>
      </c>
      <c r="R55" s="10">
        <f t="shared" ca="1" si="15"/>
        <v>-4.4999999999999998E-2</v>
      </c>
      <c r="S55" s="10">
        <f t="shared" ca="1" si="15"/>
        <v>-4.4999999999999998E-2</v>
      </c>
      <c r="T55" s="10">
        <f t="shared" ca="1" si="15"/>
        <v>-4.4999999999999998E-2</v>
      </c>
      <c r="U55" s="10">
        <f t="shared" ca="1" si="15"/>
        <v>-4.4999999999999998E-2</v>
      </c>
      <c r="V55" s="10">
        <f t="shared" ca="1" si="15"/>
        <v>-4.4999999999999998E-2</v>
      </c>
      <c r="W55" s="10">
        <f t="shared" ca="1" si="15"/>
        <v>-4.4999999999999998E-2</v>
      </c>
      <c r="X55" s="10">
        <f t="shared" ca="1" si="15"/>
        <v>-4.4999999999999998E-2</v>
      </c>
      <c r="Y55" s="10">
        <f t="shared" ca="1" si="15"/>
        <v>-4.4999999999999998E-2</v>
      </c>
      <c r="Z55" s="10">
        <f t="shared" ca="1" si="15"/>
        <v>-4.4999999999999998E-2</v>
      </c>
      <c r="AA55" s="10">
        <f t="shared" ca="1" si="15"/>
        <v>-4.4999999999999998E-2</v>
      </c>
      <c r="AB55" s="10">
        <f t="shared" ca="1" si="15"/>
        <v>-4.4999999999999998E-2</v>
      </c>
      <c r="AC55" s="10">
        <f t="shared" ca="1" si="15"/>
        <v>-4.4999999999999998E-2</v>
      </c>
      <c r="AD55" s="10">
        <f t="shared" ca="1" si="15"/>
        <v>-4.4999999999999998E-2</v>
      </c>
      <c r="AE55" s="10">
        <f t="shared" ca="1" si="15"/>
        <v>-4.4999999999999998E-2</v>
      </c>
    </row>
    <row r="56" spans="2:31" x14ac:dyDescent="0.2">
      <c r="B56" s="2" t="s">
        <v>75</v>
      </c>
      <c r="C56" s="22" t="s">
        <v>42</v>
      </c>
      <c r="D56" s="12">
        <f ca="1">SUMIF(F43:Y43,1,F55:Y55)</f>
        <v>881.14500000000066</v>
      </c>
    </row>
    <row r="57" spans="2:31" ht="12" x14ac:dyDescent="0.25">
      <c r="B57" s="8" t="s">
        <v>73</v>
      </c>
      <c r="C57" s="25" t="s">
        <v>42</v>
      </c>
      <c r="D57" s="20">
        <f ca="1">SUM(F55:L55)</f>
        <v>881.73000000000013</v>
      </c>
    </row>
    <row r="58" spans="2:31" ht="12" x14ac:dyDescent="0.25">
      <c r="B58" s="8" t="s">
        <v>97</v>
      </c>
      <c r="C58" s="25" t="s">
        <v>42</v>
      </c>
      <c r="D58" s="20">
        <f ca="1">SUMIF(F45:Y45,"&lt;=2020",F55:Y55)</f>
        <v>881.77500000000009</v>
      </c>
    </row>
    <row r="61" spans="2:31" ht="12" x14ac:dyDescent="0.25">
      <c r="B61" s="227" t="s">
        <v>40</v>
      </c>
      <c r="C61" s="227"/>
      <c r="D61" s="227"/>
    </row>
    <row r="63" spans="2:31" ht="12" x14ac:dyDescent="0.25">
      <c r="B63" s="17" t="s">
        <v>31</v>
      </c>
    </row>
    <row r="64" spans="2:31" x14ac:dyDescent="0.2">
      <c r="B64" s="2" t="s">
        <v>19</v>
      </c>
      <c r="C64" s="22" t="s">
        <v>4</v>
      </c>
      <c r="D64" s="2"/>
      <c r="E64" s="2"/>
      <c r="F64" s="2">
        <f ca="1">IF(F39&lt;$D$12,$D$17,$D$31)*F43</f>
        <v>0</v>
      </c>
      <c r="G64" s="2">
        <f t="shared" ref="G64:AE64" ca="1" si="16">IF(G39&lt;=$D$12,$D$17,$D$31)*G43</f>
        <v>25200</v>
      </c>
      <c r="H64" s="2">
        <f t="shared" ca="1" si="16"/>
        <v>25200</v>
      </c>
      <c r="I64" s="2">
        <f t="shared" ca="1" si="16"/>
        <v>25200</v>
      </c>
      <c r="J64" s="2">
        <f t="shared" ca="1" si="16"/>
        <v>25200</v>
      </c>
      <c r="K64" s="2">
        <f t="shared" ca="1" si="16"/>
        <v>25200</v>
      </c>
      <c r="L64" s="2">
        <f t="shared" ca="1" si="16"/>
        <v>20160</v>
      </c>
      <c r="M64" s="2">
        <f t="shared" ca="1" si="16"/>
        <v>20160</v>
      </c>
      <c r="N64" s="2">
        <f t="shared" ca="1" si="16"/>
        <v>20160</v>
      </c>
      <c r="O64" s="2">
        <f t="shared" ca="1" si="16"/>
        <v>20160</v>
      </c>
      <c r="P64" s="2">
        <f t="shared" ca="1" si="16"/>
        <v>20160</v>
      </c>
      <c r="Q64" s="2">
        <f t="shared" ca="1" si="16"/>
        <v>20160</v>
      </c>
      <c r="R64" s="2">
        <f t="shared" ca="1" si="16"/>
        <v>20160</v>
      </c>
      <c r="S64" s="2">
        <f t="shared" ca="1" si="16"/>
        <v>20160</v>
      </c>
      <c r="T64" s="2">
        <f t="shared" ca="1" si="16"/>
        <v>20160</v>
      </c>
      <c r="U64" s="2">
        <f t="shared" ca="1" si="16"/>
        <v>20160</v>
      </c>
      <c r="V64" s="2">
        <f t="shared" ca="1" si="16"/>
        <v>20160</v>
      </c>
      <c r="W64" s="2">
        <f t="shared" ca="1" si="16"/>
        <v>20160</v>
      </c>
      <c r="X64" s="2">
        <f t="shared" ca="1" si="16"/>
        <v>20160</v>
      </c>
      <c r="Y64" s="2">
        <f t="shared" ca="1" si="16"/>
        <v>20160</v>
      </c>
      <c r="Z64" s="2">
        <f t="shared" ca="1" si="16"/>
        <v>20160</v>
      </c>
      <c r="AA64" s="2">
        <f t="shared" ca="1" si="16"/>
        <v>20160</v>
      </c>
      <c r="AB64" s="2">
        <f t="shared" ca="1" si="16"/>
        <v>20160</v>
      </c>
      <c r="AC64" s="2">
        <f t="shared" ca="1" si="16"/>
        <v>20160</v>
      </c>
      <c r="AD64" s="2">
        <f t="shared" ca="1" si="16"/>
        <v>20160</v>
      </c>
      <c r="AE64" s="2">
        <f t="shared" ca="1" si="16"/>
        <v>20160</v>
      </c>
    </row>
    <row r="65" spans="2:31" s="37" customFormat="1" x14ac:dyDescent="0.2">
      <c r="B65" s="35" t="s">
        <v>142</v>
      </c>
      <c r="C65" s="36" t="s">
        <v>4</v>
      </c>
      <c r="D65" s="35"/>
      <c r="E65" s="35"/>
      <c r="F65" s="35">
        <f ca="1">IF(F39&lt;$D$12,$D$18,$D$32)*F43</f>
        <v>0</v>
      </c>
      <c r="G65" s="35">
        <f t="shared" ref="G65:AE65" ca="1" si="17">IF(G39&lt;=$D$12,$D$18,$D$32)*G43</f>
        <v>3000</v>
      </c>
      <c r="H65" s="35">
        <f t="shared" ca="1" si="17"/>
        <v>3000</v>
      </c>
      <c r="I65" s="35">
        <f t="shared" ca="1" si="17"/>
        <v>3000</v>
      </c>
      <c r="J65" s="35">
        <f t="shared" ca="1" si="17"/>
        <v>3000</v>
      </c>
      <c r="K65" s="35">
        <f t="shared" ca="1" si="17"/>
        <v>3000</v>
      </c>
      <c r="L65" s="35">
        <f t="shared" ca="1" si="17"/>
        <v>480</v>
      </c>
      <c r="M65" s="35">
        <f t="shared" ca="1" si="17"/>
        <v>480</v>
      </c>
      <c r="N65" s="35">
        <f t="shared" ca="1" si="17"/>
        <v>480</v>
      </c>
      <c r="O65" s="35">
        <f t="shared" ca="1" si="17"/>
        <v>480</v>
      </c>
      <c r="P65" s="35">
        <f t="shared" ca="1" si="17"/>
        <v>480</v>
      </c>
      <c r="Q65" s="35">
        <f t="shared" ca="1" si="17"/>
        <v>480</v>
      </c>
      <c r="R65" s="35">
        <f t="shared" ca="1" si="17"/>
        <v>480</v>
      </c>
      <c r="S65" s="35">
        <f t="shared" ca="1" si="17"/>
        <v>480</v>
      </c>
      <c r="T65" s="35">
        <f t="shared" ca="1" si="17"/>
        <v>480</v>
      </c>
      <c r="U65" s="35">
        <f t="shared" ca="1" si="17"/>
        <v>480</v>
      </c>
      <c r="V65" s="35">
        <f t="shared" ca="1" si="17"/>
        <v>480</v>
      </c>
      <c r="W65" s="35">
        <f t="shared" ca="1" si="17"/>
        <v>480</v>
      </c>
      <c r="X65" s="35">
        <f t="shared" ca="1" si="17"/>
        <v>480</v>
      </c>
      <c r="Y65" s="35">
        <f t="shared" ca="1" si="17"/>
        <v>480</v>
      </c>
      <c r="Z65" s="35">
        <f t="shared" ca="1" si="17"/>
        <v>480</v>
      </c>
      <c r="AA65" s="35">
        <f t="shared" ca="1" si="17"/>
        <v>480</v>
      </c>
      <c r="AB65" s="35">
        <f t="shared" ca="1" si="17"/>
        <v>480</v>
      </c>
      <c r="AC65" s="35">
        <f t="shared" ca="1" si="17"/>
        <v>480</v>
      </c>
      <c r="AD65" s="35">
        <f t="shared" ca="1" si="17"/>
        <v>480</v>
      </c>
      <c r="AE65" s="35">
        <f t="shared" ca="1" si="17"/>
        <v>480</v>
      </c>
    </row>
    <row r="66" spans="2:31" s="37" customFormat="1" x14ac:dyDescent="0.2">
      <c r="B66" s="35" t="s">
        <v>143</v>
      </c>
      <c r="C66" s="36" t="s">
        <v>4</v>
      </c>
      <c r="D66" s="35"/>
      <c r="E66" s="35"/>
      <c r="F66" s="35">
        <f ca="1">IF(F39&lt;$D$12,$D$19,$D$33)*F43</f>
        <v>0</v>
      </c>
      <c r="G66" s="35">
        <f t="shared" ref="G66:AE66" ca="1" si="18">IF(G39&lt;=$D$12,$D$19,$D$33)*G43</f>
        <v>1500</v>
      </c>
      <c r="H66" s="35">
        <f t="shared" ca="1" si="18"/>
        <v>1500</v>
      </c>
      <c r="I66" s="35">
        <f t="shared" ca="1" si="18"/>
        <v>1500</v>
      </c>
      <c r="J66" s="35">
        <f t="shared" ca="1" si="18"/>
        <v>1500</v>
      </c>
      <c r="K66" s="35">
        <f t="shared" ca="1" si="18"/>
        <v>1500</v>
      </c>
      <c r="L66" s="35">
        <f t="shared" ca="1" si="18"/>
        <v>1250</v>
      </c>
      <c r="M66" s="35">
        <f t="shared" ca="1" si="18"/>
        <v>1250</v>
      </c>
      <c r="N66" s="35">
        <f t="shared" ca="1" si="18"/>
        <v>1250</v>
      </c>
      <c r="O66" s="35">
        <f t="shared" ca="1" si="18"/>
        <v>1250</v>
      </c>
      <c r="P66" s="35">
        <f t="shared" ca="1" si="18"/>
        <v>1250</v>
      </c>
      <c r="Q66" s="35">
        <f t="shared" ca="1" si="18"/>
        <v>1250</v>
      </c>
      <c r="R66" s="35">
        <f t="shared" ca="1" si="18"/>
        <v>1250</v>
      </c>
      <c r="S66" s="35">
        <f t="shared" ca="1" si="18"/>
        <v>1250</v>
      </c>
      <c r="T66" s="35">
        <f t="shared" ca="1" si="18"/>
        <v>1250</v>
      </c>
      <c r="U66" s="35">
        <f t="shared" ca="1" si="18"/>
        <v>1250</v>
      </c>
      <c r="V66" s="35">
        <f t="shared" ca="1" si="18"/>
        <v>1250</v>
      </c>
      <c r="W66" s="35">
        <f t="shared" ca="1" si="18"/>
        <v>1250</v>
      </c>
      <c r="X66" s="35">
        <f t="shared" ca="1" si="18"/>
        <v>1250</v>
      </c>
      <c r="Y66" s="35">
        <f t="shared" ca="1" si="18"/>
        <v>1250</v>
      </c>
      <c r="Z66" s="35">
        <f t="shared" ca="1" si="18"/>
        <v>1250</v>
      </c>
      <c r="AA66" s="35">
        <f t="shared" ca="1" si="18"/>
        <v>1250</v>
      </c>
      <c r="AB66" s="35">
        <f t="shared" ca="1" si="18"/>
        <v>1250</v>
      </c>
      <c r="AC66" s="35">
        <f t="shared" ca="1" si="18"/>
        <v>1250</v>
      </c>
      <c r="AD66" s="35">
        <f t="shared" ca="1" si="18"/>
        <v>1250</v>
      </c>
      <c r="AE66" s="35">
        <f t="shared" ca="1" si="18"/>
        <v>1250</v>
      </c>
    </row>
    <row r="67" spans="2:31" s="37" customFormat="1" x14ac:dyDescent="0.2">
      <c r="B67" s="35" t="s">
        <v>255</v>
      </c>
      <c r="C67" s="36" t="s">
        <v>4</v>
      </c>
      <c r="D67" s="35"/>
      <c r="E67" s="35"/>
      <c r="F67" s="35">
        <f ca="1">IF(F39=$D$12,'Eingabe und Übersicht'!$E$26,0)*F43+IF(AND(F43=1,F39=13+$D12),$F75*Prämissen!$D$14,0)</f>
        <v>0</v>
      </c>
      <c r="G67" s="35">
        <f ca="1">IF(G39=$D$12,'Eingabe und Übersicht'!$E$26,0)*G43+IF(AND(G43=1,G39=13+$D12),'Eingabe und Übersicht'!$E$19*Prämissen!$D$14,0)</f>
        <v>0</v>
      </c>
      <c r="H67" s="35">
        <f ca="1">IF(H39=$D$12,'Eingabe und Übersicht'!$E$26,0)*H43+IF(AND(H43=1,H39=13+$D12),'Eingabe und Übersicht'!$E$19*Prämissen!$D$14,0)</f>
        <v>0</v>
      </c>
      <c r="I67" s="35">
        <f ca="1">IF(I39=$D$12,'Eingabe und Übersicht'!$E$26,0)*I43+IF(AND(I43=1,I39=13+$D12),'Eingabe und Übersicht'!$E$19*Prämissen!$D$14,0)</f>
        <v>0</v>
      </c>
      <c r="J67" s="35">
        <f ca="1">IF(J39=$D$12,'Eingabe und Übersicht'!$E$26,0)*J43+IF(AND(J43=1,J39=13+$D12),'Eingabe und Übersicht'!$E$19*Prämissen!$D$14,0)</f>
        <v>0</v>
      </c>
      <c r="K67" s="35">
        <f ca="1">IF(K39=$D$12,'Eingabe und Übersicht'!$E$26,0)*K43+IF(AND(K43=1,K39=13+$D12),'Eingabe und Übersicht'!$E$19*Prämissen!$D$14,0)</f>
        <v>100000</v>
      </c>
      <c r="L67" s="35">
        <f ca="1">IF(L39=$D$12,'Eingabe und Übersicht'!$E$26,0)*L43+IF(AND(L43=1,L39=13+$D12),'Eingabe und Übersicht'!$E$19*Prämissen!$D$14,0)</f>
        <v>0</v>
      </c>
      <c r="M67" s="35">
        <f ca="1">IF(M39=$D$12,'Eingabe und Übersicht'!$E$26,0)*M43+IF(AND(M43=1,M39=13+$D12),'Eingabe und Übersicht'!$E$19*Prämissen!$D$14,0)</f>
        <v>0</v>
      </c>
      <c r="N67" s="35">
        <f ca="1">IF(N39=$D$12,'Eingabe und Übersicht'!$E$26,0)*N43+IF(AND(N43=1,N39=13+$D12),'Eingabe und Übersicht'!$E$19*Prämissen!$D$14,0)</f>
        <v>0</v>
      </c>
      <c r="O67" s="35">
        <f ca="1">IF(O39=$D$12,'Eingabe und Übersicht'!$E$26,0)*O43+IF(AND(O43=1,O39=13+$D12),'Eingabe und Übersicht'!$E$19*Prämissen!$D$14,0)</f>
        <v>0</v>
      </c>
      <c r="P67" s="35">
        <f ca="1">IF(P39=$D$12,'Eingabe und Übersicht'!$E$26,0)*P43+IF(AND(P43=1,P39=13+$D12),'Eingabe und Übersicht'!$E$19*Prämissen!$D$14,0)</f>
        <v>0</v>
      </c>
      <c r="Q67" s="35">
        <f ca="1">IF(Q39=$D$12,'Eingabe und Übersicht'!$E$26,0)*Q43+IF(AND(Q43=1,Q39=13+$D12),'Eingabe und Übersicht'!$E$19*Prämissen!$D$14,0)</f>
        <v>0</v>
      </c>
      <c r="R67" s="35">
        <f ca="1">IF(R39=$D$12,'Eingabe und Übersicht'!$E$26,0)*R43+IF(AND(R43=1,R39=13+$D12),'Eingabe und Übersicht'!$E$19*Prämissen!$D$14,0)</f>
        <v>0</v>
      </c>
      <c r="S67" s="35">
        <f ca="1">IF(S39=$D$12,'Eingabe und Übersicht'!$E$26,0)*S43+IF(AND(S43=1,S39=13+$D12),'Eingabe und Übersicht'!$E$19*Prämissen!$D$14,0)</f>
        <v>0</v>
      </c>
      <c r="T67" s="35">
        <f ca="1">IF(T39=$D$12,'Eingabe und Übersicht'!$E$26,0)*T43+IF(AND(T43=1,T39=13+$D12),'Eingabe und Übersicht'!$E$19*Prämissen!$D$14,0)</f>
        <v>0</v>
      </c>
      <c r="U67" s="35">
        <f ca="1">IF(U39=$D$12,'Eingabe und Übersicht'!$E$26,0)*U43+IF(AND(U43=1,U39=13+$D12),'Eingabe und Übersicht'!$E$19*Prämissen!$D$14,0)</f>
        <v>0</v>
      </c>
      <c r="V67" s="35">
        <f ca="1">IF(V39=$D$12,'Eingabe und Übersicht'!$E$26,0)*V43+IF(AND(V43=1,V39=13+$D12),'Eingabe und Übersicht'!$E$19*Prämissen!$D$14,0)</f>
        <v>0</v>
      </c>
      <c r="W67" s="35">
        <f ca="1">IF(W39=$D$12,'Eingabe und Übersicht'!$E$26,0)*W43+IF(AND(W43=1,W39=13+$D12),'Eingabe und Übersicht'!$E$19*Prämissen!$D$14,0)</f>
        <v>0</v>
      </c>
      <c r="X67" s="35">
        <f ca="1">IF(X39=$D$12,'Eingabe und Übersicht'!$E$26,0)*X43+IF(AND(X43=1,X39=13+$D12),'Eingabe und Übersicht'!$E$19*Prämissen!$D$14,0)</f>
        <v>40000</v>
      </c>
      <c r="Y67" s="35">
        <f ca="1">IF(Y39=$D$12,'Eingabe und Übersicht'!$E$26,0)*Y43+IF(AND(Y43=1,Y39=13+$D12),'Eingabe und Übersicht'!$E$19*Prämissen!$D$14,0)</f>
        <v>0</v>
      </c>
      <c r="Z67" s="35">
        <f ca="1">IF(Z39=$D$12,'Eingabe und Übersicht'!$E$26,0)*Z43+IF(AND(Z43=1,Z39=13+$D12),'Eingabe und Übersicht'!$E$19*Prämissen!$D$14,0)</f>
        <v>0</v>
      </c>
      <c r="AA67" s="35">
        <f ca="1">IF(AA39=$D$12,'Eingabe und Übersicht'!$E$26,0)*AA43+IF(AND(AA43=1,AA39=13+$D12),'Eingabe und Übersicht'!$E$19*Prämissen!$D$14,0)</f>
        <v>0</v>
      </c>
      <c r="AB67" s="35">
        <f ca="1">IF(AB39=$D$12,'Eingabe und Übersicht'!$E$26,0)*AB43+IF(AND(AB43=1,AB39=13+$D12),'Eingabe und Übersicht'!$E$19*Prämissen!$D$14,0)</f>
        <v>0</v>
      </c>
      <c r="AC67" s="35">
        <f ca="1">IF(AC39=$D$12,'Eingabe und Übersicht'!$E$26,0)*AC43+IF(AND(AC43=1,AC39=13+$D12),'Eingabe und Übersicht'!$E$19*Prämissen!$D$14,0)</f>
        <v>0</v>
      </c>
      <c r="AD67" s="35">
        <f ca="1">IF(AD39=$D$12,'Eingabe und Übersicht'!$E$26,0)*AD43+IF(AND(AD43=1,AD39=13+$D12),'Eingabe und Übersicht'!$E$19*Prämissen!$D$14,0)</f>
        <v>0</v>
      </c>
      <c r="AE67" s="35">
        <f ca="1">IF(AE39=$D$12,'Eingabe und Übersicht'!$E$26,0)*AE43+IF(AND(AE43=1,AE39=13+$D12),'Eingabe und Übersicht'!$E$19*Prämissen!$D$14,0)</f>
        <v>0</v>
      </c>
    </row>
    <row r="68" spans="2:31" s="37" customFormat="1" x14ac:dyDescent="0.2">
      <c r="B68" s="35" t="s">
        <v>76</v>
      </c>
      <c r="C68" s="36" t="s">
        <v>4</v>
      </c>
      <c r="D68" s="35"/>
      <c r="E68" s="35"/>
      <c r="F68" s="35">
        <f>IF(F39+1=$D$5,-$D$34,0)</f>
        <v>0</v>
      </c>
      <c r="G68" s="35">
        <f t="shared" ref="G68:AD68" si="19">IF(G39=$D$5,-$D$34,0)</f>
        <v>0</v>
      </c>
      <c r="H68" s="35">
        <f t="shared" si="19"/>
        <v>0</v>
      </c>
      <c r="I68" s="35">
        <f t="shared" si="19"/>
        <v>0</v>
      </c>
      <c r="J68" s="35">
        <f t="shared" si="19"/>
        <v>0</v>
      </c>
      <c r="K68" s="35">
        <f t="shared" si="19"/>
        <v>0</v>
      </c>
      <c r="L68" s="35">
        <f t="shared" si="19"/>
        <v>0</v>
      </c>
      <c r="M68" s="35">
        <f t="shared" si="19"/>
        <v>0</v>
      </c>
      <c r="N68" s="35">
        <f t="shared" si="19"/>
        <v>0</v>
      </c>
      <c r="O68" s="35">
        <f t="shared" si="19"/>
        <v>0</v>
      </c>
      <c r="P68" s="35">
        <f t="shared" si="19"/>
        <v>0</v>
      </c>
      <c r="Q68" s="35">
        <f t="shared" si="19"/>
        <v>0</v>
      </c>
      <c r="R68" s="35">
        <f t="shared" si="19"/>
        <v>0</v>
      </c>
      <c r="S68" s="35">
        <f t="shared" si="19"/>
        <v>0</v>
      </c>
      <c r="T68" s="35">
        <f t="shared" si="19"/>
        <v>0</v>
      </c>
      <c r="U68" s="35">
        <f t="shared" si="19"/>
        <v>0</v>
      </c>
      <c r="V68" s="35">
        <f t="shared" si="19"/>
        <v>0</v>
      </c>
      <c r="W68" s="35">
        <f t="shared" si="19"/>
        <v>0</v>
      </c>
      <c r="X68" s="35">
        <f t="shared" si="19"/>
        <v>0</v>
      </c>
      <c r="Y68" s="35">
        <f t="shared" si="19"/>
        <v>0</v>
      </c>
      <c r="Z68" s="35">
        <f t="shared" si="19"/>
        <v>0</v>
      </c>
      <c r="AA68" s="35">
        <f t="shared" si="19"/>
        <v>0</v>
      </c>
      <c r="AB68" s="35">
        <f t="shared" si="19"/>
        <v>0</v>
      </c>
      <c r="AC68" s="35">
        <f t="shared" si="19"/>
        <v>0</v>
      </c>
      <c r="AD68" s="35">
        <f t="shared" si="19"/>
        <v>0</v>
      </c>
      <c r="AE68" s="35">
        <f ca="1">IF(AE39=$D$5,-$D$34-SUM(M67:AC67)/12.5*5,0)</f>
        <v>-36000</v>
      </c>
    </row>
    <row r="69" spans="2:31" s="37" customFormat="1" ht="12" x14ac:dyDescent="0.25">
      <c r="B69" s="38" t="s">
        <v>36</v>
      </c>
      <c r="C69" s="39" t="s">
        <v>4</v>
      </c>
      <c r="D69" s="38"/>
      <c r="E69" s="38"/>
      <c r="F69" s="38">
        <f ca="1">SUM(F64:F68)</f>
        <v>0</v>
      </c>
      <c r="G69" s="38">
        <f ca="1">SUM(G64:G68)</f>
        <v>29700</v>
      </c>
      <c r="H69" s="38">
        <f t="shared" ref="H69:Y69" ca="1" si="20">SUM(H64:H68)</f>
        <v>29700</v>
      </c>
      <c r="I69" s="38">
        <f t="shared" ca="1" si="20"/>
        <v>29700</v>
      </c>
      <c r="J69" s="38">
        <f t="shared" ca="1" si="20"/>
        <v>29700</v>
      </c>
      <c r="K69" s="38">
        <f t="shared" ca="1" si="20"/>
        <v>129700</v>
      </c>
      <c r="L69" s="38">
        <f t="shared" ca="1" si="20"/>
        <v>21890</v>
      </c>
      <c r="M69" s="38">
        <f t="shared" ca="1" si="20"/>
        <v>21890</v>
      </c>
      <c r="N69" s="38">
        <f t="shared" ca="1" si="20"/>
        <v>21890</v>
      </c>
      <c r="O69" s="38">
        <f t="shared" ca="1" si="20"/>
        <v>21890</v>
      </c>
      <c r="P69" s="38">
        <f t="shared" ca="1" si="20"/>
        <v>21890</v>
      </c>
      <c r="Q69" s="38">
        <f t="shared" ca="1" si="20"/>
        <v>21890</v>
      </c>
      <c r="R69" s="38">
        <f t="shared" ca="1" si="20"/>
        <v>21890</v>
      </c>
      <c r="S69" s="38">
        <f t="shared" ca="1" si="20"/>
        <v>21890</v>
      </c>
      <c r="T69" s="38">
        <f t="shared" ca="1" si="20"/>
        <v>21890</v>
      </c>
      <c r="U69" s="38">
        <f t="shared" ca="1" si="20"/>
        <v>21890</v>
      </c>
      <c r="V69" s="38">
        <f t="shared" ca="1" si="20"/>
        <v>21890</v>
      </c>
      <c r="W69" s="38">
        <f t="shared" ca="1" si="20"/>
        <v>21890</v>
      </c>
      <c r="X69" s="38">
        <f t="shared" ca="1" si="20"/>
        <v>61890</v>
      </c>
      <c r="Y69" s="38">
        <f t="shared" ca="1" si="20"/>
        <v>21890</v>
      </c>
      <c r="Z69" s="38">
        <f t="shared" ref="Z69:AE69" ca="1" si="21">SUM(Z64:Z68)</f>
        <v>21890</v>
      </c>
      <c r="AA69" s="38">
        <f t="shared" ca="1" si="21"/>
        <v>21890</v>
      </c>
      <c r="AB69" s="38">
        <f t="shared" ca="1" si="21"/>
        <v>21890</v>
      </c>
      <c r="AC69" s="38">
        <f t="shared" ca="1" si="21"/>
        <v>21890</v>
      </c>
      <c r="AD69" s="38">
        <f t="shared" ca="1" si="21"/>
        <v>21890</v>
      </c>
      <c r="AE69" s="38">
        <f t="shared" ca="1" si="21"/>
        <v>-14110</v>
      </c>
    </row>
    <row r="70" spans="2:31" s="37" customFormat="1" x14ac:dyDescent="0.2"/>
    <row r="71" spans="2:31" s="37" customFormat="1" ht="12" x14ac:dyDescent="0.25">
      <c r="B71" s="40" t="s">
        <v>35</v>
      </c>
    </row>
    <row r="72" spans="2:31" s="37" customFormat="1" x14ac:dyDescent="0.2">
      <c r="B72" s="35" t="s">
        <v>19</v>
      </c>
      <c r="C72" s="36" t="s">
        <v>4</v>
      </c>
      <c r="D72" s="35"/>
      <c r="E72" s="35"/>
      <c r="F72" s="35">
        <f t="shared" ref="F72:AE72" si="22">$D$31*F43</f>
        <v>0</v>
      </c>
      <c r="G72" s="35">
        <f t="shared" si="22"/>
        <v>20160</v>
      </c>
      <c r="H72" s="35">
        <f t="shared" si="22"/>
        <v>20160</v>
      </c>
      <c r="I72" s="35">
        <f t="shared" si="22"/>
        <v>20160</v>
      </c>
      <c r="J72" s="35">
        <f t="shared" si="22"/>
        <v>20160</v>
      </c>
      <c r="K72" s="35">
        <f t="shared" si="22"/>
        <v>20160</v>
      </c>
      <c r="L72" s="35">
        <f t="shared" si="22"/>
        <v>20160</v>
      </c>
      <c r="M72" s="35">
        <f t="shared" si="22"/>
        <v>20160</v>
      </c>
      <c r="N72" s="35">
        <f t="shared" si="22"/>
        <v>20160</v>
      </c>
      <c r="O72" s="35">
        <f t="shared" si="22"/>
        <v>20160</v>
      </c>
      <c r="P72" s="35">
        <f t="shared" si="22"/>
        <v>20160</v>
      </c>
      <c r="Q72" s="35">
        <f t="shared" si="22"/>
        <v>20160</v>
      </c>
      <c r="R72" s="35">
        <f t="shared" si="22"/>
        <v>20160</v>
      </c>
      <c r="S72" s="35">
        <f t="shared" si="22"/>
        <v>20160</v>
      </c>
      <c r="T72" s="35">
        <f t="shared" si="22"/>
        <v>20160</v>
      </c>
      <c r="U72" s="35">
        <f t="shared" si="22"/>
        <v>20160</v>
      </c>
      <c r="V72" s="35">
        <f t="shared" si="22"/>
        <v>20160</v>
      </c>
      <c r="W72" s="35">
        <f t="shared" si="22"/>
        <v>20160</v>
      </c>
      <c r="X72" s="35">
        <f t="shared" si="22"/>
        <v>20160</v>
      </c>
      <c r="Y72" s="35">
        <f t="shared" si="22"/>
        <v>20160</v>
      </c>
      <c r="Z72" s="35">
        <f t="shared" si="22"/>
        <v>20160</v>
      </c>
      <c r="AA72" s="35">
        <f t="shared" si="22"/>
        <v>20160</v>
      </c>
      <c r="AB72" s="35">
        <f t="shared" si="22"/>
        <v>20160</v>
      </c>
      <c r="AC72" s="35">
        <f t="shared" si="22"/>
        <v>20160</v>
      </c>
      <c r="AD72" s="35">
        <f t="shared" si="22"/>
        <v>20160</v>
      </c>
      <c r="AE72" s="35">
        <f t="shared" si="22"/>
        <v>20160</v>
      </c>
    </row>
    <row r="73" spans="2:31" s="37" customFormat="1" x14ac:dyDescent="0.2">
      <c r="B73" s="35" t="s">
        <v>32</v>
      </c>
      <c r="C73" s="36" t="s">
        <v>4</v>
      </c>
      <c r="D73" s="35"/>
      <c r="E73" s="35"/>
      <c r="F73" s="35">
        <f t="shared" ref="F73:AE73" si="23">$D$32*F43</f>
        <v>0</v>
      </c>
      <c r="G73" s="35">
        <f t="shared" si="23"/>
        <v>480</v>
      </c>
      <c r="H73" s="35">
        <f t="shared" si="23"/>
        <v>480</v>
      </c>
      <c r="I73" s="35">
        <f t="shared" si="23"/>
        <v>480</v>
      </c>
      <c r="J73" s="35">
        <f t="shared" si="23"/>
        <v>480</v>
      </c>
      <c r="K73" s="35">
        <f t="shared" si="23"/>
        <v>480</v>
      </c>
      <c r="L73" s="35">
        <f t="shared" si="23"/>
        <v>480</v>
      </c>
      <c r="M73" s="35">
        <f t="shared" si="23"/>
        <v>480</v>
      </c>
      <c r="N73" s="35">
        <f t="shared" si="23"/>
        <v>480</v>
      </c>
      <c r="O73" s="35">
        <f t="shared" si="23"/>
        <v>480</v>
      </c>
      <c r="P73" s="35">
        <f t="shared" si="23"/>
        <v>480</v>
      </c>
      <c r="Q73" s="35">
        <f t="shared" si="23"/>
        <v>480</v>
      </c>
      <c r="R73" s="35">
        <f t="shared" si="23"/>
        <v>480</v>
      </c>
      <c r="S73" s="35">
        <f t="shared" si="23"/>
        <v>480</v>
      </c>
      <c r="T73" s="35">
        <f t="shared" si="23"/>
        <v>480</v>
      </c>
      <c r="U73" s="35">
        <f t="shared" si="23"/>
        <v>480</v>
      </c>
      <c r="V73" s="35">
        <f t="shared" si="23"/>
        <v>480</v>
      </c>
      <c r="W73" s="35">
        <f t="shared" si="23"/>
        <v>480</v>
      </c>
      <c r="X73" s="35">
        <f t="shared" si="23"/>
        <v>480</v>
      </c>
      <c r="Y73" s="35">
        <f t="shared" si="23"/>
        <v>480</v>
      </c>
      <c r="Z73" s="35">
        <f t="shared" si="23"/>
        <v>480</v>
      </c>
      <c r="AA73" s="35">
        <f t="shared" si="23"/>
        <v>480</v>
      </c>
      <c r="AB73" s="35">
        <f t="shared" si="23"/>
        <v>480</v>
      </c>
      <c r="AC73" s="35">
        <f t="shared" si="23"/>
        <v>480</v>
      </c>
      <c r="AD73" s="35">
        <f t="shared" si="23"/>
        <v>480</v>
      </c>
      <c r="AE73" s="35">
        <f t="shared" si="23"/>
        <v>480</v>
      </c>
    </row>
    <row r="74" spans="2:31" s="37" customFormat="1" x14ac:dyDescent="0.2">
      <c r="B74" s="35" t="s">
        <v>218</v>
      </c>
      <c r="C74" s="36" t="s">
        <v>4</v>
      </c>
      <c r="D74" s="35"/>
      <c r="E74" s="35"/>
      <c r="F74" s="35">
        <f t="shared" ref="F74:AE74" si="24">$D$33*F43</f>
        <v>0</v>
      </c>
      <c r="G74" s="35">
        <f t="shared" si="24"/>
        <v>1250</v>
      </c>
      <c r="H74" s="35">
        <f t="shared" si="24"/>
        <v>1250</v>
      </c>
      <c r="I74" s="35">
        <f t="shared" si="24"/>
        <v>1250</v>
      </c>
      <c r="J74" s="35">
        <f t="shared" si="24"/>
        <v>1250</v>
      </c>
      <c r="K74" s="35">
        <f t="shared" si="24"/>
        <v>1250</v>
      </c>
      <c r="L74" s="35">
        <f t="shared" si="24"/>
        <v>1250</v>
      </c>
      <c r="M74" s="35">
        <f t="shared" si="24"/>
        <v>1250</v>
      </c>
      <c r="N74" s="35">
        <f t="shared" si="24"/>
        <v>1250</v>
      </c>
      <c r="O74" s="35">
        <f t="shared" si="24"/>
        <v>1250</v>
      </c>
      <c r="P74" s="35">
        <f t="shared" si="24"/>
        <v>1250</v>
      </c>
      <c r="Q74" s="35">
        <f t="shared" si="24"/>
        <v>1250</v>
      </c>
      <c r="R74" s="35">
        <f t="shared" si="24"/>
        <v>1250</v>
      </c>
      <c r="S74" s="35">
        <f t="shared" si="24"/>
        <v>1250</v>
      </c>
      <c r="T74" s="35">
        <f t="shared" si="24"/>
        <v>1250</v>
      </c>
      <c r="U74" s="35">
        <f t="shared" si="24"/>
        <v>1250</v>
      </c>
      <c r="V74" s="35">
        <f t="shared" si="24"/>
        <v>1250</v>
      </c>
      <c r="W74" s="35">
        <f t="shared" si="24"/>
        <v>1250</v>
      </c>
      <c r="X74" s="35">
        <f t="shared" si="24"/>
        <v>1250</v>
      </c>
      <c r="Y74" s="35">
        <f t="shared" si="24"/>
        <v>1250</v>
      </c>
      <c r="Z74" s="35">
        <f t="shared" si="24"/>
        <v>1250</v>
      </c>
      <c r="AA74" s="35">
        <f t="shared" si="24"/>
        <v>1250</v>
      </c>
      <c r="AB74" s="35">
        <f t="shared" si="24"/>
        <v>1250</v>
      </c>
      <c r="AC74" s="35">
        <f t="shared" si="24"/>
        <v>1250</v>
      </c>
      <c r="AD74" s="35">
        <f t="shared" si="24"/>
        <v>1250</v>
      </c>
      <c r="AE74" s="35">
        <f t="shared" si="24"/>
        <v>1250</v>
      </c>
    </row>
    <row r="75" spans="2:31" s="37" customFormat="1" x14ac:dyDescent="0.2">
      <c r="B75" s="35" t="s">
        <v>255</v>
      </c>
      <c r="C75" s="36" t="s">
        <v>4</v>
      </c>
      <c r="D75" s="35"/>
      <c r="E75" s="35"/>
      <c r="F75" s="35">
        <f>'Eingabe und Übersicht'!E26</f>
        <v>100000</v>
      </c>
      <c r="G75" s="35">
        <f>IF(AND(G43=1,G39=13),'Eingabe und Übersicht'!$E$19*Prämissen!$D$14,0)</f>
        <v>0</v>
      </c>
      <c r="H75" s="35">
        <f>IF(AND(H43=1,H39=13),'Eingabe und Übersicht'!$E$19*Prämissen!$D$14,0)</f>
        <v>0</v>
      </c>
      <c r="I75" s="35">
        <f>IF(AND(I43=1,I39=13),'Eingabe und Übersicht'!$E$19*Prämissen!$D$14,0)</f>
        <v>0</v>
      </c>
      <c r="J75" s="35">
        <f>IF(AND(J43=1,J39=13),'Eingabe und Übersicht'!$E$19*Prämissen!$D$14,0)</f>
        <v>0</v>
      </c>
      <c r="K75" s="35">
        <f>IF(AND(K43=1,K39=13),'Eingabe und Übersicht'!$E$19*Prämissen!$D$14,0)</f>
        <v>0</v>
      </c>
      <c r="L75" s="35">
        <f>IF(AND(L43=1,L39=13),'Eingabe und Übersicht'!$E$19*Prämissen!$D$14,0)</f>
        <v>0</v>
      </c>
      <c r="M75" s="35">
        <f>IF(AND(M43=1,M39=13),'Eingabe und Übersicht'!$E$19*Prämissen!$D$14,0)</f>
        <v>0</v>
      </c>
      <c r="N75" s="35">
        <f>IF(AND(N43=1,N39=13),'Eingabe und Übersicht'!$E$19*Prämissen!$D$14,0)</f>
        <v>0</v>
      </c>
      <c r="O75" s="35">
        <f>IF(AND(O43=1,O39=13),'Eingabe und Übersicht'!$E$19*Prämissen!$D$14,0)</f>
        <v>0</v>
      </c>
      <c r="P75" s="35">
        <f>IF(AND(P43=1,P39=13),'Eingabe und Übersicht'!$E$19*Prämissen!$D$14,0)</f>
        <v>0</v>
      </c>
      <c r="Q75" s="35">
        <f>IF(AND(Q43=1,Q39=13),'Eingabe und Übersicht'!$E$19*Prämissen!$D$14,0)</f>
        <v>0</v>
      </c>
      <c r="R75" s="35">
        <f>IF(AND(R43=1,R39=13),'Eingabe und Übersicht'!$E$19*Prämissen!$D$14,0)</f>
        <v>0</v>
      </c>
      <c r="S75" s="35">
        <f>IF(AND(S43=1,S39=13),'Eingabe und Übersicht'!$E$19*Prämissen!$D$14,0)</f>
        <v>40000</v>
      </c>
      <c r="T75" s="35">
        <f>IF(AND(T43=1,T39=13),'Eingabe und Übersicht'!$E$19*Prämissen!$D$14,0)</f>
        <v>0</v>
      </c>
      <c r="U75" s="35">
        <f>IF(AND(U43=1,U39=13),'Eingabe und Übersicht'!$E$19*Prämissen!$D$14,0)</f>
        <v>0</v>
      </c>
      <c r="V75" s="35">
        <f>IF(AND(V43=1,V39=13),'Eingabe und Übersicht'!$E$19*Prämissen!$D$14,0)</f>
        <v>0</v>
      </c>
      <c r="W75" s="35">
        <f>IF(AND(W43=1,W39=13),'Eingabe und Übersicht'!$E$19*Prämissen!$D$14,0)</f>
        <v>0</v>
      </c>
      <c r="X75" s="35">
        <f>IF(AND(X43=1,X39=13),'Eingabe und Übersicht'!$E$19*Prämissen!$D$14,0)</f>
        <v>0</v>
      </c>
      <c r="Y75" s="35">
        <f>IF(AND(Y43=1,Y39=13),'Eingabe und Übersicht'!$E$19*Prämissen!$D$14,0)</f>
        <v>0</v>
      </c>
      <c r="Z75" s="35">
        <f>IF(AND(Z43=1,Z39=13),'Eingabe und Übersicht'!$E$19*Prämissen!$D$14,0)</f>
        <v>0</v>
      </c>
      <c r="AA75" s="35">
        <f>IF(AND(AA43=1,AA39=13),'Eingabe und Übersicht'!$E$19*Prämissen!$D$14,0)</f>
        <v>0</v>
      </c>
      <c r="AB75" s="35">
        <f>IF(AND(AB43=1,AB39=13),'Eingabe und Übersicht'!$E$19*Prämissen!$D$14,0)</f>
        <v>0</v>
      </c>
      <c r="AC75" s="35">
        <f>IF(AND(AC43=1,AC39=13),'Eingabe und Übersicht'!$E$19*Prämissen!$D$14,0)</f>
        <v>0</v>
      </c>
      <c r="AD75" s="35">
        <f>IF(AND(AD43=1,AD39=13),'Eingabe und Übersicht'!$E$19*Prämissen!$D$14,0)</f>
        <v>0</v>
      </c>
      <c r="AE75" s="35">
        <f>IF(AND(AE43=1,AE39=13),'Eingabe und Übersicht'!$E$19*Prämissen!$D$14,0)</f>
        <v>0</v>
      </c>
    </row>
    <row r="76" spans="2:31" s="37" customFormat="1" ht="12" x14ac:dyDescent="0.25">
      <c r="B76" s="38" t="s">
        <v>36</v>
      </c>
      <c r="C76" s="39" t="s">
        <v>4</v>
      </c>
      <c r="D76" s="38"/>
      <c r="E76" s="38"/>
      <c r="F76" s="38">
        <f t="shared" ref="F76:Y76" si="25">SUM(F72:F75)</f>
        <v>100000</v>
      </c>
      <c r="G76" s="38">
        <f>SUM(G72:G75)</f>
        <v>21890</v>
      </c>
      <c r="H76" s="38">
        <f t="shared" si="25"/>
        <v>21890</v>
      </c>
      <c r="I76" s="38">
        <f t="shared" si="25"/>
        <v>21890</v>
      </c>
      <c r="J76" s="38">
        <f t="shared" si="25"/>
        <v>21890</v>
      </c>
      <c r="K76" s="38">
        <f t="shared" si="25"/>
        <v>21890</v>
      </c>
      <c r="L76" s="38">
        <f t="shared" si="25"/>
        <v>21890</v>
      </c>
      <c r="M76" s="38">
        <f t="shared" si="25"/>
        <v>21890</v>
      </c>
      <c r="N76" s="38">
        <f t="shared" si="25"/>
        <v>21890</v>
      </c>
      <c r="O76" s="38">
        <f t="shared" si="25"/>
        <v>21890</v>
      </c>
      <c r="P76" s="38">
        <f t="shared" si="25"/>
        <v>21890</v>
      </c>
      <c r="Q76" s="38">
        <f t="shared" si="25"/>
        <v>21890</v>
      </c>
      <c r="R76" s="38">
        <f t="shared" si="25"/>
        <v>21890</v>
      </c>
      <c r="S76" s="38">
        <f t="shared" si="25"/>
        <v>61890</v>
      </c>
      <c r="T76" s="38">
        <f t="shared" si="25"/>
        <v>21890</v>
      </c>
      <c r="U76" s="38">
        <f t="shared" si="25"/>
        <v>21890</v>
      </c>
      <c r="V76" s="38">
        <f t="shared" si="25"/>
        <v>21890</v>
      </c>
      <c r="W76" s="38">
        <f t="shared" si="25"/>
        <v>21890</v>
      </c>
      <c r="X76" s="38">
        <f t="shared" si="25"/>
        <v>21890</v>
      </c>
      <c r="Y76" s="38">
        <f t="shared" si="25"/>
        <v>21890</v>
      </c>
      <c r="Z76" s="38">
        <f t="shared" ref="Z76:AE76" si="26">SUM(Z72:Z75)</f>
        <v>21890</v>
      </c>
      <c r="AA76" s="38">
        <f t="shared" si="26"/>
        <v>21890</v>
      </c>
      <c r="AB76" s="38">
        <f t="shared" si="26"/>
        <v>21890</v>
      </c>
      <c r="AC76" s="38">
        <f t="shared" si="26"/>
        <v>21890</v>
      </c>
      <c r="AD76" s="38">
        <f t="shared" si="26"/>
        <v>21890</v>
      </c>
      <c r="AE76" s="38">
        <f t="shared" si="26"/>
        <v>21890</v>
      </c>
    </row>
    <row r="77" spans="2:31" s="37" customFormat="1" x14ac:dyDescent="0.2"/>
    <row r="78" spans="2:31" s="37" customFormat="1" ht="12" x14ac:dyDescent="0.25">
      <c r="B78" s="40" t="s">
        <v>41</v>
      </c>
    </row>
    <row r="79" spans="2:31" s="37" customFormat="1" x14ac:dyDescent="0.2">
      <c r="B79" s="35" t="s">
        <v>103</v>
      </c>
      <c r="C79" s="36" t="s">
        <v>4</v>
      </c>
      <c r="D79" s="35"/>
      <c r="E79" s="35"/>
      <c r="F79" s="35">
        <f ca="1">F67+F68-F75</f>
        <v>-100000</v>
      </c>
      <c r="G79" s="35">
        <f t="shared" ref="G79:Y79" ca="1" si="27">G67+G68-G75</f>
        <v>0</v>
      </c>
      <c r="H79" s="35">
        <f t="shared" ca="1" si="27"/>
        <v>0</v>
      </c>
      <c r="I79" s="35">
        <f t="shared" ca="1" si="27"/>
        <v>0</v>
      </c>
      <c r="J79" s="35">
        <f t="shared" ca="1" si="27"/>
        <v>0</v>
      </c>
      <c r="K79" s="35">
        <f t="shared" ca="1" si="27"/>
        <v>100000</v>
      </c>
      <c r="L79" s="35">
        <f t="shared" ca="1" si="27"/>
        <v>0</v>
      </c>
      <c r="M79" s="35">
        <f t="shared" ca="1" si="27"/>
        <v>0</v>
      </c>
      <c r="N79" s="35">
        <f t="shared" ca="1" si="27"/>
        <v>0</v>
      </c>
      <c r="O79" s="35">
        <f t="shared" ca="1" si="27"/>
        <v>0</v>
      </c>
      <c r="P79" s="35">
        <f t="shared" ca="1" si="27"/>
        <v>0</v>
      </c>
      <c r="Q79" s="35">
        <f t="shared" ca="1" si="27"/>
        <v>0</v>
      </c>
      <c r="R79" s="35">
        <f t="shared" ca="1" si="27"/>
        <v>0</v>
      </c>
      <c r="S79" s="35">
        <f t="shared" ca="1" si="27"/>
        <v>-40000</v>
      </c>
      <c r="T79" s="35">
        <f t="shared" ca="1" si="27"/>
        <v>0</v>
      </c>
      <c r="U79" s="35">
        <f t="shared" ca="1" si="27"/>
        <v>0</v>
      </c>
      <c r="V79" s="35">
        <f t="shared" ca="1" si="27"/>
        <v>0</v>
      </c>
      <c r="W79" s="35">
        <f t="shared" ca="1" si="27"/>
        <v>0</v>
      </c>
      <c r="X79" s="35">
        <f t="shared" ca="1" si="27"/>
        <v>40000</v>
      </c>
      <c r="Y79" s="35">
        <f t="shared" ca="1" si="27"/>
        <v>0</v>
      </c>
      <c r="Z79" s="35">
        <f t="shared" ref="Z79:AD79" ca="1" si="28">Z67+Z68-Z75</f>
        <v>0</v>
      </c>
      <c r="AA79" s="35">
        <f t="shared" ca="1" si="28"/>
        <v>0</v>
      </c>
      <c r="AB79" s="35">
        <f t="shared" ca="1" si="28"/>
        <v>0</v>
      </c>
      <c r="AC79" s="35">
        <f t="shared" ca="1" si="28"/>
        <v>0</v>
      </c>
      <c r="AD79" s="35">
        <f t="shared" ca="1" si="28"/>
        <v>0</v>
      </c>
      <c r="AE79" s="35">
        <f ca="1">AE67+AE68-AE75</f>
        <v>-36000</v>
      </c>
    </row>
    <row r="80" spans="2:31" s="37" customFormat="1" x14ac:dyDescent="0.2">
      <c r="B80" s="35" t="s">
        <v>104</v>
      </c>
      <c r="C80" s="36" t="s">
        <v>4</v>
      </c>
      <c r="D80" s="35">
        <f ca="1">SUM(F80:AE80)</f>
        <v>-34675.191350079156</v>
      </c>
      <c r="E80" s="35"/>
      <c r="F80" s="35">
        <f t="shared" ref="F80:AE80" ca="1" si="29">F79*F44</f>
        <v>-100000</v>
      </c>
      <c r="G80" s="35">
        <f t="shared" ca="1" si="29"/>
        <v>0</v>
      </c>
      <c r="H80" s="35">
        <f t="shared" ca="1" si="29"/>
        <v>0</v>
      </c>
      <c r="I80" s="35">
        <f t="shared" ca="1" si="29"/>
        <v>0</v>
      </c>
      <c r="J80" s="35">
        <f t="shared" ca="1" si="29"/>
        <v>0</v>
      </c>
      <c r="K80" s="35">
        <f t="shared" ca="1" si="29"/>
        <v>86260.878438416388</v>
      </c>
      <c r="L80" s="35">
        <f t="shared" ca="1" si="29"/>
        <v>0</v>
      </c>
      <c r="M80" s="35">
        <f t="shared" ca="1" si="29"/>
        <v>0</v>
      </c>
      <c r="N80" s="35">
        <f t="shared" ca="1" si="29"/>
        <v>0</v>
      </c>
      <c r="O80" s="35">
        <f t="shared" ca="1" si="29"/>
        <v>0</v>
      </c>
      <c r="P80" s="35">
        <f t="shared" ca="1" si="29"/>
        <v>0</v>
      </c>
      <c r="Q80" s="35">
        <f t="shared" ca="1" si="29"/>
        <v>0</v>
      </c>
      <c r="R80" s="35">
        <f t="shared" ca="1" si="29"/>
        <v>0</v>
      </c>
      <c r="S80" s="35">
        <f t="shared" ca="1" si="29"/>
        <v>-27238.053599727104</v>
      </c>
      <c r="T80" s="35">
        <f t="shared" ca="1" si="29"/>
        <v>0</v>
      </c>
      <c r="U80" s="35">
        <f t="shared" ca="1" si="29"/>
        <v>0</v>
      </c>
      <c r="V80" s="35">
        <f t="shared" ca="1" si="29"/>
        <v>0</v>
      </c>
      <c r="W80" s="35">
        <f t="shared" ca="1" si="29"/>
        <v>0</v>
      </c>
      <c r="X80" s="35">
        <f t="shared" ca="1" si="29"/>
        <v>23495.784304651293</v>
      </c>
      <c r="Y80" s="35">
        <f t="shared" ca="1" si="29"/>
        <v>0</v>
      </c>
      <c r="Z80" s="35">
        <f t="shared" ca="1" si="29"/>
        <v>0</v>
      </c>
      <c r="AA80" s="35">
        <f t="shared" ca="1" si="29"/>
        <v>0</v>
      </c>
      <c r="AB80" s="35">
        <f t="shared" ca="1" si="29"/>
        <v>0</v>
      </c>
      <c r="AC80" s="35">
        <f t="shared" ca="1" si="29"/>
        <v>0</v>
      </c>
      <c r="AD80" s="35">
        <f t="shared" ca="1" si="29"/>
        <v>0</v>
      </c>
      <c r="AE80" s="35">
        <f t="shared" ca="1" si="29"/>
        <v>-17193.800493419734</v>
      </c>
    </row>
    <row r="81" spans="2:31" s="37" customFormat="1" x14ac:dyDescent="0.2">
      <c r="B81" s="35" t="s">
        <v>105</v>
      </c>
      <c r="C81" s="36" t="s">
        <v>4</v>
      </c>
      <c r="D81" s="35"/>
      <c r="E81" s="35"/>
      <c r="F81" s="35">
        <f ca="1">F64+F65+F66-F72-F73-F74</f>
        <v>0</v>
      </c>
      <c r="G81" s="35">
        <f ca="1">G64+G65+G66-G72-G73-G74</f>
        <v>7810</v>
      </c>
      <c r="H81" s="35">
        <f t="shared" ref="H81:Y81" ca="1" si="30">H64+H65+H66-H72-H73-H74</f>
        <v>7810</v>
      </c>
      <c r="I81" s="35">
        <f t="shared" ca="1" si="30"/>
        <v>7810</v>
      </c>
      <c r="J81" s="35">
        <f t="shared" ca="1" si="30"/>
        <v>7810</v>
      </c>
      <c r="K81" s="35">
        <f t="shared" ca="1" si="30"/>
        <v>7810</v>
      </c>
      <c r="L81" s="35">
        <f t="shared" ca="1" si="30"/>
        <v>0</v>
      </c>
      <c r="M81" s="35">
        <f t="shared" ca="1" si="30"/>
        <v>0</v>
      </c>
      <c r="N81" s="35">
        <f t="shared" ca="1" si="30"/>
        <v>0</v>
      </c>
      <c r="O81" s="35">
        <f t="shared" ca="1" si="30"/>
        <v>0</v>
      </c>
      <c r="P81" s="35">
        <f t="shared" ca="1" si="30"/>
        <v>0</v>
      </c>
      <c r="Q81" s="35">
        <f t="shared" ca="1" si="30"/>
        <v>0</v>
      </c>
      <c r="R81" s="35">
        <f t="shared" ca="1" si="30"/>
        <v>0</v>
      </c>
      <c r="S81" s="35">
        <f t="shared" ca="1" si="30"/>
        <v>0</v>
      </c>
      <c r="T81" s="35">
        <f t="shared" ca="1" si="30"/>
        <v>0</v>
      </c>
      <c r="U81" s="35">
        <f t="shared" ca="1" si="30"/>
        <v>0</v>
      </c>
      <c r="V81" s="35">
        <f t="shared" ca="1" si="30"/>
        <v>0</v>
      </c>
      <c r="W81" s="35">
        <f t="shared" ca="1" si="30"/>
        <v>0</v>
      </c>
      <c r="X81" s="35">
        <f t="shared" ca="1" si="30"/>
        <v>0</v>
      </c>
      <c r="Y81" s="35">
        <f t="shared" ca="1" si="30"/>
        <v>0</v>
      </c>
      <c r="Z81" s="35">
        <f t="shared" ref="Z81:AE81" ca="1" si="31">Z64+Z65+Z66-Z72-Z73-Z74</f>
        <v>0</v>
      </c>
      <c r="AA81" s="35">
        <f t="shared" ca="1" si="31"/>
        <v>0</v>
      </c>
      <c r="AB81" s="35">
        <f t="shared" ca="1" si="31"/>
        <v>0</v>
      </c>
      <c r="AC81" s="35">
        <f t="shared" ca="1" si="31"/>
        <v>0</v>
      </c>
      <c r="AD81" s="35">
        <f t="shared" ca="1" si="31"/>
        <v>0</v>
      </c>
      <c r="AE81" s="35">
        <f t="shared" ca="1" si="31"/>
        <v>0</v>
      </c>
    </row>
    <row r="82" spans="2:31" s="41" customFormat="1" x14ac:dyDescent="0.2">
      <c r="B82" s="42" t="s">
        <v>106</v>
      </c>
      <c r="C82" s="43" t="s">
        <v>4</v>
      </c>
      <c r="D82" s="42">
        <f ca="1">SUM(F82:AE82)</f>
        <v>35767.513131989312</v>
      </c>
      <c r="E82" s="42"/>
      <c r="F82" s="42">
        <f t="shared" ref="F82:AE82" ca="1" si="32">F81*F44</f>
        <v>0</v>
      </c>
      <c r="G82" s="42">
        <f t="shared" ca="1" si="32"/>
        <v>7582.5242718446607</v>
      </c>
      <c r="H82" s="42">
        <f t="shared" ca="1" si="32"/>
        <v>7361.6740503346218</v>
      </c>
      <c r="I82" s="42">
        <f t="shared" ca="1" si="32"/>
        <v>7147.2563595481761</v>
      </c>
      <c r="J82" s="42">
        <f t="shared" ca="1" si="32"/>
        <v>6939.083844221529</v>
      </c>
      <c r="K82" s="42">
        <f t="shared" ca="1" si="32"/>
        <v>6736.9746060403195</v>
      </c>
      <c r="L82" s="42">
        <f t="shared" ca="1" si="32"/>
        <v>0</v>
      </c>
      <c r="M82" s="42">
        <f t="shared" ca="1" si="32"/>
        <v>0</v>
      </c>
      <c r="N82" s="42">
        <f t="shared" ca="1" si="32"/>
        <v>0</v>
      </c>
      <c r="O82" s="42">
        <f t="shared" ca="1" si="32"/>
        <v>0</v>
      </c>
      <c r="P82" s="42">
        <f t="shared" ca="1" si="32"/>
        <v>0</v>
      </c>
      <c r="Q82" s="42">
        <f t="shared" ca="1" si="32"/>
        <v>0</v>
      </c>
      <c r="R82" s="42">
        <f t="shared" ca="1" si="32"/>
        <v>0</v>
      </c>
      <c r="S82" s="42">
        <f t="shared" ca="1" si="32"/>
        <v>0</v>
      </c>
      <c r="T82" s="42">
        <f t="shared" ca="1" si="32"/>
        <v>0</v>
      </c>
      <c r="U82" s="42">
        <f t="shared" ca="1" si="32"/>
        <v>0</v>
      </c>
      <c r="V82" s="42">
        <f t="shared" ca="1" si="32"/>
        <v>0</v>
      </c>
      <c r="W82" s="42">
        <f t="shared" ca="1" si="32"/>
        <v>0</v>
      </c>
      <c r="X82" s="42">
        <f t="shared" ca="1" si="32"/>
        <v>0</v>
      </c>
      <c r="Y82" s="42">
        <f t="shared" ca="1" si="32"/>
        <v>0</v>
      </c>
      <c r="Z82" s="42">
        <f t="shared" ca="1" si="32"/>
        <v>0</v>
      </c>
      <c r="AA82" s="42">
        <f t="shared" ca="1" si="32"/>
        <v>0</v>
      </c>
      <c r="AB82" s="42">
        <f t="shared" ca="1" si="32"/>
        <v>0</v>
      </c>
      <c r="AC82" s="42">
        <f t="shared" ca="1" si="32"/>
        <v>0</v>
      </c>
      <c r="AD82" s="42">
        <f t="shared" ca="1" si="32"/>
        <v>0</v>
      </c>
      <c r="AE82" s="42">
        <f t="shared" ca="1" si="32"/>
        <v>0</v>
      </c>
    </row>
    <row r="83" spans="2:31" s="37" customFormat="1" x14ac:dyDescent="0.2">
      <c r="B83" s="35" t="s">
        <v>102</v>
      </c>
      <c r="C83" s="36" t="s">
        <v>4</v>
      </c>
      <c r="D83" s="35"/>
      <c r="E83" s="35"/>
      <c r="F83" s="35">
        <f ca="1">F69-F76</f>
        <v>-100000</v>
      </c>
      <c r="G83" s="35">
        <f t="shared" ref="G83:Z83" ca="1" si="33">G69-G76</f>
        <v>7810</v>
      </c>
      <c r="H83" s="35">
        <f t="shared" ca="1" si="33"/>
        <v>7810</v>
      </c>
      <c r="I83" s="35">
        <f t="shared" ca="1" si="33"/>
        <v>7810</v>
      </c>
      <c r="J83" s="35">
        <f t="shared" ca="1" si="33"/>
        <v>7810</v>
      </c>
      <c r="K83" s="35">
        <f ca="1">K69-K76</f>
        <v>107810</v>
      </c>
      <c r="L83" s="35">
        <f t="shared" ca="1" si="33"/>
        <v>0</v>
      </c>
      <c r="M83" s="35">
        <f t="shared" ca="1" si="33"/>
        <v>0</v>
      </c>
      <c r="N83" s="35">
        <f t="shared" ca="1" si="33"/>
        <v>0</v>
      </c>
      <c r="O83" s="35">
        <f t="shared" ca="1" si="33"/>
        <v>0</v>
      </c>
      <c r="P83" s="35">
        <f t="shared" ca="1" si="33"/>
        <v>0</v>
      </c>
      <c r="Q83" s="35">
        <f t="shared" ca="1" si="33"/>
        <v>0</v>
      </c>
      <c r="R83" s="35">
        <f t="shared" ca="1" si="33"/>
        <v>0</v>
      </c>
      <c r="S83" s="35">
        <f t="shared" ca="1" si="33"/>
        <v>-40000</v>
      </c>
      <c r="T83" s="35">
        <f t="shared" ca="1" si="33"/>
        <v>0</v>
      </c>
      <c r="U83" s="35">
        <f t="shared" ca="1" si="33"/>
        <v>0</v>
      </c>
      <c r="V83" s="35">
        <f t="shared" ca="1" si="33"/>
        <v>0</v>
      </c>
      <c r="W83" s="35">
        <f ca="1">W69-W76</f>
        <v>0</v>
      </c>
      <c r="X83" s="35">
        <f t="shared" ca="1" si="33"/>
        <v>40000</v>
      </c>
      <c r="Y83" s="35">
        <f t="shared" ca="1" si="33"/>
        <v>0</v>
      </c>
      <c r="Z83" s="35">
        <f t="shared" ca="1" si="33"/>
        <v>0</v>
      </c>
      <c r="AA83" s="35">
        <f t="shared" ref="AA83:AB83" ca="1" si="34">AA69-AA76</f>
        <v>0</v>
      </c>
      <c r="AB83" s="35">
        <f t="shared" ca="1" si="34"/>
        <v>0</v>
      </c>
      <c r="AC83" s="35">
        <f ca="1">AC69-AC76</f>
        <v>0</v>
      </c>
      <c r="AD83" s="35">
        <f t="shared" ref="AD83:AE83" ca="1" si="35">AD69-AD76</f>
        <v>0</v>
      </c>
      <c r="AE83" s="35">
        <f t="shared" ca="1" si="35"/>
        <v>-36000</v>
      </c>
    </row>
    <row r="84" spans="2:31" s="37" customFormat="1" x14ac:dyDescent="0.2">
      <c r="B84" s="35" t="s">
        <v>107</v>
      </c>
      <c r="C84" s="36" t="s">
        <v>4</v>
      </c>
      <c r="D84" s="35"/>
      <c r="E84" s="35"/>
      <c r="F84" s="35">
        <f t="shared" ref="F84:AE84" ca="1" si="36">F44*F83</f>
        <v>-100000</v>
      </c>
      <c r="G84" s="35">
        <f t="shared" ca="1" si="36"/>
        <v>7582.5242718446607</v>
      </c>
      <c r="H84" s="35">
        <f t="shared" ca="1" si="36"/>
        <v>7361.6740503346218</v>
      </c>
      <c r="I84" s="35">
        <f t="shared" ca="1" si="36"/>
        <v>7147.2563595481761</v>
      </c>
      <c r="J84" s="35">
        <f t="shared" ca="1" si="36"/>
        <v>6939.083844221529</v>
      </c>
      <c r="K84" s="35">
        <f t="shared" ca="1" si="36"/>
        <v>92997.853044456715</v>
      </c>
      <c r="L84" s="35">
        <f t="shared" ca="1" si="36"/>
        <v>0</v>
      </c>
      <c r="M84" s="35">
        <f t="shared" ca="1" si="36"/>
        <v>0</v>
      </c>
      <c r="N84" s="35">
        <f t="shared" ca="1" si="36"/>
        <v>0</v>
      </c>
      <c r="O84" s="35">
        <f t="shared" ca="1" si="36"/>
        <v>0</v>
      </c>
      <c r="P84" s="35">
        <f t="shared" ca="1" si="36"/>
        <v>0</v>
      </c>
      <c r="Q84" s="35">
        <f t="shared" ca="1" si="36"/>
        <v>0</v>
      </c>
      <c r="R84" s="35">
        <f t="shared" ca="1" si="36"/>
        <v>0</v>
      </c>
      <c r="S84" s="35">
        <f t="shared" ca="1" si="36"/>
        <v>-27238.053599727104</v>
      </c>
      <c r="T84" s="35">
        <f t="shared" ca="1" si="36"/>
        <v>0</v>
      </c>
      <c r="U84" s="35">
        <f t="shared" ca="1" si="36"/>
        <v>0</v>
      </c>
      <c r="V84" s="35">
        <f t="shared" ca="1" si="36"/>
        <v>0</v>
      </c>
      <c r="W84" s="35">
        <f t="shared" ca="1" si="36"/>
        <v>0</v>
      </c>
      <c r="X84" s="35">
        <f t="shared" ca="1" si="36"/>
        <v>23495.784304651293</v>
      </c>
      <c r="Y84" s="35">
        <f t="shared" ca="1" si="36"/>
        <v>0</v>
      </c>
      <c r="Z84" s="35">
        <f t="shared" ca="1" si="36"/>
        <v>0</v>
      </c>
      <c r="AA84" s="35">
        <f t="shared" ca="1" si="36"/>
        <v>0</v>
      </c>
      <c r="AB84" s="35">
        <f t="shared" ca="1" si="36"/>
        <v>0</v>
      </c>
      <c r="AC84" s="35">
        <f t="shared" ca="1" si="36"/>
        <v>0</v>
      </c>
      <c r="AD84" s="35">
        <f t="shared" ca="1" si="36"/>
        <v>0</v>
      </c>
      <c r="AE84" s="35">
        <f t="shared" ca="1" si="36"/>
        <v>-17193.800493419734</v>
      </c>
    </row>
    <row r="85" spans="2:31" s="37" customFormat="1" x14ac:dyDescent="0.2">
      <c r="B85" s="35" t="s">
        <v>39</v>
      </c>
      <c r="C85" s="36" t="s">
        <v>4</v>
      </c>
      <c r="D85" s="35"/>
      <c r="E85" s="35"/>
      <c r="F85" s="35">
        <f ca="1">F84</f>
        <v>-100000</v>
      </c>
      <c r="G85" s="35">
        <f ca="1">(F85+G84)</f>
        <v>-92417.475728155347</v>
      </c>
      <c r="H85" s="35">
        <f t="shared" ref="H85:AE85" ca="1" si="37">(G85+H84)*H43</f>
        <v>-85055.801677820724</v>
      </c>
      <c r="I85" s="35">
        <f t="shared" ca="1" si="37"/>
        <v>-77908.545318272547</v>
      </c>
      <c r="J85" s="35">
        <f t="shared" ca="1" si="37"/>
        <v>-70969.461474051015</v>
      </c>
      <c r="K85" s="35">
        <f t="shared" ca="1" si="37"/>
        <v>22028.3915704057</v>
      </c>
      <c r="L85" s="35">
        <f t="shared" ca="1" si="37"/>
        <v>22028.3915704057</v>
      </c>
      <c r="M85" s="35">
        <f t="shared" ca="1" si="37"/>
        <v>22028.3915704057</v>
      </c>
      <c r="N85" s="35">
        <f t="shared" ca="1" si="37"/>
        <v>22028.3915704057</v>
      </c>
      <c r="O85" s="35">
        <f t="shared" ca="1" si="37"/>
        <v>22028.3915704057</v>
      </c>
      <c r="P85" s="35">
        <f t="shared" ca="1" si="37"/>
        <v>22028.3915704057</v>
      </c>
      <c r="Q85" s="35">
        <f t="shared" ca="1" si="37"/>
        <v>22028.3915704057</v>
      </c>
      <c r="R85" s="35">
        <f t="shared" ca="1" si="37"/>
        <v>22028.3915704057</v>
      </c>
      <c r="S85" s="35">
        <f t="shared" ca="1" si="37"/>
        <v>-5209.6620293214037</v>
      </c>
      <c r="T85" s="35">
        <f t="shared" ca="1" si="37"/>
        <v>-5209.6620293214037</v>
      </c>
      <c r="U85" s="35">
        <f t="shared" ca="1" si="37"/>
        <v>-5209.6620293214037</v>
      </c>
      <c r="V85" s="35">
        <f t="shared" ca="1" si="37"/>
        <v>-5209.6620293214037</v>
      </c>
      <c r="W85" s="35">
        <f t="shared" ca="1" si="37"/>
        <v>-5209.6620293214037</v>
      </c>
      <c r="X85" s="35">
        <f t="shared" ca="1" si="37"/>
        <v>18286.12227532989</v>
      </c>
      <c r="Y85" s="35">
        <f t="shared" ca="1" si="37"/>
        <v>18286.12227532989</v>
      </c>
      <c r="Z85" s="35">
        <f t="shared" ca="1" si="37"/>
        <v>18286.12227532989</v>
      </c>
      <c r="AA85" s="35">
        <f t="shared" ca="1" si="37"/>
        <v>18286.12227532989</v>
      </c>
      <c r="AB85" s="35">
        <f t="shared" ca="1" si="37"/>
        <v>18286.12227532989</v>
      </c>
      <c r="AC85" s="35">
        <f t="shared" ca="1" si="37"/>
        <v>18286.12227532989</v>
      </c>
      <c r="AD85" s="35">
        <f t="shared" ca="1" si="37"/>
        <v>18286.12227532989</v>
      </c>
      <c r="AE85" s="35">
        <f t="shared" ca="1" si="37"/>
        <v>1092.3217819101556</v>
      </c>
    </row>
    <row r="86" spans="2:31" s="37" customFormat="1" ht="12" x14ac:dyDescent="0.25">
      <c r="B86" s="44" t="s">
        <v>81</v>
      </c>
      <c r="C86" s="45" t="s">
        <v>4</v>
      </c>
      <c r="D86" s="44">
        <f ca="1">INDEX(F85:AE85,1,D5+1)</f>
        <v>1092.3217819101556</v>
      </c>
      <c r="F86" s="37" t="s">
        <v>125</v>
      </c>
    </row>
    <row r="87" spans="2:31" s="37" customFormat="1" ht="12" x14ac:dyDescent="0.25">
      <c r="B87" s="44" t="s">
        <v>124</v>
      </c>
      <c r="C87" s="45" t="s">
        <v>4</v>
      </c>
      <c r="D87" s="46">
        <f ca="1">IF(ISNUMBER(IRR(F83:AE83)),IF(IRR(F83:AE83)&gt;0,IRR(F83:AE83),"n.b."),"&lt;3%")</f>
        <v>3.5954027563176671E-2</v>
      </c>
      <c r="F87" s="37" t="s">
        <v>267</v>
      </c>
    </row>
    <row r="88" spans="2:31" s="37" customFormat="1" x14ac:dyDescent="0.2"/>
    <row r="89" spans="2:31" s="37" customFormat="1" ht="12" x14ac:dyDescent="0.25">
      <c r="B89" s="40" t="s">
        <v>50</v>
      </c>
    </row>
    <row r="90" spans="2:31" s="37" customFormat="1" x14ac:dyDescent="0.2">
      <c r="B90" s="35" t="s">
        <v>127</v>
      </c>
      <c r="C90" s="36" t="s">
        <v>4</v>
      </c>
      <c r="D90" s="35"/>
      <c r="E90" s="35"/>
      <c r="F90" s="35">
        <f ca="1">D58*Prämissen!D8</f>
        <v>66133.125</v>
      </c>
      <c r="G90" s="35">
        <v>0</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row>
    <row r="91" spans="2:31" s="37" customFormat="1" x14ac:dyDescent="0.2">
      <c r="B91" s="35" t="s">
        <v>51</v>
      </c>
      <c r="C91" s="36" t="s">
        <v>4</v>
      </c>
      <c r="D91" s="35"/>
      <c r="E91" s="35"/>
      <c r="F91" s="35">
        <f ca="1">(F69-F76+F90)</f>
        <v>-33866.875</v>
      </c>
      <c r="G91" s="35">
        <f t="shared" ref="G91:AE91" ca="1" si="38">(G69-G76+G90)</f>
        <v>7810</v>
      </c>
      <c r="H91" s="35">
        <f t="shared" ca="1" si="38"/>
        <v>7810</v>
      </c>
      <c r="I91" s="35">
        <f t="shared" ca="1" si="38"/>
        <v>7810</v>
      </c>
      <c r="J91" s="35">
        <f t="shared" ca="1" si="38"/>
        <v>7810</v>
      </c>
      <c r="K91" s="35">
        <f t="shared" ca="1" si="38"/>
        <v>107810</v>
      </c>
      <c r="L91" s="35">
        <f t="shared" ca="1" si="38"/>
        <v>0</v>
      </c>
      <c r="M91" s="35">
        <f t="shared" ca="1" si="38"/>
        <v>0</v>
      </c>
      <c r="N91" s="35">
        <f t="shared" ca="1" si="38"/>
        <v>0</v>
      </c>
      <c r="O91" s="35">
        <f t="shared" ca="1" si="38"/>
        <v>0</v>
      </c>
      <c r="P91" s="35">
        <f t="shared" ca="1" si="38"/>
        <v>0</v>
      </c>
      <c r="Q91" s="35">
        <f t="shared" ca="1" si="38"/>
        <v>0</v>
      </c>
      <c r="R91" s="35">
        <f t="shared" ca="1" si="38"/>
        <v>0</v>
      </c>
      <c r="S91" s="35">
        <f t="shared" ca="1" si="38"/>
        <v>-40000</v>
      </c>
      <c r="T91" s="35">
        <f t="shared" ca="1" si="38"/>
        <v>0</v>
      </c>
      <c r="U91" s="35">
        <f t="shared" ca="1" si="38"/>
        <v>0</v>
      </c>
      <c r="V91" s="35">
        <f t="shared" ca="1" si="38"/>
        <v>0</v>
      </c>
      <c r="W91" s="35">
        <f t="shared" ca="1" si="38"/>
        <v>0</v>
      </c>
      <c r="X91" s="35">
        <f t="shared" ca="1" si="38"/>
        <v>40000</v>
      </c>
      <c r="Y91" s="35">
        <f t="shared" ca="1" si="38"/>
        <v>0</v>
      </c>
      <c r="Z91" s="35">
        <f t="shared" ca="1" si="38"/>
        <v>0</v>
      </c>
      <c r="AA91" s="35">
        <f t="shared" ca="1" si="38"/>
        <v>0</v>
      </c>
      <c r="AB91" s="35">
        <f t="shared" ca="1" si="38"/>
        <v>0</v>
      </c>
      <c r="AC91" s="35">
        <f t="shared" ca="1" si="38"/>
        <v>0</v>
      </c>
      <c r="AD91" s="35">
        <f t="shared" ca="1" si="38"/>
        <v>0</v>
      </c>
      <c r="AE91" s="35">
        <f t="shared" ca="1" si="38"/>
        <v>-36000</v>
      </c>
    </row>
    <row r="92" spans="2:31" s="37" customFormat="1" x14ac:dyDescent="0.2">
      <c r="B92" s="35" t="s">
        <v>38</v>
      </c>
      <c r="C92" s="36" t="s">
        <v>4</v>
      </c>
      <c r="D92" s="35"/>
      <c r="E92" s="35"/>
      <c r="F92" s="35">
        <f t="shared" ref="F92:AE92" ca="1" si="39">F44*F91</f>
        <v>-33866.875</v>
      </c>
      <c r="G92" s="35">
        <f t="shared" ca="1" si="39"/>
        <v>7582.5242718446607</v>
      </c>
      <c r="H92" s="35">
        <f t="shared" ca="1" si="39"/>
        <v>7361.6740503346218</v>
      </c>
      <c r="I92" s="35">
        <f t="shared" ca="1" si="39"/>
        <v>7147.2563595481761</v>
      </c>
      <c r="J92" s="35">
        <f t="shared" ca="1" si="39"/>
        <v>6939.083844221529</v>
      </c>
      <c r="K92" s="35">
        <f t="shared" ca="1" si="39"/>
        <v>92997.853044456715</v>
      </c>
      <c r="L92" s="35">
        <f t="shared" ca="1" si="39"/>
        <v>0</v>
      </c>
      <c r="M92" s="35">
        <f t="shared" ca="1" si="39"/>
        <v>0</v>
      </c>
      <c r="N92" s="35">
        <f t="shared" ca="1" si="39"/>
        <v>0</v>
      </c>
      <c r="O92" s="35">
        <f t="shared" ca="1" si="39"/>
        <v>0</v>
      </c>
      <c r="P92" s="35">
        <f t="shared" ca="1" si="39"/>
        <v>0</v>
      </c>
      <c r="Q92" s="35">
        <f t="shared" ca="1" si="39"/>
        <v>0</v>
      </c>
      <c r="R92" s="35">
        <f t="shared" ca="1" si="39"/>
        <v>0</v>
      </c>
      <c r="S92" s="35">
        <f t="shared" ca="1" si="39"/>
        <v>-27238.053599727104</v>
      </c>
      <c r="T92" s="35">
        <f t="shared" ca="1" si="39"/>
        <v>0</v>
      </c>
      <c r="U92" s="35">
        <f t="shared" ca="1" si="39"/>
        <v>0</v>
      </c>
      <c r="V92" s="35">
        <f t="shared" ca="1" si="39"/>
        <v>0</v>
      </c>
      <c r="W92" s="35">
        <f t="shared" ca="1" si="39"/>
        <v>0</v>
      </c>
      <c r="X92" s="35">
        <f t="shared" ca="1" si="39"/>
        <v>23495.784304651293</v>
      </c>
      <c r="Y92" s="35">
        <f t="shared" ca="1" si="39"/>
        <v>0</v>
      </c>
      <c r="Z92" s="35">
        <f t="shared" ca="1" si="39"/>
        <v>0</v>
      </c>
      <c r="AA92" s="35">
        <f t="shared" ca="1" si="39"/>
        <v>0</v>
      </c>
      <c r="AB92" s="35">
        <f t="shared" ca="1" si="39"/>
        <v>0</v>
      </c>
      <c r="AC92" s="35">
        <f t="shared" ca="1" si="39"/>
        <v>0</v>
      </c>
      <c r="AD92" s="35">
        <f t="shared" ca="1" si="39"/>
        <v>0</v>
      </c>
      <c r="AE92" s="35">
        <f t="shared" ca="1" si="39"/>
        <v>-17193.800493419734</v>
      </c>
    </row>
    <row r="93" spans="2:31" s="37" customFormat="1" x14ac:dyDescent="0.2">
      <c r="B93" s="35" t="s">
        <v>39</v>
      </c>
      <c r="C93" s="36" t="s">
        <v>4</v>
      </c>
      <c r="D93" s="35"/>
      <c r="E93" s="35"/>
      <c r="F93" s="35">
        <f ca="1">F92</f>
        <v>-33866.875</v>
      </c>
      <c r="G93" s="35">
        <f t="shared" ref="G93:AE93" ca="1" si="40">(F93+G92)*G43</f>
        <v>-26284.350728155339</v>
      </c>
      <c r="H93" s="35">
        <f t="shared" ca="1" si="40"/>
        <v>-18922.676677820717</v>
      </c>
      <c r="I93" s="35">
        <f t="shared" ca="1" si="40"/>
        <v>-11775.42031827254</v>
      </c>
      <c r="J93" s="35">
        <f t="shared" ca="1" si="40"/>
        <v>-4836.3364740510106</v>
      </c>
      <c r="K93" s="35">
        <f t="shared" ca="1" si="40"/>
        <v>88161.5165704057</v>
      </c>
      <c r="L93" s="35">
        <f t="shared" ca="1" si="40"/>
        <v>88161.5165704057</v>
      </c>
      <c r="M93" s="35">
        <f t="shared" ca="1" si="40"/>
        <v>88161.5165704057</v>
      </c>
      <c r="N93" s="35">
        <f t="shared" ca="1" si="40"/>
        <v>88161.5165704057</v>
      </c>
      <c r="O93" s="35">
        <f t="shared" ca="1" si="40"/>
        <v>88161.5165704057</v>
      </c>
      <c r="P93" s="35">
        <f t="shared" ca="1" si="40"/>
        <v>88161.5165704057</v>
      </c>
      <c r="Q93" s="35">
        <f t="shared" ca="1" si="40"/>
        <v>88161.5165704057</v>
      </c>
      <c r="R93" s="35">
        <f t="shared" ca="1" si="40"/>
        <v>88161.5165704057</v>
      </c>
      <c r="S93" s="35">
        <f t="shared" ca="1" si="40"/>
        <v>60923.462970678593</v>
      </c>
      <c r="T93" s="35">
        <f t="shared" ca="1" si="40"/>
        <v>60923.462970678593</v>
      </c>
      <c r="U93" s="35">
        <f t="shared" ca="1" si="40"/>
        <v>60923.462970678593</v>
      </c>
      <c r="V93" s="35">
        <f t="shared" ca="1" si="40"/>
        <v>60923.462970678593</v>
      </c>
      <c r="W93" s="35">
        <f t="shared" ca="1" si="40"/>
        <v>60923.462970678593</v>
      </c>
      <c r="X93" s="35">
        <f t="shared" ca="1" si="40"/>
        <v>84419.247275329893</v>
      </c>
      <c r="Y93" s="35">
        <f t="shared" ca="1" si="40"/>
        <v>84419.247275329893</v>
      </c>
      <c r="Z93" s="35">
        <f t="shared" ca="1" si="40"/>
        <v>84419.247275329893</v>
      </c>
      <c r="AA93" s="35">
        <f t="shared" ca="1" si="40"/>
        <v>84419.247275329893</v>
      </c>
      <c r="AB93" s="35">
        <f t="shared" ca="1" si="40"/>
        <v>84419.247275329893</v>
      </c>
      <c r="AC93" s="35">
        <f t="shared" ca="1" si="40"/>
        <v>84419.247275329893</v>
      </c>
      <c r="AD93" s="35">
        <f t="shared" ca="1" si="40"/>
        <v>84419.247275329893</v>
      </c>
      <c r="AE93" s="35">
        <f t="shared" ca="1" si="40"/>
        <v>67225.446781910156</v>
      </c>
    </row>
    <row r="94" spans="2:31" s="37" customFormat="1" ht="12" x14ac:dyDescent="0.25">
      <c r="B94" s="44" t="s">
        <v>82</v>
      </c>
      <c r="C94" s="45" t="s">
        <v>4</v>
      </c>
      <c r="D94" s="44">
        <f ca="1">INDEX(F93:AE93,1,D5+1)</f>
        <v>67225.446781910156</v>
      </c>
    </row>
    <row r="95" spans="2:31" s="37" customFormat="1" ht="12" x14ac:dyDescent="0.25">
      <c r="B95" s="44" t="s">
        <v>124</v>
      </c>
      <c r="C95" s="45" t="s">
        <v>4</v>
      </c>
      <c r="D95" s="46">
        <f ca="1">IF(ISNUMBER(IRR(F91:AE91)),IF(IRR(F91:AE91)&gt;0,IRR(F91:AE91),"n.b."),"&lt;3%")</f>
        <v>0.40227553515166425</v>
      </c>
    </row>
    <row r="97" spans="2:4" x14ac:dyDescent="0.2">
      <c r="B97" s="2"/>
      <c r="C97" s="22" t="s">
        <v>110</v>
      </c>
      <c r="D97" s="2" t="s">
        <v>111</v>
      </c>
    </row>
    <row r="98" spans="2:4" x14ac:dyDescent="0.2">
      <c r="B98" s="2" t="s">
        <v>108</v>
      </c>
      <c r="C98" s="32">
        <f ca="1">-D80</f>
        <v>34675.191350079156</v>
      </c>
      <c r="D98" s="10"/>
    </row>
    <row r="99" spans="2:4" x14ac:dyDescent="0.2">
      <c r="B99" s="2" t="s">
        <v>109</v>
      </c>
      <c r="C99" s="32"/>
      <c r="D99" s="10">
        <f ca="1">D82</f>
        <v>35767.513131989312</v>
      </c>
    </row>
    <row r="100" spans="2:4" x14ac:dyDescent="0.2">
      <c r="B100" s="2" t="s">
        <v>112</v>
      </c>
      <c r="C100" s="32"/>
      <c r="D100" s="10">
        <f ca="1">'Eingabe und Übersicht'!E33</f>
        <v>66000</v>
      </c>
    </row>
  </sheetData>
  <mergeCells count="10">
    <mergeCell ref="E38:E39"/>
    <mergeCell ref="B48:D48"/>
    <mergeCell ref="B41:D41"/>
    <mergeCell ref="B8:D8"/>
    <mergeCell ref="B21:D21"/>
    <mergeCell ref="B2:D2"/>
    <mergeCell ref="B61:D61"/>
    <mergeCell ref="B38:B39"/>
    <mergeCell ref="C38:C39"/>
    <mergeCell ref="D38:D39"/>
  </mergeCells>
  <pageMargins left="0.70866141732283472" right="0.70866141732283472" top="0.78740157480314965" bottom="0.78740157480314965" header="0.31496062992125984" footer="0.31496062992125984"/>
  <pageSetup paperSize="8"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7"/>
  <sheetViews>
    <sheetView workbookViewId="0">
      <selection activeCell="E26" sqref="E26"/>
    </sheetView>
  </sheetViews>
  <sheetFormatPr baseColWidth="10" defaultColWidth="11.44140625" defaultRowHeight="11.4" x14ac:dyDescent="0.2"/>
  <cols>
    <col min="1" max="1" width="11.44140625" style="1"/>
    <col min="2" max="2" width="55.5546875" style="1" customWidth="1"/>
    <col min="3" max="3" width="9.5546875" style="1" customWidth="1"/>
    <col min="4" max="4" width="9" style="1" customWidth="1"/>
    <col min="5" max="5" width="53.5546875" style="1" customWidth="1"/>
    <col min="6" max="16384" width="11.44140625" style="1"/>
  </cols>
  <sheetData>
    <row r="4" spans="2:5" ht="12" x14ac:dyDescent="0.25">
      <c r="B4" s="3" t="s">
        <v>0</v>
      </c>
      <c r="C4" s="3" t="s">
        <v>1</v>
      </c>
      <c r="D4" s="3" t="s">
        <v>2</v>
      </c>
      <c r="E4" s="3" t="s">
        <v>3</v>
      </c>
    </row>
    <row r="5" spans="2:5" ht="12" x14ac:dyDescent="0.2">
      <c r="B5" s="2" t="s">
        <v>14</v>
      </c>
      <c r="C5" s="2" t="s">
        <v>15</v>
      </c>
      <c r="D5" s="126">
        <f>Sensitivitätsanalyse!C19</f>
        <v>0.18</v>
      </c>
      <c r="E5" s="2" t="s">
        <v>16</v>
      </c>
    </row>
    <row r="6" spans="2:5" ht="12" x14ac:dyDescent="0.2">
      <c r="B6" s="2" t="s">
        <v>46</v>
      </c>
      <c r="C6" s="2" t="s">
        <v>47</v>
      </c>
      <c r="D6" s="123">
        <v>2.4199999999999999E-5</v>
      </c>
      <c r="E6" s="2" t="s">
        <v>178</v>
      </c>
    </row>
    <row r="7" spans="2:5" ht="12" x14ac:dyDescent="0.2">
      <c r="B7" s="2" t="s">
        <v>20</v>
      </c>
      <c r="C7" s="2" t="s">
        <v>94</v>
      </c>
      <c r="D7" s="124">
        <v>0.03</v>
      </c>
      <c r="E7" s="2" t="s">
        <v>21</v>
      </c>
    </row>
    <row r="8" spans="2:5" ht="12" x14ac:dyDescent="0.2">
      <c r="B8" s="2" t="s">
        <v>52</v>
      </c>
      <c r="C8" s="2" t="s">
        <v>53</v>
      </c>
      <c r="D8" s="125">
        <v>75</v>
      </c>
      <c r="E8" s="2" t="s">
        <v>215</v>
      </c>
    </row>
    <row r="9" spans="2:5" ht="12" x14ac:dyDescent="0.2">
      <c r="B9" s="2" t="s">
        <v>220</v>
      </c>
      <c r="C9" s="2" t="s">
        <v>94</v>
      </c>
      <c r="D9" s="120">
        <f>Sensitivitätsanalyse!C31</f>
        <v>1.2500000000000001E-2</v>
      </c>
      <c r="E9" s="2" t="s">
        <v>95</v>
      </c>
    </row>
    <row r="10" spans="2:5" ht="12" x14ac:dyDescent="0.2">
      <c r="B10" s="2" t="s">
        <v>123</v>
      </c>
      <c r="C10" s="2" t="s">
        <v>94</v>
      </c>
      <c r="D10" s="119">
        <v>1.4999999999999999E-2</v>
      </c>
      <c r="E10" s="2" t="s">
        <v>95</v>
      </c>
    </row>
    <row r="11" spans="2:5" ht="12" x14ac:dyDescent="0.2">
      <c r="B11" s="2" t="s">
        <v>175</v>
      </c>
      <c r="C11" s="2" t="s">
        <v>176</v>
      </c>
      <c r="D11" s="154">
        <f>Sensitivitätsanalyse!C38</f>
        <v>60</v>
      </c>
      <c r="E11" s="2" t="s">
        <v>177</v>
      </c>
    </row>
    <row r="12" spans="2:5" ht="12" x14ac:dyDescent="0.2">
      <c r="B12" s="2" t="s">
        <v>182</v>
      </c>
      <c r="C12" s="2" t="s">
        <v>184</v>
      </c>
      <c r="D12" s="155">
        <f>Sensitivitätsanalyse!C13</f>
        <v>1400</v>
      </c>
      <c r="E12" s="2" t="s">
        <v>183</v>
      </c>
    </row>
    <row r="13" spans="2:5" ht="12" x14ac:dyDescent="0.2">
      <c r="B13" s="2" t="s">
        <v>179</v>
      </c>
      <c r="C13" s="2" t="s">
        <v>94</v>
      </c>
      <c r="D13" s="156">
        <v>0.06</v>
      </c>
      <c r="E13" s="2" t="s">
        <v>214</v>
      </c>
    </row>
    <row r="14" spans="2:5" ht="12" x14ac:dyDescent="0.2">
      <c r="B14" s="2" t="s">
        <v>254</v>
      </c>
      <c r="C14" s="2" t="s">
        <v>250</v>
      </c>
      <c r="D14" s="225">
        <f>Sensitivitätsanalyse!C25</f>
        <v>400</v>
      </c>
      <c r="E14" s="2" t="s">
        <v>265</v>
      </c>
    </row>
    <row r="16" spans="2:5" ht="12" x14ac:dyDescent="0.2">
      <c r="D16" s="121"/>
      <c r="E16" s="1" t="s">
        <v>203</v>
      </c>
    </row>
    <row r="17" spans="4:5" ht="12" x14ac:dyDescent="0.2">
      <c r="D17" s="122"/>
      <c r="E17" s="1" t="s">
        <v>221</v>
      </c>
    </row>
  </sheetData>
  <pageMargins left="0.7" right="0.7" top="0.78740157499999996" bottom="0.78740157499999996"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5"/>
  <sheetViews>
    <sheetView topLeftCell="A39" workbookViewId="0">
      <selection activeCell="G48" sqref="G48"/>
    </sheetView>
  </sheetViews>
  <sheetFormatPr baseColWidth="10" defaultColWidth="11.44140625" defaultRowHeight="11.4" x14ac:dyDescent="0.2"/>
  <cols>
    <col min="1" max="1" width="6" style="1" customWidth="1"/>
    <col min="2" max="2" width="23.44140625" style="1" customWidth="1"/>
    <col min="3" max="3" width="21.88671875" style="1" customWidth="1"/>
    <col min="4" max="4" width="23" style="1" customWidth="1"/>
    <col min="5" max="5" width="15.6640625" style="1" customWidth="1"/>
    <col min="6" max="7" width="11.44140625" style="1"/>
    <col min="8" max="8" width="9" style="1" customWidth="1"/>
    <col min="9" max="9" width="11.44140625" style="1"/>
    <col min="10" max="10" width="12.44140625" style="1" bestFit="1" customWidth="1"/>
    <col min="11" max="16384" width="11.44140625" style="1"/>
  </cols>
  <sheetData>
    <row r="2" spans="2:14" ht="14.4" x14ac:dyDescent="0.3">
      <c r="H2" s="51" t="s">
        <v>135</v>
      </c>
      <c r="J2" s="51" t="s">
        <v>136</v>
      </c>
      <c r="M2" s="1" t="s">
        <v>138</v>
      </c>
    </row>
    <row r="3" spans="2:14" ht="12" x14ac:dyDescent="0.25">
      <c r="B3" s="3" t="s">
        <v>92</v>
      </c>
      <c r="C3" s="3" t="s">
        <v>22</v>
      </c>
      <c r="D3" s="3" t="s">
        <v>23</v>
      </c>
      <c r="H3" s="1" t="s">
        <v>134</v>
      </c>
      <c r="I3" s="1" t="s">
        <v>137</v>
      </c>
      <c r="J3" s="1" t="s">
        <v>134</v>
      </c>
      <c r="K3" s="1" t="s">
        <v>137</v>
      </c>
      <c r="M3" s="1" t="s">
        <v>4</v>
      </c>
      <c r="N3" s="1" t="str">
        <f>"+ 50% Transport"</f>
        <v>+ 50% Transport</v>
      </c>
    </row>
    <row r="4" spans="2:14" x14ac:dyDescent="0.2">
      <c r="B4" s="2" t="s">
        <v>84</v>
      </c>
      <c r="C4" s="10">
        <v>14800</v>
      </c>
      <c r="D4" s="53">
        <v>60</v>
      </c>
      <c r="I4" s="52"/>
      <c r="K4" s="52"/>
    </row>
    <row r="5" spans="2:14" x14ac:dyDescent="0.2">
      <c r="B5" s="2" t="s">
        <v>85</v>
      </c>
      <c r="C5" s="10">
        <v>1430</v>
      </c>
      <c r="D5" s="53">
        <v>60</v>
      </c>
      <c r="H5" s="1">
        <v>31</v>
      </c>
      <c r="I5" s="52">
        <f>H5*1.25*1.5</f>
        <v>58.125</v>
      </c>
      <c r="J5" s="52">
        <f>233/12</f>
        <v>19.416666666666668</v>
      </c>
      <c r="K5" s="52">
        <f>J5*1.25*1.5</f>
        <v>36.40625</v>
      </c>
      <c r="M5" s="52">
        <v>8.4</v>
      </c>
      <c r="N5" s="52">
        <f>M5*1.5</f>
        <v>12.600000000000001</v>
      </c>
    </row>
    <row r="6" spans="2:14" x14ac:dyDescent="0.2">
      <c r="B6" s="2" t="s">
        <v>86</v>
      </c>
      <c r="C6" s="10">
        <v>3500</v>
      </c>
      <c r="D6" s="53">
        <v>60</v>
      </c>
      <c r="I6" s="52">
        <f t="shared" ref="I6:K20" si="0">H6*1.25*1.5</f>
        <v>0</v>
      </c>
      <c r="K6" s="52">
        <f t="shared" si="0"/>
        <v>0</v>
      </c>
    </row>
    <row r="7" spans="2:14" x14ac:dyDescent="0.2">
      <c r="B7" s="2" t="s">
        <v>87</v>
      </c>
      <c r="C7" s="10">
        <v>4470</v>
      </c>
      <c r="D7" s="53">
        <v>60</v>
      </c>
      <c r="I7" s="52">
        <f t="shared" si="0"/>
        <v>0</v>
      </c>
      <c r="K7" s="52">
        <f t="shared" si="0"/>
        <v>0</v>
      </c>
    </row>
    <row r="8" spans="2:14" x14ac:dyDescent="0.2">
      <c r="B8" s="2" t="s">
        <v>83</v>
      </c>
      <c r="C8" s="10">
        <v>3920</v>
      </c>
      <c r="D8" s="53">
        <v>60</v>
      </c>
      <c r="H8" s="1">
        <v>32</v>
      </c>
      <c r="I8" s="52">
        <f t="shared" si="0"/>
        <v>60</v>
      </c>
      <c r="J8" s="1">
        <v>20.6</v>
      </c>
      <c r="K8" s="52">
        <f t="shared" si="0"/>
        <v>38.625</v>
      </c>
      <c r="M8" s="52">
        <v>9.5</v>
      </c>
      <c r="N8" s="52">
        <f>M8*1.5</f>
        <v>14.25</v>
      </c>
    </row>
    <row r="9" spans="2:14" x14ac:dyDescent="0.2">
      <c r="B9" s="2" t="s">
        <v>54</v>
      </c>
      <c r="C9" s="10">
        <v>2110</v>
      </c>
      <c r="D9" s="53">
        <v>60</v>
      </c>
      <c r="I9" s="52">
        <f t="shared" si="0"/>
        <v>0</v>
      </c>
      <c r="K9" s="52">
        <f t="shared" si="0"/>
        <v>0</v>
      </c>
      <c r="M9" s="52"/>
    </row>
    <row r="10" spans="2:14" x14ac:dyDescent="0.2">
      <c r="B10" s="2" t="s">
        <v>55</v>
      </c>
      <c r="C10" s="2">
        <v>2800</v>
      </c>
      <c r="D10" s="53">
        <v>60</v>
      </c>
      <c r="I10" s="52">
        <f t="shared" si="0"/>
        <v>0</v>
      </c>
      <c r="K10" s="52">
        <f t="shared" si="0"/>
        <v>0</v>
      </c>
    </row>
    <row r="11" spans="2:14" x14ac:dyDescent="0.2">
      <c r="B11" s="2" t="s">
        <v>56</v>
      </c>
      <c r="C11" s="2">
        <v>1770</v>
      </c>
      <c r="D11" s="53">
        <v>60</v>
      </c>
      <c r="H11" s="1">
        <v>32</v>
      </c>
      <c r="I11" s="52">
        <f t="shared" si="0"/>
        <v>60</v>
      </c>
      <c r="J11" s="1">
        <v>20.62</v>
      </c>
      <c r="K11" s="52">
        <f t="shared" si="0"/>
        <v>38.662500000000001</v>
      </c>
    </row>
    <row r="12" spans="2:14" x14ac:dyDescent="0.2">
      <c r="B12" s="2" t="s">
        <v>57</v>
      </c>
      <c r="C12" s="2">
        <v>1630</v>
      </c>
      <c r="D12" s="53">
        <v>60</v>
      </c>
      <c r="I12" s="52">
        <f t="shared" si="0"/>
        <v>0</v>
      </c>
      <c r="K12" s="52">
        <f t="shared" si="0"/>
        <v>0</v>
      </c>
    </row>
    <row r="13" spans="2:14" x14ac:dyDescent="0.2">
      <c r="B13" s="13" t="s">
        <v>58</v>
      </c>
      <c r="C13" s="54">
        <v>1825</v>
      </c>
      <c r="D13" s="55">
        <v>60</v>
      </c>
      <c r="I13" s="52">
        <f t="shared" si="0"/>
        <v>0</v>
      </c>
      <c r="K13" s="52">
        <f t="shared" si="0"/>
        <v>0</v>
      </c>
    </row>
    <row r="14" spans="2:14" x14ac:dyDescent="0.2">
      <c r="B14" s="2" t="s">
        <v>59</v>
      </c>
      <c r="C14" s="2">
        <v>2090</v>
      </c>
      <c r="D14" s="53">
        <v>65</v>
      </c>
      <c r="H14" s="1">
        <v>35</v>
      </c>
      <c r="I14" s="52">
        <f t="shared" si="0"/>
        <v>65.625</v>
      </c>
      <c r="J14" s="1">
        <v>20.62</v>
      </c>
      <c r="K14" s="52">
        <f t="shared" si="0"/>
        <v>38.662500000000001</v>
      </c>
    </row>
    <row r="15" spans="2:14" x14ac:dyDescent="0.2">
      <c r="B15" s="2" t="s">
        <v>60</v>
      </c>
      <c r="C15" s="2">
        <v>2050</v>
      </c>
      <c r="D15" s="53">
        <v>60</v>
      </c>
      <c r="I15" s="52">
        <f t="shared" si="0"/>
        <v>0</v>
      </c>
      <c r="K15" s="52">
        <f t="shared" si="0"/>
        <v>0</v>
      </c>
    </row>
    <row r="16" spans="2:14" x14ac:dyDescent="0.2">
      <c r="B16" s="2" t="s">
        <v>61</v>
      </c>
      <c r="C16" s="2">
        <v>2350</v>
      </c>
      <c r="D16" s="53">
        <v>60</v>
      </c>
      <c r="I16" s="52">
        <f t="shared" si="0"/>
        <v>0</v>
      </c>
      <c r="J16" s="1">
        <v>31.35</v>
      </c>
      <c r="K16" s="52">
        <f t="shared" si="0"/>
        <v>58.78125</v>
      </c>
    </row>
    <row r="17" spans="2:14" x14ac:dyDescent="0.2">
      <c r="B17" s="13" t="s">
        <v>88</v>
      </c>
      <c r="C17" s="2">
        <v>3140</v>
      </c>
      <c r="D17" s="53">
        <v>60</v>
      </c>
      <c r="I17" s="52">
        <f t="shared" si="0"/>
        <v>0</v>
      </c>
      <c r="J17" s="1">
        <v>28.88</v>
      </c>
      <c r="K17" s="52">
        <f t="shared" si="0"/>
        <v>54.150000000000006</v>
      </c>
    </row>
    <row r="18" spans="2:14" x14ac:dyDescent="0.2">
      <c r="B18" s="13" t="s">
        <v>62</v>
      </c>
      <c r="C18" s="2">
        <v>2730</v>
      </c>
      <c r="D18" s="53">
        <v>60</v>
      </c>
      <c r="I18" s="52">
        <f t="shared" si="0"/>
        <v>0</v>
      </c>
      <c r="K18" s="52">
        <f t="shared" si="0"/>
        <v>0</v>
      </c>
      <c r="M18" s="52">
        <v>19.8</v>
      </c>
      <c r="N18" s="52">
        <f>M18*1.5</f>
        <v>29.700000000000003</v>
      </c>
    </row>
    <row r="19" spans="2:14" x14ac:dyDescent="0.2">
      <c r="B19" s="13" t="s">
        <v>89</v>
      </c>
      <c r="C19" s="2">
        <v>2140</v>
      </c>
      <c r="D19" s="53">
        <v>75</v>
      </c>
      <c r="I19" s="52">
        <f t="shared" si="0"/>
        <v>0</v>
      </c>
      <c r="J19" s="52">
        <v>38.5</v>
      </c>
      <c r="K19" s="52">
        <f t="shared" si="0"/>
        <v>72.1875</v>
      </c>
    </row>
    <row r="20" spans="2:14" x14ac:dyDescent="0.2">
      <c r="B20" s="13" t="s">
        <v>63</v>
      </c>
      <c r="C20" s="2">
        <v>3920</v>
      </c>
      <c r="D20" s="53">
        <v>60</v>
      </c>
      <c r="I20" s="52">
        <f t="shared" si="0"/>
        <v>0</v>
      </c>
      <c r="K20" s="52">
        <f t="shared" si="0"/>
        <v>0</v>
      </c>
      <c r="M20" s="52">
        <v>18.45</v>
      </c>
      <c r="N20" s="52">
        <f>M20*1.5</f>
        <v>27.674999999999997</v>
      </c>
    </row>
    <row r="23" spans="2:14" ht="12" x14ac:dyDescent="0.25">
      <c r="B23" s="3" t="s">
        <v>8</v>
      </c>
      <c r="C23" s="3" t="s">
        <v>22</v>
      </c>
      <c r="D23" s="3" t="s">
        <v>23</v>
      </c>
    </row>
    <row r="24" spans="2:14" x14ac:dyDescent="0.2">
      <c r="B24" s="2" t="s">
        <v>6</v>
      </c>
      <c r="C24" s="2" t="s">
        <v>11</v>
      </c>
      <c r="D24" s="2">
        <v>60</v>
      </c>
    </row>
    <row r="25" spans="2:14" x14ac:dyDescent="0.2">
      <c r="B25" s="7"/>
      <c r="C25" s="7"/>
      <c r="D25" s="7"/>
    </row>
    <row r="26" spans="2:14" x14ac:dyDescent="0.2">
      <c r="H26" s="1" t="s">
        <v>139</v>
      </c>
    </row>
    <row r="27" spans="2:14" ht="12" x14ac:dyDescent="0.25">
      <c r="B27" s="5" t="s">
        <v>29</v>
      </c>
      <c r="C27" s="5" t="s">
        <v>22</v>
      </c>
      <c r="D27" s="5" t="s">
        <v>23</v>
      </c>
      <c r="H27" s="1" t="s">
        <v>140</v>
      </c>
      <c r="I27" s="1" t="s">
        <v>141</v>
      </c>
    </row>
    <row r="28" spans="2:14" x14ac:dyDescent="0.2">
      <c r="B28" s="2" t="s">
        <v>90</v>
      </c>
      <c r="C28" s="2">
        <v>3</v>
      </c>
      <c r="D28" s="53">
        <v>50</v>
      </c>
      <c r="K28" s="52"/>
    </row>
    <row r="29" spans="2:14" x14ac:dyDescent="0.2">
      <c r="B29" s="2" t="s">
        <v>91</v>
      </c>
      <c r="C29" s="2">
        <v>3</v>
      </c>
      <c r="D29" s="53">
        <v>50</v>
      </c>
      <c r="J29" s="1">
        <v>27.6</v>
      </c>
      <c r="K29" s="52">
        <f t="shared" ref="K29" si="1">J29*1.25*1.5</f>
        <v>51.75</v>
      </c>
    </row>
    <row r="30" spans="2:14" x14ac:dyDescent="0.2">
      <c r="B30" s="2" t="s">
        <v>208</v>
      </c>
      <c r="C30" s="2">
        <v>0</v>
      </c>
      <c r="D30" s="53">
        <v>6</v>
      </c>
      <c r="H30" s="1">
        <v>3</v>
      </c>
      <c r="I30" s="1">
        <v>9</v>
      </c>
    </row>
    <row r="31" spans="2:14" x14ac:dyDescent="0.2">
      <c r="B31" s="2" t="s">
        <v>209</v>
      </c>
      <c r="C31" s="2">
        <v>8</v>
      </c>
      <c r="D31" s="53">
        <v>4</v>
      </c>
      <c r="H31" s="1">
        <v>2</v>
      </c>
      <c r="I31" s="1">
        <v>6</v>
      </c>
    </row>
    <row r="32" spans="2:14" x14ac:dyDescent="0.2">
      <c r="B32" s="2" t="s">
        <v>30</v>
      </c>
      <c r="C32" s="2">
        <v>1</v>
      </c>
      <c r="D32" s="53">
        <v>4</v>
      </c>
      <c r="H32" s="1">
        <v>2</v>
      </c>
      <c r="I32" s="1">
        <v>6</v>
      </c>
    </row>
    <row r="34" spans="2:5" ht="12" x14ac:dyDescent="0.25">
      <c r="B34" s="148" t="s">
        <v>17</v>
      </c>
    </row>
    <row r="35" spans="2:5" x14ac:dyDescent="0.2">
      <c r="B35" s="2" t="s">
        <v>235</v>
      </c>
    </row>
    <row r="36" spans="2:5" x14ac:dyDescent="0.2">
      <c r="B36" s="2" t="s">
        <v>64</v>
      </c>
    </row>
    <row r="37" spans="2:5" x14ac:dyDescent="0.2">
      <c r="B37" s="2" t="s">
        <v>236</v>
      </c>
    </row>
    <row r="38" spans="2:5" x14ac:dyDescent="0.2">
      <c r="B38" s="2" t="s">
        <v>43</v>
      </c>
    </row>
    <row r="39" spans="2:5" ht="12" thickBot="1" x14ac:dyDescent="0.25"/>
    <row r="40" spans="2:5" ht="12.6" thickBot="1" x14ac:dyDescent="0.25">
      <c r="B40" s="132" t="s">
        <v>225</v>
      </c>
      <c r="C40" s="130"/>
      <c r="D40" s="130"/>
      <c r="E40" s="131"/>
    </row>
    <row r="41" spans="2:5" ht="12.6" thickBot="1" x14ac:dyDescent="0.25">
      <c r="B41" s="132" t="s">
        <v>222</v>
      </c>
      <c r="C41" s="133" t="s">
        <v>223</v>
      </c>
      <c r="D41" s="133" t="s">
        <v>224</v>
      </c>
      <c r="E41" s="134" t="s">
        <v>225</v>
      </c>
    </row>
    <row r="42" spans="2:5" ht="48.75" customHeight="1" x14ac:dyDescent="0.2">
      <c r="B42" s="234" t="s">
        <v>226</v>
      </c>
      <c r="C42" s="231" t="s">
        <v>227</v>
      </c>
      <c r="D42" s="135" t="s">
        <v>228</v>
      </c>
      <c r="E42" s="136">
        <v>0.18</v>
      </c>
    </row>
    <row r="43" spans="2:5" ht="42.75" customHeight="1" thickBot="1" x14ac:dyDescent="0.25">
      <c r="B43" s="235"/>
      <c r="C43" s="232"/>
      <c r="D43" s="137" t="s">
        <v>229</v>
      </c>
      <c r="E43" s="138">
        <v>0.12</v>
      </c>
    </row>
    <row r="44" spans="2:5" ht="60" customHeight="1" x14ac:dyDescent="0.2">
      <c r="B44" s="234" t="s">
        <v>230</v>
      </c>
      <c r="C44" s="231" t="s">
        <v>231</v>
      </c>
      <c r="D44" s="139" t="s">
        <v>243</v>
      </c>
      <c r="E44" s="136">
        <v>0.1</v>
      </c>
    </row>
    <row r="45" spans="2:5" ht="22.8" x14ac:dyDescent="0.2">
      <c r="B45" s="236"/>
      <c r="C45" s="233"/>
      <c r="D45" s="140" t="s">
        <v>232</v>
      </c>
      <c r="E45" s="138">
        <v>0.12</v>
      </c>
    </row>
    <row r="46" spans="2:5" ht="15.75" customHeight="1" thickBot="1" x14ac:dyDescent="0.25">
      <c r="B46" s="235"/>
      <c r="C46" s="232"/>
      <c r="D46" s="141" t="s">
        <v>229</v>
      </c>
      <c r="E46" s="142">
        <v>0.08</v>
      </c>
    </row>
    <row r="47" spans="2:5" ht="34.799999999999997" thickBot="1" x14ac:dyDescent="0.25">
      <c r="B47" s="143" t="s">
        <v>43</v>
      </c>
      <c r="C47" s="144" t="s">
        <v>233</v>
      </c>
      <c r="D47" s="145" t="s">
        <v>11</v>
      </c>
      <c r="E47" s="146">
        <v>0.06</v>
      </c>
    </row>
    <row r="50" spans="2:5" ht="12" x14ac:dyDescent="0.25">
      <c r="B50" s="230" t="s">
        <v>70</v>
      </c>
      <c r="C50" s="230"/>
      <c r="D50" s="230"/>
      <c r="E50" s="230"/>
    </row>
    <row r="51" spans="2:5" s="159" customFormat="1" ht="22.8" x14ac:dyDescent="0.2">
      <c r="B51" s="158" t="s">
        <v>244</v>
      </c>
      <c r="C51" s="158"/>
      <c r="D51" s="158" t="s">
        <v>245</v>
      </c>
      <c r="E51" s="158" t="s">
        <v>246</v>
      </c>
    </row>
    <row r="52" spans="2:5" x14ac:dyDescent="0.2">
      <c r="B52" s="137" t="str">
        <f>B35</f>
        <v>Industriekälteanlagen</v>
      </c>
      <c r="C52" s="137"/>
      <c r="D52" s="4">
        <v>0.8</v>
      </c>
      <c r="E52" s="4">
        <v>0.8</v>
      </c>
    </row>
    <row r="53" spans="2:5" x14ac:dyDescent="0.2">
      <c r="B53" s="137" t="str">
        <f t="shared" ref="B53:B55" si="2">B36</f>
        <v>Gewerbekälte</v>
      </c>
      <c r="C53" s="137"/>
      <c r="D53" s="4">
        <v>0.7</v>
      </c>
      <c r="E53" s="4">
        <v>0.7</v>
      </c>
    </row>
    <row r="54" spans="2:5" x14ac:dyDescent="0.2">
      <c r="B54" s="137" t="str">
        <f t="shared" si="2"/>
        <v>Supermarkt-Kälteanlagen</v>
      </c>
      <c r="C54" s="137"/>
      <c r="D54" s="4">
        <v>0.7</v>
      </c>
      <c r="E54" s="4">
        <v>0.7</v>
      </c>
    </row>
    <row r="55" spans="2:5" x14ac:dyDescent="0.2">
      <c r="B55" s="137" t="str">
        <f t="shared" si="2"/>
        <v>Klimakälte</v>
      </c>
      <c r="C55" s="137"/>
      <c r="D55" s="4">
        <v>0.8</v>
      </c>
      <c r="E55" s="4">
        <v>0.7</v>
      </c>
    </row>
  </sheetData>
  <mergeCells count="5">
    <mergeCell ref="B50:E50"/>
    <mergeCell ref="C42:C43"/>
    <mergeCell ref="C44:C46"/>
    <mergeCell ref="B42:B43"/>
    <mergeCell ref="B44:B46"/>
  </mergeCells>
  <hyperlinks>
    <hyperlink ref="H2" r:id="rId1"/>
    <hyperlink ref="J2" r:id="rId2"/>
  </hyperlinks>
  <pageMargins left="0.7" right="0.7" top="0.78740157499999996" bottom="0.78740157499999996"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55"/>
  <sheetViews>
    <sheetView tabSelected="1" zoomScale="85" zoomScaleNormal="85" workbookViewId="0">
      <selection activeCell="D7" sqref="D7"/>
    </sheetView>
  </sheetViews>
  <sheetFormatPr baseColWidth="10" defaultRowHeight="14.4" x14ac:dyDescent="0.3"/>
  <cols>
    <col min="1" max="1" width="24.33203125" customWidth="1"/>
    <col min="2" max="2" width="27" customWidth="1"/>
    <col min="3" max="3" width="10.6640625" customWidth="1"/>
    <col min="4" max="4" width="15.6640625" customWidth="1"/>
    <col min="5" max="5" width="6.88671875" customWidth="1"/>
    <col min="6" max="6" width="11.6640625" customWidth="1"/>
    <col min="7" max="7" width="6.88671875" customWidth="1"/>
    <col min="8" max="8" width="9.33203125" customWidth="1"/>
    <col min="9" max="15" width="6.88671875" customWidth="1"/>
    <col min="16" max="16" width="8.109375" customWidth="1"/>
    <col min="17" max="17" width="7.88671875" customWidth="1"/>
    <col min="18" max="26" width="6.88671875" customWidth="1"/>
    <col min="27" max="27" width="6.6640625" customWidth="1"/>
    <col min="29" max="29" width="26.33203125" customWidth="1"/>
  </cols>
  <sheetData>
    <row r="3" spans="1:20" x14ac:dyDescent="0.3">
      <c r="B3" s="83" t="s">
        <v>146</v>
      </c>
      <c r="C3" s="67"/>
      <c r="D3" s="68" t="s">
        <v>203</v>
      </c>
      <c r="F3" t="s">
        <v>249</v>
      </c>
    </row>
    <row r="4" spans="1:20" x14ac:dyDescent="0.3">
      <c r="B4" s="69" t="s">
        <v>145</v>
      </c>
      <c r="C4" s="48"/>
      <c r="D4" s="168"/>
      <c r="E4" s="56"/>
      <c r="F4" s="167">
        <v>1</v>
      </c>
      <c r="G4" s="167">
        <v>2</v>
      </c>
      <c r="H4" s="167">
        <v>2.5</v>
      </c>
    </row>
    <row r="5" spans="1:20" ht="13.5" customHeight="1" x14ac:dyDescent="0.3">
      <c r="B5" s="69" t="s">
        <v>148</v>
      </c>
      <c r="C5" s="48"/>
      <c r="D5" s="168"/>
      <c r="E5" s="56"/>
      <c r="F5" s="167">
        <v>750</v>
      </c>
      <c r="G5" s="167">
        <v>1000</v>
      </c>
      <c r="H5" s="167">
        <v>1250</v>
      </c>
      <c r="I5" s="167">
        <v>1500</v>
      </c>
      <c r="J5" s="167">
        <v>2000</v>
      </c>
    </row>
    <row r="6" spans="1:20" x14ac:dyDescent="0.3">
      <c r="B6" s="69" t="s">
        <v>216</v>
      </c>
      <c r="C6" s="48"/>
      <c r="D6" s="107">
        <v>0.2</v>
      </c>
      <c r="E6" s="56"/>
      <c r="F6" s="163"/>
      <c r="G6" s="163"/>
      <c r="H6" s="163"/>
      <c r="I6" s="163"/>
    </row>
    <row r="7" spans="1:20" ht="15" thickBot="1" x14ac:dyDescent="0.35">
      <c r="B7" s="83" t="s">
        <v>204</v>
      </c>
      <c r="C7" s="103"/>
      <c r="D7" s="100"/>
    </row>
    <row r="8" spans="1:20" x14ac:dyDescent="0.3">
      <c r="B8" s="69" t="s">
        <v>145</v>
      </c>
      <c r="C8" s="48"/>
      <c r="D8" s="101">
        <f>IF(ISBLANK(D4),Sensitivitätsanalyse!C4,D4)</f>
        <v>2.5</v>
      </c>
      <c r="F8" s="217" t="s">
        <v>263</v>
      </c>
      <c r="G8" s="160"/>
      <c r="H8" s="160"/>
      <c r="I8" s="160"/>
      <c r="J8" s="160"/>
      <c r="K8" s="160"/>
      <c r="L8" s="160"/>
      <c r="M8" s="160"/>
      <c r="N8" s="160"/>
      <c r="O8" s="160"/>
      <c r="P8" s="160"/>
      <c r="Q8" s="160"/>
      <c r="R8" s="160"/>
      <c r="S8" s="160"/>
      <c r="T8" s="218"/>
    </row>
    <row r="9" spans="1:20" ht="15" thickBot="1" x14ac:dyDescent="0.35">
      <c r="B9" s="69" t="s">
        <v>148</v>
      </c>
      <c r="C9" s="48"/>
      <c r="D9" s="101">
        <f>IF(ISBLANK(D5),Sensitivitätsanalyse!C5,D5)</f>
        <v>1000</v>
      </c>
      <c r="F9" s="219" t="s">
        <v>252</v>
      </c>
      <c r="G9" s="48"/>
      <c r="H9" s="48"/>
      <c r="I9" s="48"/>
      <c r="J9" s="48"/>
      <c r="K9" s="48"/>
      <c r="L9" s="48"/>
      <c r="M9" s="48"/>
      <c r="N9" s="216" t="s">
        <v>253</v>
      </c>
      <c r="O9" s="48"/>
      <c r="P9" s="48"/>
      <c r="Q9" s="48"/>
      <c r="R9" s="48"/>
      <c r="S9" s="48"/>
      <c r="T9" s="220"/>
    </row>
    <row r="10" spans="1:20" x14ac:dyDescent="0.3">
      <c r="A10" t="s">
        <v>181</v>
      </c>
      <c r="B10" s="69" t="s">
        <v>205</v>
      </c>
      <c r="C10" s="48"/>
      <c r="D10" s="102">
        <f ca="1">Wirtschaftlichkeit!D86/'Eingabe und Übersicht'!E19</f>
        <v>10.923217819101556</v>
      </c>
      <c r="F10" s="165"/>
      <c r="G10" s="160"/>
      <c r="H10" s="239" t="s">
        <v>250</v>
      </c>
      <c r="I10" s="239"/>
      <c r="J10" s="239"/>
      <c r="K10" s="239"/>
      <c r="L10" s="240"/>
      <c r="M10" s="48"/>
      <c r="N10" s="165"/>
      <c r="O10" s="160"/>
      <c r="P10" s="239" t="s">
        <v>250</v>
      </c>
      <c r="Q10" s="239"/>
      <c r="R10" s="239"/>
      <c r="S10" s="239"/>
      <c r="T10" s="240"/>
    </row>
    <row r="11" spans="1:20" x14ac:dyDescent="0.3">
      <c r="B11" s="69" t="s">
        <v>150</v>
      </c>
      <c r="C11" s="48"/>
      <c r="D11" s="105">
        <f ca="1">Wirtschaftlichkeit!D87</f>
        <v>3.5954027563176671E-2</v>
      </c>
      <c r="F11" s="161"/>
      <c r="G11" s="162">
        <f ca="1">D11</f>
        <v>3.5954027563176671E-2</v>
      </c>
      <c r="H11" s="56">
        <f>$F$5</f>
        <v>750</v>
      </c>
      <c r="I11" s="56">
        <f>$G$5</f>
        <v>1000</v>
      </c>
      <c r="J11" s="56">
        <f>$H$5</f>
        <v>1250</v>
      </c>
      <c r="K11" s="56">
        <f>$I$5</f>
        <v>1500</v>
      </c>
      <c r="L11" s="59">
        <f>$J$5</f>
        <v>2000</v>
      </c>
      <c r="M11" s="48"/>
      <c r="N11" s="161"/>
      <c r="O11" s="162">
        <f ca="1">D13</f>
        <v>0.40227553515166425</v>
      </c>
      <c r="P11" s="56">
        <f>$F$5</f>
        <v>750</v>
      </c>
      <c r="Q11" s="56">
        <f>$G$5</f>
        <v>1000</v>
      </c>
      <c r="R11" s="56">
        <f>$H$5</f>
        <v>1250</v>
      </c>
      <c r="S11" s="56">
        <f>$I$5</f>
        <v>1500</v>
      </c>
      <c r="T11" s="59">
        <f>$J$5</f>
        <v>2000</v>
      </c>
    </row>
    <row r="12" spans="1:20" x14ac:dyDescent="0.3">
      <c r="A12" t="s">
        <v>149</v>
      </c>
      <c r="B12" s="69" t="s">
        <v>153</v>
      </c>
      <c r="C12" s="48"/>
      <c r="D12" s="102">
        <f ca="1">Wirtschaftlichkeit!D94/'Eingabe und Übersicht'!E19</f>
        <v>672.25446781910159</v>
      </c>
      <c r="F12" s="241" t="s">
        <v>248</v>
      </c>
      <c r="G12" s="56">
        <f>$F$4</f>
        <v>1</v>
      </c>
      <c r="H12" s="164">
        <f t="dataTable" ref="H12:L14" dt2D="1" dtr="1" r1="D5" r2="D4" ca="1"/>
        <v>2.6944594721248549E-2</v>
      </c>
      <c r="I12" s="164" t="str">
        <v>&lt;3%</v>
      </c>
      <c r="J12" s="164" t="str">
        <v>&lt;3%</v>
      </c>
      <c r="K12" s="164" t="str">
        <v>&lt;3%</v>
      </c>
      <c r="L12" s="164" t="str">
        <v>&lt;3%</v>
      </c>
      <c r="M12" s="48"/>
      <c r="N12" s="241" t="s">
        <v>248</v>
      </c>
      <c r="O12" s="56">
        <f>$F$4</f>
        <v>1</v>
      </c>
      <c r="P12" s="164">
        <f t="dataTable" ref="P12:T14" dt2D="1" dtr="1" r1="D5" r2="D4" ca="1"/>
        <v>0.18411799250197869</v>
      </c>
      <c r="Q12" s="164">
        <v>0.1192315197125231</v>
      </c>
      <c r="R12" s="164">
        <v>8.3960792196670075E-2</v>
      </c>
      <c r="S12" s="164">
        <v>6.0391915183826361E-2</v>
      </c>
      <c r="T12" s="221">
        <v>2.5232396982986627E-2</v>
      </c>
    </row>
    <row r="13" spans="1:20" x14ac:dyDescent="0.3">
      <c r="B13" s="71" t="s">
        <v>150</v>
      </c>
      <c r="C13" s="72"/>
      <c r="D13" s="106">
        <f ca="1">Wirtschaftlichkeit!D95</f>
        <v>0.40227553515166425</v>
      </c>
      <c r="F13" s="241"/>
      <c r="G13" s="56">
        <f>$G$4</f>
        <v>2</v>
      </c>
      <c r="H13" s="164">
        <v>5.7789404693257662E-2</v>
      </c>
      <c r="I13" s="164">
        <v>2.1367388856118774E-2</v>
      </c>
      <c r="J13" s="164" t="str">
        <v>&lt;3%</v>
      </c>
      <c r="K13" s="164" t="str">
        <v>&lt;3%</v>
      </c>
      <c r="L13" s="164" t="str">
        <v>&lt;3%</v>
      </c>
      <c r="M13" s="48"/>
      <c r="N13" s="241"/>
      <c r="O13" s="56">
        <f>$G$4</f>
        <v>2</v>
      </c>
      <c r="P13" s="164">
        <v>0.50365654746293154</v>
      </c>
      <c r="Q13" s="164">
        <v>0.27492630171852817</v>
      </c>
      <c r="R13" s="164">
        <v>0.18944481577624095</v>
      </c>
      <c r="S13" s="164">
        <v>0.14319185640986531</v>
      </c>
      <c r="T13" s="221">
        <v>9.240730485151194E-2</v>
      </c>
    </row>
    <row r="14" spans="1:20" ht="15" thickBot="1" x14ac:dyDescent="0.35">
      <c r="F14" s="242"/>
      <c r="G14" s="166">
        <f>$H$4</f>
        <v>2.5</v>
      </c>
      <c r="H14" s="222">
        <v>6.8813872209874782E-2</v>
      </c>
      <c r="I14" s="222">
        <v>3.5954027563176671E-2</v>
      </c>
      <c r="J14" s="222" t="str">
        <v>&lt;3%</v>
      </c>
      <c r="K14" s="222" t="str">
        <v>&lt;3%</v>
      </c>
      <c r="L14" s="222" t="str">
        <v>&lt;3%</v>
      </c>
      <c r="M14" s="223"/>
      <c r="N14" s="242"/>
      <c r="O14" s="166">
        <f>$H$4</f>
        <v>2.5</v>
      </c>
      <c r="P14" s="222">
        <v>1.084344369406987</v>
      </c>
      <c r="Q14" s="222">
        <v>0.40227553515166425</v>
      </c>
      <c r="R14" s="222">
        <v>0.25866003870005372</v>
      </c>
      <c r="S14" s="222">
        <v>0.1908278728819004</v>
      </c>
      <c r="T14" s="224">
        <v>0.12294347064151534</v>
      </c>
    </row>
    <row r="15" spans="1:20" ht="15" thickBot="1" x14ac:dyDescent="0.35"/>
    <row r="16" spans="1:20" x14ac:dyDescent="0.3">
      <c r="F16" s="217" t="s">
        <v>264</v>
      </c>
      <c r="G16" s="160"/>
      <c r="H16" s="160"/>
      <c r="I16" s="160"/>
      <c r="J16" s="160"/>
      <c r="K16" s="160"/>
      <c r="L16" s="160"/>
      <c r="M16" s="160"/>
      <c r="N16" s="160"/>
      <c r="O16" s="160"/>
      <c r="P16" s="160"/>
      <c r="Q16" s="160"/>
      <c r="R16" s="160"/>
      <c r="S16" s="160"/>
      <c r="T16" s="218"/>
    </row>
    <row r="17" spans="6:20" x14ac:dyDescent="0.3">
      <c r="F17" s="219" t="s">
        <v>252</v>
      </c>
      <c r="G17" s="48"/>
      <c r="H17" s="48"/>
      <c r="I17" s="48"/>
      <c r="J17" s="48"/>
      <c r="K17" s="48"/>
      <c r="L17" s="48"/>
      <c r="M17" s="48"/>
      <c r="N17" s="216" t="s">
        <v>253</v>
      </c>
      <c r="O17" s="48"/>
      <c r="P17" s="48"/>
      <c r="Q17" s="48"/>
      <c r="R17" s="48"/>
      <c r="S17" s="48"/>
      <c r="T17" s="220"/>
    </row>
    <row r="18" spans="6:20" ht="15" thickBot="1" x14ac:dyDescent="0.35">
      <c r="F18" s="237" t="s">
        <v>251</v>
      </c>
      <c r="G18" s="238"/>
      <c r="H18" s="238"/>
      <c r="I18" s="238"/>
      <c r="J18" s="238"/>
      <c r="K18" s="238"/>
      <c r="L18" s="238"/>
      <c r="M18" s="48"/>
      <c r="N18" s="238" t="s">
        <v>251</v>
      </c>
      <c r="O18" s="238"/>
      <c r="P18" s="238"/>
      <c r="Q18" s="238"/>
      <c r="R18" s="238"/>
      <c r="S18" s="238"/>
      <c r="T18" s="243"/>
    </row>
    <row r="19" spans="6:20" x14ac:dyDescent="0.3">
      <c r="F19" s="165"/>
      <c r="G19" s="160"/>
      <c r="H19" s="239" t="s">
        <v>250</v>
      </c>
      <c r="I19" s="239"/>
      <c r="J19" s="239"/>
      <c r="K19" s="239"/>
      <c r="L19" s="240"/>
      <c r="M19" s="48"/>
      <c r="N19" s="165"/>
      <c r="O19" s="160"/>
      <c r="P19" s="239" t="s">
        <v>250</v>
      </c>
      <c r="Q19" s="239"/>
      <c r="R19" s="239"/>
      <c r="S19" s="239"/>
      <c r="T19" s="240"/>
    </row>
    <row r="20" spans="6:20" x14ac:dyDescent="0.3">
      <c r="F20" s="161"/>
      <c r="G20" s="162">
        <f>D20</f>
        <v>0</v>
      </c>
      <c r="H20" s="56">
        <f>$F$5</f>
        <v>750</v>
      </c>
      <c r="I20" s="56">
        <f>$G$5</f>
        <v>1000</v>
      </c>
      <c r="J20" s="56">
        <f>$H$5</f>
        <v>1250</v>
      </c>
      <c r="K20" s="56">
        <f>$I$5</f>
        <v>1500</v>
      </c>
      <c r="L20" s="59">
        <f>$J$5</f>
        <v>2000</v>
      </c>
      <c r="M20" s="48"/>
      <c r="N20" s="161"/>
      <c r="O20" s="162">
        <f>D22</f>
        <v>0</v>
      </c>
      <c r="P20" s="56">
        <f>$F$5</f>
        <v>750</v>
      </c>
      <c r="Q20" s="56">
        <f>$G$5</f>
        <v>1000</v>
      </c>
      <c r="R20" s="56">
        <f>$H$5</f>
        <v>1250</v>
      </c>
      <c r="S20" s="56">
        <f>$I$5</f>
        <v>1500</v>
      </c>
      <c r="T20" s="59">
        <f>$J$5</f>
        <v>2000</v>
      </c>
    </row>
    <row r="21" spans="6:20" x14ac:dyDescent="0.3">
      <c r="F21" s="241" t="s">
        <v>248</v>
      </c>
      <c r="G21" s="56">
        <f>$F$4</f>
        <v>1</v>
      </c>
      <c r="H21" s="164" t="s">
        <v>256</v>
      </c>
      <c r="I21" s="164" t="s">
        <v>256</v>
      </c>
      <c r="J21" s="164" t="s">
        <v>256</v>
      </c>
      <c r="K21" s="164" t="s">
        <v>256</v>
      </c>
      <c r="L21" s="164" t="s">
        <v>256</v>
      </c>
      <c r="M21" s="48"/>
      <c r="N21" s="241" t="s">
        <v>248</v>
      </c>
      <c r="O21" s="56">
        <f>$F$4</f>
        <v>1</v>
      </c>
      <c r="P21" s="164">
        <v>0.10051068445456868</v>
      </c>
      <c r="Q21" s="164">
        <v>5.2760389993871781E-2</v>
      </c>
      <c r="R21" s="164" t="s">
        <v>256</v>
      </c>
      <c r="S21" s="164" t="s">
        <v>256</v>
      </c>
      <c r="T21" s="221" t="s">
        <v>256</v>
      </c>
    </row>
    <row r="22" spans="6:20" x14ac:dyDescent="0.3">
      <c r="F22" s="241"/>
      <c r="G22" s="56">
        <f>$G$4</f>
        <v>2</v>
      </c>
      <c r="H22" s="164" t="s">
        <v>256</v>
      </c>
      <c r="I22" s="164" t="s">
        <v>256</v>
      </c>
      <c r="J22" s="164" t="s">
        <v>256</v>
      </c>
      <c r="K22" s="164" t="s">
        <v>256</v>
      </c>
      <c r="L22" s="164" t="s">
        <v>256</v>
      </c>
      <c r="M22" s="48"/>
      <c r="N22" s="241"/>
      <c r="O22" s="56">
        <f>$G$4</f>
        <v>2</v>
      </c>
      <c r="P22" s="164">
        <v>0.37507667542335343</v>
      </c>
      <c r="Q22" s="164">
        <v>0.20629885343938259</v>
      </c>
      <c r="R22" s="164">
        <v>0.14037941107490681</v>
      </c>
      <c r="S22" s="164">
        <v>0.10364509041491621</v>
      </c>
      <c r="T22" s="221">
        <v>6.1059402138860408E-2</v>
      </c>
    </row>
    <row r="23" spans="6:20" ht="15" thickBot="1" x14ac:dyDescent="0.35">
      <c r="F23" s="242"/>
      <c r="G23" s="166">
        <f>$H$4</f>
        <v>2.5</v>
      </c>
      <c r="H23" s="222" t="s">
        <v>256</v>
      </c>
      <c r="I23" s="222" t="s">
        <v>256</v>
      </c>
      <c r="J23" s="222" t="s">
        <v>256</v>
      </c>
      <c r="K23" s="222" t="s">
        <v>256</v>
      </c>
      <c r="L23" s="222" t="s">
        <v>256</v>
      </c>
      <c r="M23" s="223"/>
      <c r="N23" s="242"/>
      <c r="O23" s="166">
        <f>$H$4</f>
        <v>2.5</v>
      </c>
      <c r="P23" s="222">
        <v>0.78660775650219872</v>
      </c>
      <c r="Q23" s="222">
        <v>0.31705303942312213</v>
      </c>
      <c r="R23" s="222">
        <v>0.20453629478827673</v>
      </c>
      <c r="S23" s="222">
        <v>0.14990642928998166</v>
      </c>
      <c r="T23" s="224">
        <v>9.3596580236138927E-2</v>
      </c>
    </row>
    <row r="24" spans="6:20" x14ac:dyDescent="0.3">
      <c r="F24" s="161"/>
      <c r="G24" s="48"/>
      <c r="H24" s="48"/>
      <c r="I24" s="48"/>
      <c r="J24" s="48"/>
      <c r="K24" s="48"/>
      <c r="L24" s="48"/>
      <c r="M24" s="48"/>
      <c r="N24" s="48"/>
      <c r="O24" s="48"/>
      <c r="P24" s="48"/>
      <c r="Q24" s="48"/>
      <c r="R24" s="48"/>
      <c r="S24" s="48"/>
      <c r="T24" s="220"/>
    </row>
    <row r="25" spans="6:20" ht="15" thickBot="1" x14ac:dyDescent="0.35">
      <c r="F25" s="237">
        <v>0.1</v>
      </c>
      <c r="G25" s="238"/>
      <c r="H25" s="238"/>
      <c r="I25" s="238"/>
      <c r="J25" s="238"/>
      <c r="K25" s="238"/>
      <c r="L25" s="238"/>
      <c r="M25" s="48"/>
      <c r="N25" s="238">
        <v>0.1</v>
      </c>
      <c r="O25" s="238"/>
      <c r="P25" s="238"/>
      <c r="Q25" s="238"/>
      <c r="R25" s="238"/>
      <c r="S25" s="238"/>
      <c r="T25" s="243"/>
    </row>
    <row r="26" spans="6:20" x14ac:dyDescent="0.3">
      <c r="F26" s="165"/>
      <c r="G26" s="160"/>
      <c r="H26" s="239" t="s">
        <v>250</v>
      </c>
      <c r="I26" s="239"/>
      <c r="J26" s="239"/>
      <c r="K26" s="239"/>
      <c r="L26" s="240"/>
      <c r="M26" s="48"/>
      <c r="N26" s="165"/>
      <c r="O26" s="160"/>
      <c r="P26" s="239" t="s">
        <v>250</v>
      </c>
      <c r="Q26" s="239"/>
      <c r="R26" s="239"/>
      <c r="S26" s="239"/>
      <c r="T26" s="240"/>
    </row>
    <row r="27" spans="6:20" x14ac:dyDescent="0.3">
      <c r="F27" s="161"/>
      <c r="G27" s="162">
        <f>D27</f>
        <v>0</v>
      </c>
      <c r="H27" s="56">
        <f>$F$5</f>
        <v>750</v>
      </c>
      <c r="I27" s="56">
        <f>$G$5</f>
        <v>1000</v>
      </c>
      <c r="J27" s="56">
        <f>$H$5</f>
        <v>1250</v>
      </c>
      <c r="K27" s="56">
        <f>$I$5</f>
        <v>1500</v>
      </c>
      <c r="L27" s="59">
        <f>$J$5</f>
        <v>2000</v>
      </c>
      <c r="M27" s="48"/>
      <c r="N27" s="161"/>
      <c r="O27" s="162">
        <f>D29</f>
        <v>0</v>
      </c>
      <c r="P27" s="56">
        <f>$F$5</f>
        <v>750</v>
      </c>
      <c r="Q27" s="56">
        <f>$G$5</f>
        <v>1000</v>
      </c>
      <c r="R27" s="56">
        <f>$H$5</f>
        <v>1250</v>
      </c>
      <c r="S27" s="56">
        <f>$I$5</f>
        <v>1500</v>
      </c>
      <c r="T27" s="59">
        <f>$J$5</f>
        <v>2000</v>
      </c>
    </row>
    <row r="28" spans="6:20" x14ac:dyDescent="0.3">
      <c r="F28" s="241" t="s">
        <v>248</v>
      </c>
      <c r="G28" s="56">
        <f>$F$4</f>
        <v>1</v>
      </c>
      <c r="H28" s="164" t="s">
        <v>256</v>
      </c>
      <c r="I28" s="164" t="s">
        <v>256</v>
      </c>
      <c r="J28" s="164" t="s">
        <v>256</v>
      </c>
      <c r="K28" s="164" t="s">
        <v>256</v>
      </c>
      <c r="L28" s="164" t="s">
        <v>256</v>
      </c>
      <c r="M28" s="48"/>
      <c r="N28" s="241" t="s">
        <v>248</v>
      </c>
      <c r="O28" s="56">
        <f>$F$4</f>
        <v>1</v>
      </c>
      <c r="P28" s="164">
        <v>0.13021923511850297</v>
      </c>
      <c r="Q28" s="164">
        <v>7.838943144906918E-2</v>
      </c>
      <c r="R28" s="164">
        <v>4.720448212320405E-2</v>
      </c>
      <c r="S28" s="164">
        <v>1.8010372297280419E-2</v>
      </c>
      <c r="T28" s="221" t="s">
        <v>256</v>
      </c>
    </row>
    <row r="29" spans="6:20" x14ac:dyDescent="0.3">
      <c r="F29" s="241"/>
      <c r="G29" s="56">
        <f>$G$4</f>
        <v>2</v>
      </c>
      <c r="H29" s="164" t="s">
        <v>256</v>
      </c>
      <c r="I29" s="164" t="s">
        <v>256</v>
      </c>
      <c r="J29" s="164" t="s">
        <v>256</v>
      </c>
      <c r="K29" s="164" t="s">
        <v>256</v>
      </c>
      <c r="L29" s="164" t="s">
        <v>256</v>
      </c>
      <c r="M29" s="48"/>
      <c r="N29" s="241"/>
      <c r="O29" s="56">
        <f>$G$4</f>
        <v>2</v>
      </c>
      <c r="P29" s="164">
        <v>0.41732379158285493</v>
      </c>
      <c r="Q29" s="164">
        <v>0.22929815571057022</v>
      </c>
      <c r="R29" s="164">
        <v>0.15701184886356123</v>
      </c>
      <c r="S29" s="164">
        <v>0.1172278293720479</v>
      </c>
      <c r="T29" s="221">
        <v>7.2234534088071234E-2</v>
      </c>
    </row>
    <row r="30" spans="6:20" ht="15" thickBot="1" x14ac:dyDescent="0.35">
      <c r="F30" s="242"/>
      <c r="G30" s="166">
        <f>$H$4</f>
        <v>2.5</v>
      </c>
      <c r="H30" s="222" t="s">
        <v>256</v>
      </c>
      <c r="I30" s="222" t="s">
        <v>256</v>
      </c>
      <c r="J30" s="222" t="s">
        <v>256</v>
      </c>
      <c r="K30" s="222" t="s">
        <v>256</v>
      </c>
      <c r="L30" s="222" t="s">
        <v>256</v>
      </c>
      <c r="M30" s="223"/>
      <c r="N30" s="242"/>
      <c r="O30" s="166">
        <f>$H$4</f>
        <v>2.5</v>
      </c>
      <c r="P30" s="222">
        <v>0.88025383948939484</v>
      </c>
      <c r="Q30" s="222">
        <v>0.3452435689864406</v>
      </c>
      <c r="R30" s="222">
        <v>0.22263557811527268</v>
      </c>
      <c r="S30" s="222">
        <v>0.16369728327335475</v>
      </c>
      <c r="T30" s="224">
        <v>0.10366242277376925</v>
      </c>
    </row>
    <row r="31" spans="6:20" x14ac:dyDescent="0.3">
      <c r="F31" s="161"/>
      <c r="G31" s="48"/>
      <c r="H31" s="48"/>
      <c r="I31" s="48"/>
      <c r="J31" s="48"/>
      <c r="K31" s="48"/>
      <c r="L31" s="48"/>
      <c r="M31" s="48"/>
      <c r="N31" s="48"/>
      <c r="O31" s="48"/>
      <c r="P31" s="48"/>
      <c r="Q31" s="48"/>
      <c r="R31" s="48"/>
      <c r="S31" s="48"/>
      <c r="T31" s="220"/>
    </row>
    <row r="32" spans="6:20" ht="15" thickBot="1" x14ac:dyDescent="0.35">
      <c r="F32" s="237">
        <v>0.15</v>
      </c>
      <c r="G32" s="238"/>
      <c r="H32" s="238"/>
      <c r="I32" s="238"/>
      <c r="J32" s="238"/>
      <c r="K32" s="238"/>
      <c r="L32" s="238"/>
      <c r="M32" s="48"/>
      <c r="N32" s="238">
        <v>0.15</v>
      </c>
      <c r="O32" s="238"/>
      <c r="P32" s="238"/>
      <c r="Q32" s="238"/>
      <c r="R32" s="238"/>
      <c r="S32" s="238"/>
      <c r="T32" s="243"/>
    </row>
    <row r="33" spans="6:20" x14ac:dyDescent="0.3">
      <c r="F33" s="165"/>
      <c r="G33" s="160"/>
      <c r="H33" s="239" t="s">
        <v>250</v>
      </c>
      <c r="I33" s="239"/>
      <c r="J33" s="239"/>
      <c r="K33" s="239"/>
      <c r="L33" s="240"/>
      <c r="M33" s="48"/>
      <c r="N33" s="165"/>
      <c r="O33" s="160"/>
      <c r="P33" s="239" t="s">
        <v>250</v>
      </c>
      <c r="Q33" s="239"/>
      <c r="R33" s="239"/>
      <c r="S33" s="239"/>
      <c r="T33" s="240"/>
    </row>
    <row r="34" spans="6:20" x14ac:dyDescent="0.3">
      <c r="F34" s="161"/>
      <c r="G34" s="162">
        <f>D34</f>
        <v>0</v>
      </c>
      <c r="H34" s="56">
        <f>$F$5</f>
        <v>750</v>
      </c>
      <c r="I34" s="56">
        <f>$G$5</f>
        <v>1000</v>
      </c>
      <c r="J34" s="56">
        <f>$H$5</f>
        <v>1250</v>
      </c>
      <c r="K34" s="56">
        <f>$I$5</f>
        <v>1500</v>
      </c>
      <c r="L34" s="59">
        <f>$J$5</f>
        <v>2000</v>
      </c>
      <c r="M34" s="48"/>
      <c r="N34" s="161"/>
      <c r="O34" s="162">
        <f>D36</f>
        <v>0</v>
      </c>
      <c r="P34" s="56">
        <f>$F$5</f>
        <v>750</v>
      </c>
      <c r="Q34" s="56">
        <f>$G$5</f>
        <v>1000</v>
      </c>
      <c r="R34" s="56">
        <f>$H$5</f>
        <v>1250</v>
      </c>
      <c r="S34" s="56">
        <f>$I$5</f>
        <v>1500</v>
      </c>
      <c r="T34" s="59">
        <f>$J$5</f>
        <v>2000</v>
      </c>
    </row>
    <row r="35" spans="6:20" x14ac:dyDescent="0.3">
      <c r="F35" s="241" t="s">
        <v>248</v>
      </c>
      <c r="G35" s="56">
        <f>$F$4</f>
        <v>1</v>
      </c>
      <c r="H35" s="164" t="s">
        <v>256</v>
      </c>
      <c r="I35" s="164" t="s">
        <v>256</v>
      </c>
      <c r="J35" s="164" t="s">
        <v>256</v>
      </c>
      <c r="K35" s="164" t="s">
        <v>256</v>
      </c>
      <c r="L35" s="164" t="s">
        <v>256</v>
      </c>
      <c r="M35" s="48"/>
      <c r="N35" s="241" t="s">
        <v>248</v>
      </c>
      <c r="O35" s="56">
        <f>$F$4</f>
        <v>1</v>
      </c>
      <c r="P35" s="164">
        <v>0.15773463422507672</v>
      </c>
      <c r="Q35" s="164">
        <v>9.9697414314655841E-2</v>
      </c>
      <c r="R35" s="164">
        <v>6.7163425187392489E-2</v>
      </c>
      <c r="S35" s="164">
        <v>4.4080432588040397E-2</v>
      </c>
      <c r="T35" s="221" t="s">
        <v>256</v>
      </c>
    </row>
    <row r="36" spans="6:20" x14ac:dyDescent="0.3">
      <c r="F36" s="241"/>
      <c r="G36" s="56">
        <f>$G$4</f>
        <v>2</v>
      </c>
      <c r="H36" s="164" t="s">
        <v>256</v>
      </c>
      <c r="I36" s="164" t="s">
        <v>256</v>
      </c>
      <c r="J36" s="164" t="s">
        <v>256</v>
      </c>
      <c r="K36" s="164" t="s">
        <v>256</v>
      </c>
      <c r="L36" s="164" t="s">
        <v>256</v>
      </c>
      <c r="M36" s="48"/>
      <c r="N36" s="241"/>
      <c r="O36" s="56">
        <f>$G$4</f>
        <v>2</v>
      </c>
      <c r="P36" s="164">
        <v>0.46015860468535497</v>
      </c>
      <c r="Q36" s="164">
        <v>0.25215011994290149</v>
      </c>
      <c r="R36" s="164">
        <v>0.17333418712416493</v>
      </c>
      <c r="S36" s="164">
        <v>0.13036446483181963</v>
      </c>
      <c r="T36" s="221">
        <v>8.2587894726620981E-2</v>
      </c>
    </row>
    <row r="37" spans="6:20" ht="15" thickBot="1" x14ac:dyDescent="0.35">
      <c r="F37" s="242"/>
      <c r="G37" s="166">
        <f>$H$4</f>
        <v>2.5</v>
      </c>
      <c r="H37" s="222">
        <v>3.7189377942822066E-2</v>
      </c>
      <c r="I37" s="222" t="s">
        <v>256</v>
      </c>
      <c r="J37" s="222" t="s">
        <v>256</v>
      </c>
      <c r="K37" s="222" t="s">
        <v>256</v>
      </c>
      <c r="L37" s="222" t="s">
        <v>256</v>
      </c>
      <c r="M37" s="223"/>
      <c r="N37" s="242"/>
      <c r="O37" s="166">
        <f>$H$4</f>
        <v>2.5</v>
      </c>
      <c r="P37" s="222">
        <v>0.97956022143950405</v>
      </c>
      <c r="Q37" s="222">
        <v>0.37364022112565243</v>
      </c>
      <c r="R37" s="222">
        <v>0.24066484878484529</v>
      </c>
      <c r="S37" s="222">
        <v>0.17732185520256638</v>
      </c>
      <c r="T37" s="224">
        <v>0.11341790473741709</v>
      </c>
    </row>
    <row r="38" spans="6:20" x14ac:dyDescent="0.3">
      <c r="F38" s="161"/>
      <c r="G38" s="48"/>
      <c r="H38" s="48"/>
      <c r="I38" s="48"/>
      <c r="J38" s="48"/>
      <c r="K38" s="48"/>
      <c r="L38" s="48"/>
      <c r="M38" s="48"/>
      <c r="N38" s="48"/>
      <c r="O38" s="48"/>
      <c r="P38" s="48"/>
      <c r="Q38" s="48"/>
      <c r="R38" s="48"/>
      <c r="S38" s="48"/>
      <c r="T38" s="220"/>
    </row>
    <row r="39" spans="6:20" x14ac:dyDescent="0.3">
      <c r="F39" s="237">
        <v>0.2</v>
      </c>
      <c r="G39" s="238"/>
      <c r="H39" s="238"/>
      <c r="I39" s="238"/>
      <c r="J39" s="238"/>
      <c r="K39" s="238"/>
      <c r="L39" s="238"/>
      <c r="M39" s="48"/>
      <c r="N39" s="238">
        <v>0.2</v>
      </c>
      <c r="O39" s="238"/>
      <c r="P39" s="238"/>
      <c r="Q39" s="238"/>
      <c r="R39" s="238"/>
      <c r="S39" s="238"/>
      <c r="T39" s="243"/>
    </row>
    <row r="40" spans="6:20" ht="15" thickBot="1" x14ac:dyDescent="0.35">
      <c r="F40" s="219" t="s">
        <v>252</v>
      </c>
      <c r="G40" s="48"/>
      <c r="H40" s="48"/>
      <c r="I40" s="48"/>
      <c r="J40" s="48"/>
      <c r="K40" s="48"/>
      <c r="L40" s="48"/>
      <c r="M40" s="48"/>
      <c r="N40" s="216" t="s">
        <v>253</v>
      </c>
      <c r="O40" s="48"/>
      <c r="P40" s="48"/>
      <c r="Q40" s="48"/>
      <c r="R40" s="48"/>
      <c r="S40" s="48"/>
      <c r="T40" s="220"/>
    </row>
    <row r="41" spans="6:20" x14ac:dyDescent="0.3">
      <c r="F41" s="165"/>
      <c r="G41" s="160"/>
      <c r="H41" s="239" t="s">
        <v>250</v>
      </c>
      <c r="I41" s="239"/>
      <c r="J41" s="239"/>
      <c r="K41" s="239"/>
      <c r="L41" s="240"/>
      <c r="M41" s="48"/>
      <c r="N41" s="165"/>
      <c r="O41" s="160"/>
      <c r="P41" s="239" t="s">
        <v>250</v>
      </c>
      <c r="Q41" s="239"/>
      <c r="R41" s="239"/>
      <c r="S41" s="239"/>
      <c r="T41" s="240"/>
    </row>
    <row r="42" spans="6:20" x14ac:dyDescent="0.3">
      <c r="F42" s="161"/>
      <c r="G42" s="162">
        <f>D42</f>
        <v>0</v>
      </c>
      <c r="H42" s="56">
        <f>$F$5</f>
        <v>750</v>
      </c>
      <c r="I42" s="56">
        <f>$G$5</f>
        <v>1000</v>
      </c>
      <c r="J42" s="56">
        <f>$H$5</f>
        <v>1250</v>
      </c>
      <c r="K42" s="56">
        <f>$I$5</f>
        <v>1500</v>
      </c>
      <c r="L42" s="59">
        <f>$J$5</f>
        <v>2000</v>
      </c>
      <c r="M42" s="48"/>
      <c r="N42" s="161"/>
      <c r="O42" s="162">
        <f>D44</f>
        <v>0</v>
      </c>
      <c r="P42" s="56">
        <f>$F$5</f>
        <v>750</v>
      </c>
      <c r="Q42" s="56">
        <f>$G$5</f>
        <v>1000</v>
      </c>
      <c r="R42" s="56">
        <f>$H$5</f>
        <v>1250</v>
      </c>
      <c r="S42" s="56">
        <f>$I$5</f>
        <v>1500</v>
      </c>
      <c r="T42" s="59">
        <f>$J$5</f>
        <v>2000</v>
      </c>
    </row>
    <row r="43" spans="6:20" x14ac:dyDescent="0.3">
      <c r="F43" s="241" t="s">
        <v>248</v>
      </c>
      <c r="G43" s="56">
        <f>$F$4</f>
        <v>1</v>
      </c>
      <c r="H43" s="164">
        <v>2.6944594721248549E-2</v>
      </c>
      <c r="I43" s="164" t="s">
        <v>256</v>
      </c>
      <c r="J43" s="164" t="s">
        <v>256</v>
      </c>
      <c r="K43" s="164" t="s">
        <v>256</v>
      </c>
      <c r="L43" s="164" t="s">
        <v>256</v>
      </c>
      <c r="M43" s="48"/>
      <c r="N43" s="241" t="s">
        <v>248</v>
      </c>
      <c r="O43" s="56">
        <f>$F$4</f>
        <v>1</v>
      </c>
      <c r="P43" s="164">
        <v>0.18411799250197869</v>
      </c>
      <c r="Q43" s="164">
        <v>0.1192315197125231</v>
      </c>
      <c r="R43" s="164">
        <v>8.3960792196670075E-2</v>
      </c>
      <c r="S43" s="164">
        <v>6.0391915183826361E-2</v>
      </c>
      <c r="T43" s="221">
        <v>2.5232396982986627E-2</v>
      </c>
    </row>
    <row r="44" spans="6:20" x14ac:dyDescent="0.3">
      <c r="F44" s="241"/>
      <c r="G44" s="56">
        <f>$G$4</f>
        <v>2</v>
      </c>
      <c r="H44" s="164">
        <v>5.7789404693257662E-2</v>
      </c>
      <c r="I44" s="164">
        <v>2.1367388856118774E-2</v>
      </c>
      <c r="J44" s="164" t="s">
        <v>256</v>
      </c>
      <c r="K44" s="164" t="s">
        <v>256</v>
      </c>
      <c r="L44" s="164" t="s">
        <v>256</v>
      </c>
      <c r="M44" s="48"/>
      <c r="N44" s="241"/>
      <c r="O44" s="56">
        <f>$G$4</f>
        <v>2</v>
      </c>
      <c r="P44" s="164">
        <v>0.50365654746293154</v>
      </c>
      <c r="Q44" s="164">
        <v>0.27492630171852817</v>
      </c>
      <c r="R44" s="164">
        <v>0.18944481577624095</v>
      </c>
      <c r="S44" s="164">
        <v>0.14319185640986531</v>
      </c>
      <c r="T44" s="221">
        <v>9.240730485151194E-2</v>
      </c>
    </row>
    <row r="45" spans="6:20" ht="15" thickBot="1" x14ac:dyDescent="0.35">
      <c r="F45" s="242"/>
      <c r="G45" s="166">
        <f>$H$4</f>
        <v>2.5</v>
      </c>
      <c r="H45" s="222">
        <v>6.8813872209874782E-2</v>
      </c>
      <c r="I45" s="222">
        <v>3.5954027563176671E-2</v>
      </c>
      <c r="J45" s="222" t="s">
        <v>256</v>
      </c>
      <c r="K45" s="222" t="s">
        <v>256</v>
      </c>
      <c r="L45" s="222" t="s">
        <v>256</v>
      </c>
      <c r="M45" s="223"/>
      <c r="N45" s="242"/>
      <c r="O45" s="166">
        <f>$H$4</f>
        <v>2.5</v>
      </c>
      <c r="P45" s="222">
        <v>1.084344369406987</v>
      </c>
      <c r="Q45" s="222">
        <v>0.40227553515166425</v>
      </c>
      <c r="R45" s="222">
        <v>0.25866003870005372</v>
      </c>
      <c r="S45" s="222">
        <v>0.1908278728819004</v>
      </c>
      <c r="T45" s="224">
        <v>0.12294347064151534</v>
      </c>
    </row>
    <row r="48" spans="6:20" x14ac:dyDescent="0.3">
      <c r="F48" s="63" t="s">
        <v>168</v>
      </c>
      <c r="G48" s="64"/>
      <c r="H48" s="64"/>
      <c r="I48" s="64"/>
      <c r="J48" s="64"/>
      <c r="K48" s="64"/>
      <c r="L48" s="64"/>
      <c r="M48" s="64"/>
      <c r="N48" s="64" t="s">
        <v>167</v>
      </c>
      <c r="O48" s="64"/>
      <c r="P48" s="64"/>
      <c r="Q48" s="64"/>
      <c r="R48" s="64"/>
      <c r="S48" s="64"/>
      <c r="T48" s="65"/>
    </row>
    <row r="49" spans="6:20" x14ac:dyDescent="0.3">
      <c r="F49" s="66" t="s">
        <v>154</v>
      </c>
      <c r="G49" s="58" t="s">
        <v>210</v>
      </c>
      <c r="H49" s="58"/>
      <c r="I49" s="58"/>
      <c r="J49" s="58"/>
      <c r="K49" s="58"/>
      <c r="L49" s="58"/>
      <c r="M49" s="67"/>
      <c r="N49" s="67" t="s">
        <v>169</v>
      </c>
      <c r="O49" s="67"/>
      <c r="P49" s="67"/>
      <c r="Q49" s="67"/>
      <c r="R49" s="67"/>
      <c r="S49" s="67"/>
      <c r="T49" s="68"/>
    </row>
    <row r="50" spans="6:20" ht="13.5" customHeight="1" x14ac:dyDescent="0.3">
      <c r="F50" s="69" t="s">
        <v>257</v>
      </c>
      <c r="G50" s="98" t="s">
        <v>155</v>
      </c>
      <c r="H50" s="98"/>
      <c r="I50" s="98"/>
      <c r="J50" s="98"/>
      <c r="K50" s="98"/>
      <c r="L50" s="98"/>
      <c r="M50" s="48"/>
      <c r="N50" s="48" t="s">
        <v>258</v>
      </c>
      <c r="O50" s="48"/>
      <c r="P50" s="48"/>
      <c r="Q50" s="48"/>
      <c r="R50" s="48"/>
      <c r="S50" s="48"/>
      <c r="T50" s="70"/>
    </row>
    <row r="51" spans="6:20" ht="15.75" customHeight="1" x14ac:dyDescent="0.3">
      <c r="F51" s="71" t="s">
        <v>259</v>
      </c>
      <c r="G51" s="108" t="s">
        <v>166</v>
      </c>
      <c r="H51" s="108"/>
      <c r="I51" s="108"/>
      <c r="J51" s="108"/>
      <c r="K51" s="108"/>
      <c r="L51" s="108"/>
      <c r="M51" s="72"/>
      <c r="N51" s="72" t="s">
        <v>260</v>
      </c>
      <c r="O51" s="72"/>
      <c r="P51" s="72"/>
      <c r="Q51" s="72"/>
      <c r="R51" s="72"/>
      <c r="S51" s="72"/>
      <c r="T51" s="73"/>
    </row>
    <row r="52" spans="6:20" ht="15" thickBot="1" x14ac:dyDescent="0.35"/>
    <row r="53" spans="6:20" ht="18" customHeight="1" thickBot="1" x14ac:dyDescent="0.35">
      <c r="G53" s="118"/>
      <c r="I53" t="s">
        <v>219</v>
      </c>
    </row>
    <row r="54" spans="6:20" ht="9.75" customHeight="1" x14ac:dyDescent="0.3"/>
    <row r="55" spans="6:20" ht="10.5" customHeight="1" x14ac:dyDescent="0.3"/>
  </sheetData>
  <scenarios current="0" show="0" sqref="B20">
    <scenario name="Test" locked="1" count="3" user="Auteur" comment="Erstellt von Autor am 27.08.2014_x000a_Modifiziert von Autor am 27.08.2014">
      <inputCells r="D4" val="0.5"/>
      <inputCells r="D5" val="500"/>
      <inputCells r="D6" val="0.05"/>
    </scenario>
  </scenarios>
  <mergeCells count="28">
    <mergeCell ref="N35:N37"/>
    <mergeCell ref="N39:T39"/>
    <mergeCell ref="F12:F14"/>
    <mergeCell ref="H10:L10"/>
    <mergeCell ref="H19:L19"/>
    <mergeCell ref="F21:F23"/>
    <mergeCell ref="F18:L18"/>
    <mergeCell ref="H26:L26"/>
    <mergeCell ref="F28:F30"/>
    <mergeCell ref="H33:L33"/>
    <mergeCell ref="F35:F37"/>
    <mergeCell ref="F25:L25"/>
    <mergeCell ref="F32:L32"/>
    <mergeCell ref="N25:T25"/>
    <mergeCell ref="P26:T26"/>
    <mergeCell ref="N28:N30"/>
    <mergeCell ref="N32:T32"/>
    <mergeCell ref="P33:T33"/>
    <mergeCell ref="P10:T10"/>
    <mergeCell ref="N12:N14"/>
    <mergeCell ref="N18:T18"/>
    <mergeCell ref="P19:T19"/>
    <mergeCell ref="N21:N23"/>
    <mergeCell ref="F39:L39"/>
    <mergeCell ref="H41:L41"/>
    <mergeCell ref="P41:T41"/>
    <mergeCell ref="F43:F45"/>
    <mergeCell ref="N43:N45"/>
  </mergeCells>
  <conditionalFormatting sqref="H12:L14">
    <cfRule type="cellIs" dxfId="39" priority="105" operator="equal">
      <formula>"&lt;3%"</formula>
    </cfRule>
    <cfRule type="cellIs" dxfId="38" priority="133" operator="lessThan">
      <formula>0.03</formula>
    </cfRule>
    <cfRule type="cellIs" dxfId="37" priority="134" operator="greaterThanOrEqual">
      <formula>0.06</formula>
    </cfRule>
    <cfRule type="cellIs" dxfId="36" priority="135" operator="between">
      <formula>0.03</formula>
      <formula>0.06</formula>
    </cfRule>
  </conditionalFormatting>
  <conditionalFormatting sqref="P12:T14">
    <cfRule type="cellIs" dxfId="35" priority="97" operator="equal">
      <formula>"&lt;3%"</formula>
    </cfRule>
    <cfRule type="cellIs" dxfId="34" priority="98" operator="lessThan">
      <formula>0.03</formula>
    </cfRule>
    <cfRule type="cellIs" dxfId="33" priority="99" operator="greaterThanOrEqual">
      <formula>0.06</formula>
    </cfRule>
    <cfRule type="cellIs" dxfId="32" priority="100" operator="between">
      <formula>0.03</formula>
      <formula>0.06</formula>
    </cfRule>
  </conditionalFormatting>
  <conditionalFormatting sqref="H43:L45">
    <cfRule type="cellIs" dxfId="31" priority="29" operator="equal">
      <formula>"&lt;3%"</formula>
    </cfRule>
    <cfRule type="cellIs" dxfId="30" priority="30" operator="lessThan">
      <formula>0.03</formula>
    </cfRule>
    <cfRule type="cellIs" dxfId="29" priority="31" operator="greaterThanOrEqual">
      <formula>0.06</formula>
    </cfRule>
    <cfRule type="cellIs" dxfId="28" priority="32" operator="between">
      <formula>0.03</formula>
      <formula>0.06</formula>
    </cfRule>
  </conditionalFormatting>
  <conditionalFormatting sqref="P43:T45">
    <cfRule type="cellIs" dxfId="27" priority="25" operator="equal">
      <formula>"&lt;3%"</formula>
    </cfRule>
    <cfRule type="cellIs" dxfId="26" priority="26" operator="lessThan">
      <formula>0.03</formula>
    </cfRule>
    <cfRule type="cellIs" dxfId="25" priority="27" operator="greaterThanOrEqual">
      <formula>0.06</formula>
    </cfRule>
    <cfRule type="cellIs" dxfId="24" priority="28" operator="between">
      <formula>0.03</formula>
      <formula>0.06</formula>
    </cfRule>
  </conditionalFormatting>
  <conditionalFormatting sqref="H35:L37">
    <cfRule type="cellIs" dxfId="23" priority="21" operator="equal">
      <formula>"&lt;3%"</formula>
    </cfRule>
    <cfRule type="cellIs" dxfId="22" priority="22" operator="lessThan">
      <formula>0.03</formula>
    </cfRule>
    <cfRule type="cellIs" dxfId="21" priority="23" operator="greaterThanOrEqual">
      <formula>0.06</formula>
    </cfRule>
    <cfRule type="cellIs" dxfId="20" priority="24" operator="between">
      <formula>0.03</formula>
      <formula>0.06</formula>
    </cfRule>
  </conditionalFormatting>
  <conditionalFormatting sqref="P35:T37">
    <cfRule type="cellIs" dxfId="19" priority="17" operator="equal">
      <formula>"&lt;3%"</formula>
    </cfRule>
    <cfRule type="cellIs" dxfId="18" priority="18" operator="lessThan">
      <formula>0.03</formula>
    </cfRule>
    <cfRule type="cellIs" dxfId="17" priority="19" operator="greaterThanOrEqual">
      <formula>0.06</formula>
    </cfRule>
    <cfRule type="cellIs" dxfId="16" priority="20" operator="between">
      <formula>0.03</formula>
      <formula>0.06</formula>
    </cfRule>
  </conditionalFormatting>
  <conditionalFormatting sqref="H28:L30">
    <cfRule type="cellIs" dxfId="15" priority="13" operator="equal">
      <formula>"&lt;3%"</formula>
    </cfRule>
    <cfRule type="cellIs" dxfId="14" priority="14" operator="lessThan">
      <formula>0.03</formula>
    </cfRule>
    <cfRule type="cellIs" dxfId="13" priority="15" operator="greaterThanOrEqual">
      <formula>0.06</formula>
    </cfRule>
    <cfRule type="cellIs" dxfId="12" priority="16" operator="between">
      <formula>0.03</formula>
      <formula>0.06</formula>
    </cfRule>
  </conditionalFormatting>
  <conditionalFormatting sqref="P28:T30">
    <cfRule type="cellIs" dxfId="11" priority="9" operator="equal">
      <formula>"&lt;3%"</formula>
    </cfRule>
    <cfRule type="cellIs" dxfId="10" priority="10" operator="lessThan">
      <formula>0.03</formula>
    </cfRule>
    <cfRule type="cellIs" dxfId="9" priority="11" operator="greaterThanOrEqual">
      <formula>0.06</formula>
    </cfRule>
    <cfRule type="cellIs" dxfId="8" priority="12" operator="between">
      <formula>0.03</formula>
      <formula>0.06</formula>
    </cfRule>
  </conditionalFormatting>
  <conditionalFormatting sqref="H21:L23">
    <cfRule type="cellIs" dxfId="7" priority="5" operator="equal">
      <formula>"&lt;3%"</formula>
    </cfRule>
    <cfRule type="cellIs" dxfId="6" priority="6" operator="lessThan">
      <formula>0.03</formula>
    </cfRule>
    <cfRule type="cellIs" dxfId="5" priority="7" operator="greaterThanOrEqual">
      <formula>0.06</formula>
    </cfRule>
    <cfRule type="cellIs" dxfId="4" priority="8" operator="between">
      <formula>0.03</formula>
      <formula>0.06</formula>
    </cfRule>
  </conditionalFormatting>
  <conditionalFormatting sqref="P21:T23">
    <cfRule type="cellIs" dxfId="3" priority="1" operator="equal">
      <formula>"&lt;3%"</formula>
    </cfRule>
    <cfRule type="cellIs" dxfId="2" priority="2" operator="lessThan">
      <formula>0.03</formula>
    </cfRule>
    <cfRule type="cellIs" dxfId="1" priority="3" operator="greaterThanOrEqual">
      <formula>0.06</formula>
    </cfRule>
    <cfRule type="cellIs" dxfId="0" priority="4" operator="between">
      <formula>0.03</formula>
      <formula>0.06</formula>
    </cfRule>
  </conditionalFormatting>
  <pageMargins left="0.70866141732283472" right="0.70866141732283472" top="0.78740157480314965" bottom="0.78740157480314965" header="0.31496062992125984" footer="0.31496062992125984"/>
  <pageSetup paperSize="9" scale="78"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54"/>
  <sheetViews>
    <sheetView zoomScale="90" zoomScaleNormal="90" workbookViewId="0">
      <selection activeCell="B13" sqref="B13"/>
    </sheetView>
  </sheetViews>
  <sheetFormatPr baseColWidth="10" defaultRowHeight="14.4" x14ac:dyDescent="0.3"/>
  <cols>
    <col min="2" max="2" width="55" customWidth="1"/>
    <col min="3" max="3" width="13.33203125" customWidth="1"/>
    <col min="6" max="6" width="13.33203125" customWidth="1"/>
    <col min="14" max="14" width="4.6640625" customWidth="1"/>
  </cols>
  <sheetData>
    <row r="1" spans="2:17" x14ac:dyDescent="0.3">
      <c r="B1" s="152" t="s">
        <v>240</v>
      </c>
      <c r="C1" s="152" t="s">
        <v>241</v>
      </c>
      <c r="D1" s="152"/>
      <c r="E1" s="152" t="s">
        <v>152</v>
      </c>
      <c r="F1" s="153" t="s">
        <v>238</v>
      </c>
      <c r="G1" s="153">
        <v>2000</v>
      </c>
      <c r="H1" s="152"/>
      <c r="I1" s="152" t="s">
        <v>242</v>
      </c>
      <c r="L1" s="152"/>
    </row>
    <row r="3" spans="2:17" x14ac:dyDescent="0.3">
      <c r="B3" s="74" t="s">
        <v>170</v>
      </c>
      <c r="C3" s="74" t="s">
        <v>158</v>
      </c>
      <c r="D3" s="66"/>
      <c r="E3" s="67"/>
      <c r="F3" s="67"/>
      <c r="G3" s="67"/>
      <c r="H3" s="68"/>
      <c r="J3" s="57" t="s">
        <v>239</v>
      </c>
      <c r="K3" s="57" t="str">
        <f>'Eingabe und Übersicht'!E11</f>
        <v>Gewerbekälte</v>
      </c>
      <c r="L3" s="57"/>
      <c r="M3" s="149">
        <f>'Eingabe und Übersicht'!E18</f>
        <v>250</v>
      </c>
      <c r="N3" s="57" t="s">
        <v>13</v>
      </c>
      <c r="O3" s="57" t="str">
        <f>'Eingabe und Übersicht'!E16</f>
        <v>R404A</v>
      </c>
      <c r="P3" s="57">
        <f>'Eingabe und Übersicht'!E19</f>
        <v>100</v>
      </c>
      <c r="Q3" s="57" t="s">
        <v>237</v>
      </c>
    </row>
    <row r="4" spans="2:17" x14ac:dyDescent="0.3">
      <c r="B4" s="79" t="s">
        <v>171</v>
      </c>
      <c r="C4" s="75">
        <v>2.5</v>
      </c>
      <c r="D4" s="69" t="s">
        <v>206</v>
      </c>
      <c r="E4" s="48"/>
      <c r="F4" s="48"/>
      <c r="G4" s="48"/>
      <c r="H4" s="70"/>
      <c r="P4" s="150" t="s">
        <v>238</v>
      </c>
      <c r="Q4" s="57">
        <f>'Eingabe und Übersicht'!E17</f>
        <v>2000</v>
      </c>
    </row>
    <row r="5" spans="2:17" x14ac:dyDescent="0.3">
      <c r="B5" s="79" t="s">
        <v>200</v>
      </c>
      <c r="C5" s="75">
        <v>1000</v>
      </c>
      <c r="D5" s="69" t="s">
        <v>207</v>
      </c>
      <c r="E5" s="48"/>
      <c r="F5" s="48"/>
      <c r="G5" s="48"/>
      <c r="H5" s="70"/>
      <c r="P5" s="150" t="s">
        <v>225</v>
      </c>
      <c r="Q5" s="151">
        <f>Wirtschaftlichkeit!D4</f>
        <v>0.18</v>
      </c>
    </row>
    <row r="6" spans="2:17" x14ac:dyDescent="0.3">
      <c r="B6" s="81" t="s">
        <v>156</v>
      </c>
      <c r="C6" s="109">
        <v>0.2</v>
      </c>
      <c r="D6" s="69"/>
      <c r="E6" s="48"/>
      <c r="F6" s="48"/>
      <c r="G6" s="48"/>
      <c r="H6" s="70"/>
    </row>
    <row r="7" spans="2:17" x14ac:dyDescent="0.3">
      <c r="B7" s="76"/>
      <c r="C7" s="111"/>
      <c r="D7" s="83" t="s">
        <v>172</v>
      </c>
      <c r="E7" s="67"/>
      <c r="F7" s="67"/>
      <c r="G7" s="67"/>
      <c r="H7" s="68"/>
      <c r="J7" s="117">
        <f ca="1">Wirtschaftlichkeit!$U$21</f>
        <v>3.5954027563176671E-2</v>
      </c>
      <c r="K7" t="s">
        <v>165</v>
      </c>
    </row>
    <row r="8" spans="2:17" ht="15.75" customHeight="1" x14ac:dyDescent="0.3">
      <c r="B8" s="76"/>
      <c r="C8" s="76"/>
      <c r="D8" s="83" t="s">
        <v>173</v>
      </c>
      <c r="E8" s="67"/>
      <c r="F8" s="67"/>
      <c r="G8" s="67"/>
      <c r="H8" s="68"/>
    </row>
    <row r="9" spans="2:17" ht="15.75" customHeight="1" x14ac:dyDescent="0.3">
      <c r="B9" s="76"/>
      <c r="C9" s="76"/>
      <c r="D9" s="80"/>
      <c r="E9" s="48"/>
      <c r="F9" s="48"/>
      <c r="G9" s="48"/>
      <c r="H9" s="70"/>
      <c r="J9" s="48"/>
    </row>
    <row r="10" spans="2:17" ht="15.75" customHeight="1" x14ac:dyDescent="0.3">
      <c r="B10" s="77"/>
      <c r="C10" s="77"/>
      <c r="D10" s="69" t="s">
        <v>140</v>
      </c>
      <c r="E10" s="48"/>
      <c r="F10" s="95" t="s">
        <v>159</v>
      </c>
      <c r="G10" s="110"/>
      <c r="H10" s="70" t="s">
        <v>141</v>
      </c>
    </row>
    <row r="11" spans="2:17" ht="15.75" customHeight="1" x14ac:dyDescent="0.3">
      <c r="B11" s="76"/>
      <c r="C11" s="76"/>
      <c r="D11" s="96"/>
      <c r="E11" s="97"/>
      <c r="F11" s="98"/>
      <c r="G11" s="97"/>
      <c r="H11" s="99"/>
    </row>
    <row r="12" spans="2:17" ht="15.75" customHeight="1" x14ac:dyDescent="0.3">
      <c r="B12" s="76"/>
      <c r="C12" s="76"/>
      <c r="D12" s="169"/>
      <c r="E12" s="170"/>
      <c r="F12" s="171"/>
      <c r="G12" s="170"/>
      <c r="H12" s="172"/>
    </row>
    <row r="13" spans="2:17" ht="15.75" customHeight="1" x14ac:dyDescent="0.3">
      <c r="B13" s="77" t="s">
        <v>201</v>
      </c>
      <c r="C13" s="112">
        <v>1400</v>
      </c>
      <c r="D13" s="173">
        <f>$F13*(1+D14)</f>
        <v>1050</v>
      </c>
      <c r="E13" s="174">
        <f>$F13*(1+E14)</f>
        <v>1260</v>
      </c>
      <c r="F13" s="175">
        <v>1400</v>
      </c>
      <c r="G13" s="176">
        <f>$F13*(1+G14)</f>
        <v>1540.0000000000002</v>
      </c>
      <c r="H13" s="177">
        <f>$F13*(1+H14)</f>
        <v>1750</v>
      </c>
    </row>
    <row r="14" spans="2:17" ht="15.75" customHeight="1" x14ac:dyDescent="0.3">
      <c r="B14" s="82" t="s">
        <v>174</v>
      </c>
      <c r="C14" s="76"/>
      <c r="D14" s="178">
        <v>-0.25</v>
      </c>
      <c r="E14" s="179">
        <v>-0.1</v>
      </c>
      <c r="F14" s="180">
        <f t="shared" ref="F14" si="0">(F13-$F13)/$F13</f>
        <v>0</v>
      </c>
      <c r="G14" s="179">
        <v>0.1</v>
      </c>
      <c r="H14" s="181">
        <v>0.25</v>
      </c>
    </row>
    <row r="15" spans="2:17" ht="15.75" customHeight="1" x14ac:dyDescent="0.3">
      <c r="B15" s="82" t="s">
        <v>261</v>
      </c>
      <c r="C15" s="76"/>
      <c r="D15" s="182" t="s">
        <v>256</v>
      </c>
      <c r="E15" s="183">
        <v>2.1367388856118774E-2</v>
      </c>
      <c r="F15" s="184">
        <v>3.5954027563176671E-2</v>
      </c>
      <c r="G15" s="183">
        <v>4.6320210955892893E-2</v>
      </c>
      <c r="H15" s="185">
        <v>5.9264228834002175E-2</v>
      </c>
    </row>
    <row r="16" spans="2:17" ht="15.75" customHeight="1" x14ac:dyDescent="0.3">
      <c r="B16" s="82"/>
      <c r="C16" s="76"/>
      <c r="D16" s="186"/>
      <c r="E16" s="187"/>
      <c r="F16" s="188"/>
      <c r="G16" s="187"/>
      <c r="H16" s="189"/>
    </row>
    <row r="17" spans="2:8" ht="15.75" customHeight="1" x14ac:dyDescent="0.3">
      <c r="B17" s="82"/>
      <c r="C17" s="113"/>
      <c r="D17" s="186"/>
      <c r="E17" s="187"/>
      <c r="F17" s="188"/>
      <c r="G17" s="187"/>
      <c r="H17" s="189"/>
    </row>
    <row r="18" spans="2:8" ht="48.75" customHeight="1" x14ac:dyDescent="0.3">
      <c r="B18" s="76"/>
      <c r="C18" s="113"/>
      <c r="D18" s="190"/>
      <c r="E18" s="191"/>
      <c r="F18" s="192"/>
      <c r="G18" s="191"/>
      <c r="H18" s="193"/>
    </row>
    <row r="19" spans="2:8" x14ac:dyDescent="0.3">
      <c r="B19" s="77" t="s">
        <v>211</v>
      </c>
      <c r="C19" s="114">
        <v>0.18</v>
      </c>
      <c r="D19" s="194">
        <f>$F19*(1+D20)</f>
        <v>0.16200000000000001</v>
      </c>
      <c r="E19" s="195">
        <f>$F19*(1+E20)</f>
        <v>0.17099999999999999</v>
      </c>
      <c r="F19" s="196">
        <v>0.18</v>
      </c>
      <c r="G19" s="197">
        <f>$F19*(1+G20)</f>
        <v>0.189</v>
      </c>
      <c r="H19" s="198">
        <f>$F19*(1+H20)</f>
        <v>0.19800000000000001</v>
      </c>
    </row>
    <row r="20" spans="2:8" x14ac:dyDescent="0.3">
      <c r="B20" s="82" t="s">
        <v>174</v>
      </c>
      <c r="C20" s="76"/>
      <c r="D20" s="178">
        <v>-0.1</v>
      </c>
      <c r="E20" s="179">
        <v>-0.05</v>
      </c>
      <c r="F20" s="180">
        <f t="shared" ref="F20" si="1">(F19-$F19)/$F19</f>
        <v>0</v>
      </c>
      <c r="G20" s="179">
        <v>0.05</v>
      </c>
      <c r="H20" s="181">
        <v>0.1</v>
      </c>
    </row>
    <row r="21" spans="2:8" ht="15.75" customHeight="1" x14ac:dyDescent="0.3">
      <c r="B21" s="82" t="s">
        <v>261</v>
      </c>
      <c r="C21" s="76"/>
      <c r="D21" s="182">
        <v>2.1367388856118774E-2</v>
      </c>
      <c r="E21" s="183">
        <v>2.9628338401681997E-2</v>
      </c>
      <c r="F21" s="184">
        <v>3.5954027563176671E-2</v>
      </c>
      <c r="G21" s="183">
        <v>4.140114524141536E-2</v>
      </c>
      <c r="H21" s="185">
        <v>4.6320210955892893E-2</v>
      </c>
    </row>
    <row r="22" spans="2:8" ht="15.75" customHeight="1" x14ac:dyDescent="0.3">
      <c r="B22" s="82"/>
      <c r="C22" s="76"/>
      <c r="D22" s="186"/>
      <c r="E22" s="187"/>
      <c r="F22" s="188"/>
      <c r="G22" s="187"/>
      <c r="H22" s="189"/>
    </row>
    <row r="23" spans="2:8" ht="15.75" customHeight="1" x14ac:dyDescent="0.3">
      <c r="B23" s="82"/>
      <c r="C23" s="113"/>
      <c r="D23" s="186"/>
      <c r="E23" s="187"/>
      <c r="F23" s="188"/>
      <c r="G23" s="187"/>
      <c r="H23" s="189"/>
    </row>
    <row r="24" spans="2:8" ht="53.25" customHeight="1" x14ac:dyDescent="0.3">
      <c r="B24" s="76"/>
      <c r="C24" s="76"/>
      <c r="D24" s="169"/>
      <c r="E24" s="170"/>
      <c r="F24" s="171"/>
      <c r="G24" s="170"/>
      <c r="H24" s="172"/>
    </row>
    <row r="25" spans="2:8" x14ac:dyDescent="0.3">
      <c r="B25" s="104" t="s">
        <v>266</v>
      </c>
      <c r="C25" s="116">
        <v>400</v>
      </c>
      <c r="D25" s="207">
        <f>$F25*(1+D26)</f>
        <v>300</v>
      </c>
      <c r="E25" s="210">
        <f>$F25*(1+E26)</f>
        <v>360</v>
      </c>
      <c r="F25" s="209">
        <v>400</v>
      </c>
      <c r="G25" s="208">
        <f>$F25*(1+G26)</f>
        <v>440.00000000000006</v>
      </c>
      <c r="H25" s="211">
        <f>$F25*(1+H26)</f>
        <v>500</v>
      </c>
    </row>
    <row r="26" spans="2:8" x14ac:dyDescent="0.3">
      <c r="B26" s="82" t="s">
        <v>174</v>
      </c>
      <c r="C26" s="76"/>
      <c r="D26" s="178">
        <v>-0.25</v>
      </c>
      <c r="E26" s="179">
        <v>-0.1</v>
      </c>
      <c r="F26" s="180">
        <f t="shared" ref="F26" si="2">(F25-$F25)/$F25</f>
        <v>0</v>
      </c>
      <c r="G26" s="179">
        <v>0.1</v>
      </c>
      <c r="H26" s="181">
        <v>0.25</v>
      </c>
    </row>
    <row r="27" spans="2:8" ht="15.75" customHeight="1" x14ac:dyDescent="0.3">
      <c r="B27" s="82" t="s">
        <v>261</v>
      </c>
      <c r="C27" s="76"/>
      <c r="D27" s="182">
        <v>4.7152616690154137E-2</v>
      </c>
      <c r="E27" s="183">
        <v>4.0936785621745297E-2</v>
      </c>
      <c r="F27" s="184">
        <v>3.5954027563176671E-2</v>
      </c>
      <c r="G27" s="183">
        <v>2.9707987881248954E-2</v>
      </c>
      <c r="H27" s="185" t="s">
        <v>256</v>
      </c>
    </row>
    <row r="28" spans="2:8" ht="15.75" customHeight="1" x14ac:dyDescent="0.3">
      <c r="B28" s="82"/>
      <c r="C28" s="76"/>
      <c r="D28" s="186"/>
      <c r="E28" s="187"/>
      <c r="F28" s="188"/>
      <c r="G28" s="187"/>
      <c r="H28" s="189"/>
    </row>
    <row r="29" spans="2:8" ht="15.75" customHeight="1" x14ac:dyDescent="0.3">
      <c r="B29" s="82"/>
      <c r="C29" s="113"/>
      <c r="D29" s="186"/>
      <c r="E29" s="187"/>
      <c r="F29" s="188"/>
      <c r="G29" s="187"/>
      <c r="H29" s="189"/>
    </row>
    <row r="30" spans="2:8" ht="56.25" customHeight="1" x14ac:dyDescent="0.3">
      <c r="B30" s="76"/>
      <c r="C30" s="113"/>
      <c r="D30" s="169"/>
      <c r="E30" s="170"/>
      <c r="F30" s="171"/>
      <c r="G30" s="170"/>
      <c r="H30" s="172"/>
    </row>
    <row r="31" spans="2:8" x14ac:dyDescent="0.3">
      <c r="B31" s="104" t="s">
        <v>212</v>
      </c>
      <c r="C31" s="115">
        <v>1.2500000000000001E-2</v>
      </c>
      <c r="D31" s="202">
        <f>$F31*(1+D33)</f>
        <v>1.125</v>
      </c>
      <c r="E31" s="203">
        <f>$F31*(1+E33)</f>
        <v>1.1875</v>
      </c>
      <c r="F31" s="204">
        <v>1.25</v>
      </c>
      <c r="G31" s="205">
        <f>$F31*(1+G33)</f>
        <v>1.3125</v>
      </c>
      <c r="H31" s="206">
        <f>$F31*(1+H33)</f>
        <v>1.375</v>
      </c>
    </row>
    <row r="32" spans="2:8" x14ac:dyDescent="0.3">
      <c r="B32" s="77" t="s">
        <v>213</v>
      </c>
      <c r="C32" s="76"/>
      <c r="D32" s="199">
        <f>(1.5-D31)/1.5</f>
        <v>0.25</v>
      </c>
      <c r="E32" s="200">
        <f t="shared" ref="E32:H32" si="3">(1.5-E31)/1.5</f>
        <v>0.20833333333333334</v>
      </c>
      <c r="F32" s="192">
        <f t="shared" si="3"/>
        <v>0.16666666666666666</v>
      </c>
      <c r="G32" s="200">
        <f t="shared" si="3"/>
        <v>0.125</v>
      </c>
      <c r="H32" s="201">
        <f t="shared" si="3"/>
        <v>8.3333333333333329E-2</v>
      </c>
    </row>
    <row r="33" spans="2:8" x14ac:dyDescent="0.3">
      <c r="B33" s="82" t="s">
        <v>174</v>
      </c>
      <c r="C33" s="76"/>
      <c r="D33" s="178">
        <v>-0.1</v>
      </c>
      <c r="E33" s="179">
        <v>-0.05</v>
      </c>
      <c r="F33" s="180">
        <f>(F31-$F31)/$F31</f>
        <v>0</v>
      </c>
      <c r="G33" s="179">
        <v>0.05</v>
      </c>
      <c r="H33" s="181">
        <v>0.1</v>
      </c>
    </row>
    <row r="34" spans="2:8" ht="15.75" customHeight="1" x14ac:dyDescent="0.3">
      <c r="B34" s="82" t="s">
        <v>261</v>
      </c>
      <c r="C34" s="76"/>
      <c r="D34" s="182">
        <v>3.8737324783819194E-2</v>
      </c>
      <c r="E34" s="183">
        <v>3.735712663786428E-2</v>
      </c>
      <c r="F34" s="184">
        <v>3.5954027563176671E-2</v>
      </c>
      <c r="G34" s="183">
        <v>3.4476122290965749E-2</v>
      </c>
      <c r="H34" s="185">
        <v>3.2962119865533435E-2</v>
      </c>
    </row>
    <row r="35" spans="2:8" ht="15.75" customHeight="1" x14ac:dyDescent="0.3">
      <c r="B35" s="82"/>
      <c r="C35" s="76"/>
      <c r="D35" s="186"/>
      <c r="E35" s="187"/>
      <c r="F35" s="188"/>
      <c r="G35" s="187"/>
      <c r="H35" s="189"/>
    </row>
    <row r="36" spans="2:8" ht="15.75" customHeight="1" x14ac:dyDescent="0.3">
      <c r="B36" s="82"/>
      <c r="C36" s="113"/>
      <c r="D36" s="186"/>
      <c r="E36" s="187"/>
      <c r="F36" s="188"/>
      <c r="G36" s="187"/>
      <c r="H36" s="189"/>
    </row>
    <row r="37" spans="2:8" ht="56.25" customHeight="1" x14ac:dyDescent="0.3">
      <c r="B37" s="76"/>
      <c r="C37" s="113"/>
      <c r="D37" s="169"/>
      <c r="E37" s="170"/>
      <c r="F37" s="171"/>
      <c r="G37" s="170"/>
      <c r="H37" s="172"/>
    </row>
    <row r="38" spans="2:8" x14ac:dyDescent="0.3">
      <c r="B38" s="77" t="s">
        <v>157</v>
      </c>
      <c r="C38" s="116">
        <v>60</v>
      </c>
      <c r="D38" s="207">
        <f>$F38*(1+D39)</f>
        <v>54</v>
      </c>
      <c r="E38" s="208">
        <f>$F38*(1+E39)</f>
        <v>57</v>
      </c>
      <c r="F38" s="209">
        <v>60</v>
      </c>
      <c r="G38" s="210">
        <f>$F38*(1+G39)</f>
        <v>63</v>
      </c>
      <c r="H38" s="211">
        <f>$F38*(1+H39)</f>
        <v>66</v>
      </c>
    </row>
    <row r="39" spans="2:8" x14ac:dyDescent="0.3">
      <c r="B39" s="82" t="s">
        <v>174</v>
      </c>
      <c r="C39" s="76"/>
      <c r="D39" s="178">
        <v>-0.1</v>
      </c>
      <c r="E39" s="179">
        <v>-0.05</v>
      </c>
      <c r="F39" s="180">
        <f t="shared" ref="F39" si="4">(F38-$F38)/$F38</f>
        <v>0</v>
      </c>
      <c r="G39" s="179">
        <v>0.05</v>
      </c>
      <c r="H39" s="181">
        <v>0.1</v>
      </c>
    </row>
    <row r="40" spans="2:8" ht="15.75" customHeight="1" x14ac:dyDescent="0.3">
      <c r="B40" s="82" t="s">
        <v>261</v>
      </c>
      <c r="C40" s="76"/>
      <c r="D40" s="182">
        <v>2.9124652683560015E-2</v>
      </c>
      <c r="E40" s="183">
        <v>3.2711723805841864E-2</v>
      </c>
      <c r="F40" s="184">
        <v>3.5954027563176671E-2</v>
      </c>
      <c r="G40" s="183">
        <v>3.8952555101374298E-2</v>
      </c>
      <c r="H40" s="185">
        <v>4.1767402246254193E-2</v>
      </c>
    </row>
    <row r="41" spans="2:8" ht="15.75" customHeight="1" x14ac:dyDescent="0.3">
      <c r="B41" s="82"/>
      <c r="C41" s="76"/>
      <c r="D41" s="186"/>
      <c r="E41" s="187"/>
      <c r="F41" s="188"/>
      <c r="G41" s="187"/>
      <c r="H41" s="189"/>
    </row>
    <row r="42" spans="2:8" ht="15.75" customHeight="1" x14ac:dyDescent="0.3">
      <c r="B42" s="82"/>
      <c r="C42" s="113"/>
      <c r="D42" s="186"/>
      <c r="E42" s="187"/>
      <c r="F42" s="188"/>
      <c r="G42" s="187"/>
      <c r="H42" s="189"/>
    </row>
    <row r="43" spans="2:8" x14ac:dyDescent="0.3">
      <c r="B43" s="76"/>
      <c r="C43" s="113"/>
      <c r="D43" s="190"/>
      <c r="E43" s="191"/>
      <c r="F43" s="192"/>
      <c r="G43" s="191"/>
      <c r="H43" s="193"/>
    </row>
    <row r="44" spans="2:8" x14ac:dyDescent="0.3">
      <c r="B44" s="78"/>
      <c r="C44" s="78"/>
      <c r="D44" s="212"/>
      <c r="E44" s="213"/>
      <c r="F44" s="214"/>
      <c r="G44" s="213"/>
      <c r="H44" s="215"/>
    </row>
    <row r="45" spans="2:8" ht="113.25" customHeight="1" x14ac:dyDescent="0.3">
      <c r="B45" s="244" t="s">
        <v>262</v>
      </c>
      <c r="C45" s="245"/>
      <c r="D45" s="245"/>
      <c r="E45" s="245"/>
      <c r="F45" s="245"/>
      <c r="G45" s="245"/>
      <c r="H45" s="246"/>
    </row>
    <row r="49" spans="4:7" x14ac:dyDescent="0.3">
      <c r="D49" s="60"/>
      <c r="E49" s="60"/>
      <c r="F49" s="60"/>
      <c r="G49" s="60"/>
    </row>
    <row r="50" spans="4:7" x14ac:dyDescent="0.3">
      <c r="D50" s="60"/>
      <c r="E50" s="60"/>
      <c r="F50" s="60"/>
      <c r="G50" s="60"/>
    </row>
    <row r="51" spans="4:7" x14ac:dyDescent="0.3">
      <c r="D51" s="60"/>
      <c r="E51" s="62"/>
      <c r="F51" s="60"/>
      <c r="G51" s="60"/>
    </row>
    <row r="52" spans="4:7" x14ac:dyDescent="0.3">
      <c r="D52" s="60"/>
      <c r="E52" s="60"/>
      <c r="F52" s="60"/>
      <c r="G52" s="60"/>
    </row>
    <row r="53" spans="4:7" x14ac:dyDescent="0.3">
      <c r="D53" s="60"/>
      <c r="E53" s="60"/>
      <c r="F53" s="60"/>
      <c r="G53" s="60"/>
    </row>
    <row r="54" spans="4:7" x14ac:dyDescent="0.3">
      <c r="D54" s="60"/>
      <c r="E54" s="60"/>
      <c r="F54" s="60"/>
      <c r="G54" s="60"/>
    </row>
  </sheetData>
  <mergeCells count="1">
    <mergeCell ref="B45:H4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22"/>
  <sheetViews>
    <sheetView workbookViewId="0">
      <selection activeCell="F27" sqref="F27"/>
    </sheetView>
  </sheetViews>
  <sheetFormatPr baseColWidth="10" defaultColWidth="11.44140625" defaultRowHeight="11.4" x14ac:dyDescent="0.2"/>
  <cols>
    <col min="1" max="2" width="11.44140625" style="1"/>
    <col min="3" max="3" width="46.44140625" style="1" customWidth="1"/>
    <col min="4" max="4" width="11.44140625" style="1"/>
    <col min="5" max="5" width="12.44140625" style="1" bestFit="1" customWidth="1"/>
    <col min="6" max="6" width="32.5546875" style="1" customWidth="1"/>
    <col min="7" max="16384" width="11.44140625" style="1"/>
  </cols>
  <sheetData>
    <row r="2" spans="3:6" ht="12" x14ac:dyDescent="0.25">
      <c r="C2" s="33" t="s">
        <v>198</v>
      </c>
    </row>
    <row r="4" spans="3:6" ht="12" x14ac:dyDescent="0.25">
      <c r="C4" s="94" t="s">
        <v>0</v>
      </c>
      <c r="D4" s="94" t="s">
        <v>1</v>
      </c>
      <c r="E4" s="94" t="s">
        <v>2</v>
      </c>
      <c r="F4" s="94" t="s">
        <v>186</v>
      </c>
    </row>
    <row r="5" spans="3:6" ht="12" x14ac:dyDescent="0.2">
      <c r="C5" s="2" t="s">
        <v>187</v>
      </c>
      <c r="D5" s="2" t="s">
        <v>93</v>
      </c>
      <c r="E5" s="2">
        <v>200</v>
      </c>
      <c r="F5" s="2"/>
    </row>
    <row r="6" spans="3:6" ht="12" x14ac:dyDescent="0.2">
      <c r="C6" s="2" t="s">
        <v>188</v>
      </c>
      <c r="D6" s="2"/>
      <c r="E6" s="2">
        <v>3</v>
      </c>
      <c r="F6" s="2" t="s">
        <v>189</v>
      </c>
    </row>
    <row r="7" spans="3:6" ht="12" x14ac:dyDescent="0.2">
      <c r="C7" s="2" t="s">
        <v>190</v>
      </c>
      <c r="D7" s="2" t="s">
        <v>191</v>
      </c>
      <c r="E7" s="2">
        <f>9*365</f>
        <v>3285</v>
      </c>
      <c r="F7" s="2" t="s">
        <v>189</v>
      </c>
    </row>
    <row r="8" spans="3:6" ht="12" x14ac:dyDescent="0.2">
      <c r="C8" s="2" t="s">
        <v>192</v>
      </c>
      <c r="D8" s="2" t="s">
        <v>193</v>
      </c>
      <c r="E8" s="10">
        <f>E5/E6*E7</f>
        <v>219000.00000000003</v>
      </c>
      <c r="F8" s="2" t="s">
        <v>194</v>
      </c>
    </row>
    <row r="9" spans="3:6" ht="12" x14ac:dyDescent="0.2">
      <c r="C9" s="2" t="s">
        <v>195</v>
      </c>
      <c r="D9" s="2" t="s">
        <v>11</v>
      </c>
      <c r="E9" s="4">
        <v>0.3</v>
      </c>
      <c r="F9" s="2" t="s">
        <v>189</v>
      </c>
    </row>
    <row r="10" spans="3:6" ht="12" x14ac:dyDescent="0.2">
      <c r="C10" s="2" t="s">
        <v>196</v>
      </c>
      <c r="D10" s="2" t="s">
        <v>193</v>
      </c>
      <c r="E10" s="10">
        <f>E8*(1+E9)</f>
        <v>284700.00000000006</v>
      </c>
      <c r="F10" s="2" t="s">
        <v>194</v>
      </c>
    </row>
    <row r="11" spans="3:6" ht="12" x14ac:dyDescent="0.2">
      <c r="C11" s="2" t="s">
        <v>199</v>
      </c>
      <c r="D11" s="2" t="s">
        <v>184</v>
      </c>
      <c r="E11" s="10">
        <f>E10/E5</f>
        <v>1423.5000000000002</v>
      </c>
      <c r="F11" s="2" t="s">
        <v>194</v>
      </c>
    </row>
    <row r="12" spans="3:6" ht="12" x14ac:dyDescent="0.25">
      <c r="C12" s="8" t="s">
        <v>202</v>
      </c>
      <c r="D12" s="8" t="s">
        <v>184</v>
      </c>
      <c r="E12" s="20">
        <f>ROUND(E11/5,-1)*5</f>
        <v>1400</v>
      </c>
      <c r="F12" s="8" t="s">
        <v>194</v>
      </c>
    </row>
    <row r="16" spans="3:6" ht="12" x14ac:dyDescent="0.25">
      <c r="C16" s="33" t="s">
        <v>185</v>
      </c>
    </row>
    <row r="18" spans="3:6" ht="12" x14ac:dyDescent="0.25">
      <c r="C18" s="94" t="s">
        <v>0</v>
      </c>
      <c r="D18" s="94" t="s">
        <v>1</v>
      </c>
      <c r="E18" s="94" t="s">
        <v>2</v>
      </c>
      <c r="F18" s="94" t="s">
        <v>186</v>
      </c>
    </row>
    <row r="19" spans="3:6" ht="12" x14ac:dyDescent="0.2">
      <c r="C19" s="2" t="s">
        <v>187</v>
      </c>
      <c r="D19" s="2" t="s">
        <v>93</v>
      </c>
      <c r="E19" s="2">
        <v>200</v>
      </c>
      <c r="F19" s="2"/>
    </row>
    <row r="20" spans="3:6" ht="12" x14ac:dyDescent="0.2">
      <c r="C20" s="2" t="s">
        <v>197</v>
      </c>
      <c r="D20" s="2" t="s">
        <v>11</v>
      </c>
      <c r="E20" s="4">
        <v>0.1</v>
      </c>
      <c r="F20" s="2" t="s">
        <v>189</v>
      </c>
    </row>
    <row r="21" spans="3:6" ht="12" x14ac:dyDescent="0.2">
      <c r="C21" s="2" t="s">
        <v>196</v>
      </c>
      <c r="D21" s="2" t="s">
        <v>193</v>
      </c>
      <c r="E21" s="10">
        <f>E10/(1+E20)</f>
        <v>258818.18181818185</v>
      </c>
      <c r="F21" s="2" t="s">
        <v>194</v>
      </c>
    </row>
    <row r="22" spans="3:6" ht="12" x14ac:dyDescent="0.2">
      <c r="C22" s="2" t="s">
        <v>199</v>
      </c>
      <c r="D22" s="2" t="s">
        <v>184</v>
      </c>
      <c r="E22" s="10">
        <f>E21/E19</f>
        <v>1294.0909090909092</v>
      </c>
      <c r="F22" s="2" t="s">
        <v>194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Eingabe und Übersicht</vt:lpstr>
      <vt:lpstr>Wirtschaftlichkeit</vt:lpstr>
      <vt:lpstr>Prämissen</vt:lpstr>
      <vt:lpstr>Listen</vt:lpstr>
      <vt:lpstr>Beziehungen_Schlüsselvariablen</vt:lpstr>
      <vt:lpstr>Sensitivitätsanalyse</vt:lpstr>
      <vt:lpstr>AbschätzungStromverbrauch</vt:lpstr>
      <vt:lpstr>HFKW</vt:lpstr>
      <vt:lpstr>Natürliche</vt:lpstr>
      <vt:lpstr>Beziehungen_Schlüsselvariablen!Zone_d_impression</vt:lpstr>
      <vt:lpstr>'Eingabe und Übersicht'!Zone_d_impression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2015-06-17T06:20:20Z</dcterms:modified>
</cp:coreProperties>
</file>