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\\eaw-depts\surf$\surf-KB\RiverRestoration\Wirkungskontrolle\0_Praxisdokumentation\Upload_Simone_202501\DE\"/>
    </mc:Choice>
  </mc:AlternateContent>
  <xr:revisionPtr revIDLastSave="0" documentId="13_ncr:1_{41F38A7F-0BA7-47BD-AC02-C47798BAAF0A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Indikator 1.1" sheetId="27" r:id="rId1"/>
    <sheet name="Indikator 1.2" sheetId="36" r:id="rId2"/>
    <sheet name="Indikatoren 1.3 + 1.4" sheetId="39" r:id="rId3"/>
    <sheet name="Indikator 1.5" sheetId="2" r:id="rId4"/>
    <sheet name="Indikator 1.6" sheetId="4" r:id="rId5"/>
    <sheet name="Indikator 8.1" sheetId="45" r:id="rId6"/>
    <sheet name="Indikator 8.2" sheetId="42" r:id="rId7"/>
    <sheet name="Indikator 8.3" sheetId="46" r:id="rId8"/>
    <sheet name="Indikator 9.1" sheetId="47" r:id="rId9"/>
    <sheet name="Änderungsverzeichnis" sheetId="4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42" l="1"/>
  <c r="C16" i="47"/>
  <c r="C14" i="47"/>
  <c r="C13" i="47"/>
  <c r="S10" i="27"/>
  <c r="S9" i="27"/>
  <c r="C15" i="47"/>
  <c r="O6" i="39"/>
  <c r="I8" i="2"/>
  <c r="G38" i="45"/>
  <c r="H38" i="45"/>
  <c r="I38" i="45"/>
  <c r="G37" i="45"/>
  <c r="I37" i="45"/>
  <c r="G36" i="45"/>
  <c r="I36" i="45"/>
  <c r="G35" i="45"/>
  <c r="H35" i="45"/>
  <c r="I35" i="45"/>
  <c r="G34" i="45"/>
  <c r="H34" i="45"/>
  <c r="I34" i="45"/>
  <c r="H8" i="46"/>
  <c r="C14" i="46"/>
  <c r="H10" i="46"/>
  <c r="H9" i="46"/>
  <c r="H11" i="46"/>
  <c r="M7" i="46"/>
  <c r="M8" i="46"/>
  <c r="G23" i="45"/>
  <c r="I23" i="45"/>
  <c r="H36" i="45"/>
  <c r="H37" i="45"/>
  <c r="G21" i="45"/>
  <c r="I21" i="45"/>
  <c r="H20" i="45"/>
  <c r="H23" i="45"/>
  <c r="H22" i="45"/>
  <c r="G22" i="45"/>
  <c r="I22" i="45"/>
  <c r="H21" i="45"/>
  <c r="G20" i="45"/>
  <c r="I20" i="45"/>
  <c r="H19" i="45"/>
  <c r="G19" i="45"/>
  <c r="I19" i="45"/>
  <c r="K8" i="39" a="1"/>
  <c r="K8" i="39"/>
  <c r="K9" i="39" a="1"/>
  <c r="K9" i="39"/>
  <c r="K10" i="39" a="1"/>
  <c r="K11" i="39" a="1"/>
  <c r="K12" i="39" a="1"/>
  <c r="K13" i="39" a="1"/>
  <c r="K14" i="39" a="1"/>
  <c r="K15" i="39" a="1"/>
  <c r="K16" i="39" a="1"/>
  <c r="K17" i="39" a="1"/>
  <c r="K18" i="39" a="1"/>
  <c r="K10" i="39"/>
  <c r="K11" i="39"/>
  <c r="K12" i="39"/>
  <c r="K13" i="39"/>
  <c r="K14" i="39"/>
  <c r="K15" i="39"/>
  <c r="K16" i="39"/>
  <c r="K17" i="39"/>
  <c r="K18" i="39"/>
  <c r="O7" i="39"/>
  <c r="S6" i="39"/>
  <c r="G7" i="27"/>
  <c r="G9" i="27"/>
  <c r="G10" i="27"/>
  <c r="G11" i="27"/>
  <c r="S8" i="27"/>
  <c r="S7" i="39"/>
  <c r="S8" i="39"/>
  <c r="S9" i="39"/>
  <c r="O8" i="39"/>
  <c r="O9" i="39"/>
  <c r="O10" i="39"/>
  <c r="J12" i="36"/>
  <c r="J13" i="36"/>
  <c r="J14" i="36"/>
  <c r="J15" i="36"/>
  <c r="J16" i="36"/>
  <c r="J17" i="36"/>
  <c r="J18" i="36"/>
  <c r="J19" i="36"/>
  <c r="J20" i="36"/>
  <c r="J21" i="36"/>
  <c r="J22" i="36"/>
  <c r="J23" i="36"/>
  <c r="J24" i="36"/>
  <c r="J25" i="36"/>
  <c r="J26" i="36"/>
  <c r="J27" i="36"/>
  <c r="J28" i="36"/>
  <c r="J29" i="36"/>
  <c r="J30" i="36"/>
  <c r="J31" i="36"/>
  <c r="J32" i="36"/>
  <c r="J33" i="36"/>
  <c r="J34" i="36"/>
  <c r="J35" i="36"/>
  <c r="J36" i="36"/>
  <c r="J37" i="36"/>
  <c r="J38" i="36"/>
  <c r="J39" i="36"/>
  <c r="J40" i="36"/>
  <c r="J41" i="36"/>
  <c r="J44" i="36"/>
  <c r="K12" i="36"/>
  <c r="K13" i="36"/>
  <c r="K14" i="36"/>
  <c r="K15" i="36"/>
  <c r="K16" i="36"/>
  <c r="K17" i="36"/>
  <c r="K18" i="36"/>
  <c r="K19" i="36"/>
  <c r="K20" i="36"/>
  <c r="K21" i="36"/>
  <c r="K22" i="36"/>
  <c r="K23" i="36"/>
  <c r="K24" i="36"/>
  <c r="K25" i="36"/>
  <c r="K26" i="36"/>
  <c r="K27" i="36"/>
  <c r="K28" i="36"/>
  <c r="K29" i="36"/>
  <c r="K30" i="36"/>
  <c r="K31" i="36"/>
  <c r="K32" i="36"/>
  <c r="K33" i="36"/>
  <c r="K34" i="36"/>
  <c r="K35" i="36"/>
  <c r="K36" i="36"/>
  <c r="K37" i="36"/>
  <c r="K38" i="36"/>
  <c r="K39" i="36"/>
  <c r="K40" i="36"/>
  <c r="K41" i="36"/>
  <c r="K44" i="36"/>
  <c r="L12" i="36"/>
  <c r="L13" i="36"/>
  <c r="L14" i="36"/>
  <c r="L15" i="36"/>
  <c r="L16" i="36"/>
  <c r="L17" i="36"/>
  <c r="L18" i="36"/>
  <c r="L19" i="36"/>
  <c r="L20" i="36"/>
  <c r="L21" i="36"/>
  <c r="L22" i="36"/>
  <c r="L23" i="36"/>
  <c r="L24" i="36"/>
  <c r="L25" i="36"/>
  <c r="L26" i="36"/>
  <c r="L27" i="36"/>
  <c r="L28" i="36"/>
  <c r="L29" i="36"/>
  <c r="L30" i="36"/>
  <c r="L31" i="36"/>
  <c r="L32" i="36"/>
  <c r="L33" i="36"/>
  <c r="L34" i="36"/>
  <c r="L35" i="36"/>
  <c r="L36" i="36"/>
  <c r="L37" i="36"/>
  <c r="L38" i="36"/>
  <c r="L39" i="36"/>
  <c r="L40" i="36"/>
  <c r="L41" i="36"/>
  <c r="L44" i="36"/>
  <c r="M12" i="36"/>
  <c r="M13" i="36"/>
  <c r="M14" i="36"/>
  <c r="M15" i="36"/>
  <c r="M16" i="36"/>
  <c r="M17" i="36"/>
  <c r="M18" i="36"/>
  <c r="M19" i="36"/>
  <c r="M20" i="36"/>
  <c r="M21" i="36"/>
  <c r="M22" i="36"/>
  <c r="M23" i="36"/>
  <c r="M24" i="36"/>
  <c r="M25" i="36"/>
  <c r="M26" i="36"/>
  <c r="M27" i="36"/>
  <c r="M28" i="36"/>
  <c r="M29" i="36"/>
  <c r="M30" i="36"/>
  <c r="M31" i="36"/>
  <c r="M32" i="36"/>
  <c r="M33" i="36"/>
  <c r="M34" i="36"/>
  <c r="M35" i="36"/>
  <c r="M36" i="36"/>
  <c r="M37" i="36"/>
  <c r="M38" i="36"/>
  <c r="M39" i="36"/>
  <c r="M40" i="36"/>
  <c r="M41" i="36"/>
  <c r="M44" i="36"/>
  <c r="N12" i="36"/>
  <c r="N13" i="36"/>
  <c r="N14" i="36"/>
  <c r="N15" i="36"/>
  <c r="N16" i="36"/>
  <c r="N17" i="36"/>
  <c r="N18" i="36"/>
  <c r="N19" i="36"/>
  <c r="N20" i="36"/>
  <c r="N21" i="36"/>
  <c r="N22" i="36"/>
  <c r="N23" i="36"/>
  <c r="N24" i="36"/>
  <c r="N25" i="36"/>
  <c r="N26" i="36"/>
  <c r="N27" i="36"/>
  <c r="N28" i="36"/>
  <c r="N29" i="36"/>
  <c r="N30" i="36"/>
  <c r="N31" i="36"/>
  <c r="N32" i="36"/>
  <c r="N33" i="36"/>
  <c r="N34" i="36"/>
  <c r="N35" i="36"/>
  <c r="N36" i="36"/>
  <c r="N37" i="36"/>
  <c r="N38" i="36"/>
  <c r="N39" i="36"/>
  <c r="N40" i="36"/>
  <c r="N41" i="36"/>
  <c r="N44" i="36"/>
  <c r="S12" i="36"/>
  <c r="J43" i="36"/>
  <c r="K43" i="36"/>
  <c r="L43" i="36"/>
  <c r="M43" i="36"/>
  <c r="N43" i="36"/>
  <c r="S7" i="36"/>
  <c r="J42" i="36"/>
  <c r="K42" i="36"/>
  <c r="L42" i="36"/>
  <c r="M42" i="36"/>
  <c r="N42" i="36"/>
  <c r="S8" i="36"/>
  <c r="J9" i="36"/>
  <c r="K9" i="36"/>
  <c r="L9" i="36"/>
  <c r="M9" i="36"/>
  <c r="N9" i="36"/>
  <c r="G8" i="4"/>
  <c r="G7" i="4"/>
  <c r="L58" i="36"/>
  <c r="L59" i="36"/>
  <c r="K58" i="36"/>
  <c r="K59" i="36"/>
  <c r="J58" i="36"/>
  <c r="J59" i="36"/>
  <c r="M58" i="36"/>
  <c r="M59" i="36"/>
  <c r="N58" i="36"/>
  <c r="N59" i="36"/>
  <c r="M45" i="36"/>
  <c r="J45" i="36"/>
  <c r="L45" i="36"/>
  <c r="K45" i="36"/>
  <c r="N45" i="36"/>
  <c r="K19" i="27"/>
  <c r="L10" i="27"/>
  <c r="K10" i="27"/>
  <c r="N10" i="27"/>
  <c r="M10" i="27"/>
  <c r="O10" i="27"/>
  <c r="O20" i="27"/>
  <c r="N20" i="27"/>
  <c r="M20" i="27"/>
  <c r="L20" i="27"/>
  <c r="K20" i="27"/>
  <c r="K30" i="27"/>
  <c r="O19" i="27"/>
  <c r="N19" i="27"/>
  <c r="M19" i="27"/>
  <c r="M30" i="27"/>
  <c r="L19" i="27"/>
  <c r="O18" i="27"/>
  <c r="N18" i="27"/>
  <c r="M18" i="27"/>
  <c r="L18" i="27"/>
  <c r="K18" i="27"/>
  <c r="O17" i="27"/>
  <c r="N17" i="27"/>
  <c r="M17" i="27"/>
  <c r="L17" i="27"/>
  <c r="K17" i="27"/>
  <c r="O16" i="27"/>
  <c r="N16" i="27"/>
  <c r="M16" i="27"/>
  <c r="L16" i="27"/>
  <c r="K16" i="27"/>
  <c r="O15" i="27"/>
  <c r="N15" i="27"/>
  <c r="M15" i="27"/>
  <c r="L15" i="27"/>
  <c r="K15" i="27"/>
  <c r="O14" i="27"/>
  <c r="N14" i="27"/>
  <c r="M14" i="27"/>
  <c r="L14" i="27"/>
  <c r="L26" i="27"/>
  <c r="K14" i="27"/>
  <c r="O13" i="27"/>
  <c r="N13" i="27"/>
  <c r="M13" i="27"/>
  <c r="L13" i="27"/>
  <c r="K13" i="27"/>
  <c r="O12" i="27"/>
  <c r="N12" i="27"/>
  <c r="M12" i="27"/>
  <c r="L12" i="27"/>
  <c r="K12" i="27"/>
  <c r="O22" i="27"/>
  <c r="M10" i="36"/>
  <c r="J10" i="36"/>
  <c r="N10" i="36"/>
  <c r="K10" i="36"/>
  <c r="L10" i="36"/>
  <c r="M22" i="27"/>
  <c r="K22" i="27"/>
  <c r="K31" i="27"/>
  <c r="N31" i="27"/>
  <c r="N30" i="27"/>
  <c r="K26" i="27"/>
  <c r="K27" i="27"/>
  <c r="O31" i="27"/>
  <c r="O30" i="27"/>
  <c r="L31" i="27"/>
  <c r="L30" i="27"/>
  <c r="O27" i="27"/>
  <c r="O26" i="27"/>
  <c r="M27" i="27"/>
  <c r="M26" i="27"/>
  <c r="N27" i="27"/>
  <c r="N26" i="27"/>
  <c r="M31" i="27"/>
  <c r="L27" i="27"/>
  <c r="N22" i="27"/>
  <c r="L23" i="27"/>
  <c r="M23" i="27"/>
  <c r="L22" i="27"/>
  <c r="N23" i="27"/>
  <c r="K23" i="27"/>
  <c r="K24" i="27"/>
  <c r="O23" i="27"/>
  <c r="O24" i="27"/>
  <c r="L28" i="27"/>
  <c r="K32" i="27"/>
  <c r="K28" i="27"/>
  <c r="M32" i="27"/>
  <c r="M28" i="27"/>
  <c r="N32" i="27"/>
  <c r="N28" i="27"/>
  <c r="O28" i="27"/>
  <c r="N24" i="27"/>
  <c r="M24" i="27"/>
  <c r="O32" i="27"/>
  <c r="L32" i="27"/>
  <c r="L24" i="27"/>
  <c r="I9" i="2"/>
  <c r="I10" i="2"/>
  <c r="I11" i="2"/>
  <c r="I12" i="2"/>
  <c r="I15" i="2"/>
  <c r="I16" i="2"/>
  <c r="I17" i="2"/>
  <c r="G9" i="4"/>
  <c r="G10" i="4"/>
  <c r="G11" i="4"/>
  <c r="G12" i="4"/>
  <c r="H11" i="4"/>
  <c r="H10" i="4"/>
  <c r="H7" i="4"/>
  <c r="H8" i="4"/>
  <c r="H9" i="4"/>
  <c r="H12" i="4"/>
  <c r="S11" i="36"/>
  <c r="S10" i="36"/>
  <c r="S9" i="36"/>
  <c r="S13" i="36"/>
  <c r="C17" i="47" l="1"/>
</calcChain>
</file>

<file path=xl/sharedStrings.xml><?xml version="1.0" encoding="utf-8"?>
<sst xmlns="http://schemas.openxmlformats.org/spreadsheetml/2006/main" count="789" uniqueCount="350">
  <si>
    <t>0_10</t>
  </si>
  <si>
    <t>1_27</t>
  </si>
  <si>
    <t>1_28</t>
  </si>
  <si>
    <t>1_30</t>
  </si>
  <si>
    <t>Etwas mehr Totholz und Kolke</t>
  </si>
  <si>
    <t>1_29</t>
  </si>
  <si>
    <t>1_31</t>
  </si>
  <si>
    <t>1_32</t>
  </si>
  <si>
    <t>1_34</t>
  </si>
  <si>
    <t>1_37</t>
  </si>
  <si>
    <t>Nr. QP</t>
  </si>
  <si>
    <t>Max. Wassertiefe</t>
  </si>
  <si>
    <t>Benetzte Breite QP</t>
  </si>
  <si>
    <t>1_19</t>
  </si>
  <si>
    <t>1_20</t>
  </si>
  <si>
    <t>1_21</t>
  </si>
  <si>
    <t>1_22</t>
  </si>
  <si>
    <t>1_23</t>
  </si>
  <si>
    <t>1_24</t>
  </si>
  <si>
    <t>1_25</t>
  </si>
  <si>
    <t>1_26</t>
  </si>
  <si>
    <t>1_38</t>
  </si>
  <si>
    <t>1_39</t>
  </si>
  <si>
    <t>1_40</t>
  </si>
  <si>
    <t>1_41</t>
  </si>
  <si>
    <t>Nr. Punkt QP</t>
  </si>
  <si>
    <t>Lage im QP</t>
  </si>
  <si>
    <t>Tiefe</t>
  </si>
  <si>
    <t>Fliessgeschwindigkeit</t>
  </si>
  <si>
    <t>0_01</t>
  </si>
  <si>
    <t>0_04</t>
  </si>
  <si>
    <t>Projektcode (ID)</t>
  </si>
  <si>
    <t>Erhebungszeitpunkt</t>
  </si>
  <si>
    <t>1_08</t>
  </si>
  <si>
    <t>1_09</t>
  </si>
  <si>
    <t>1_10</t>
  </si>
  <si>
    <t>1_11</t>
  </si>
  <si>
    <t>1_12</t>
  </si>
  <si>
    <t>1_13</t>
  </si>
  <si>
    <t>1_14</t>
  </si>
  <si>
    <t>1_15</t>
  </si>
  <si>
    <t>1_16</t>
  </si>
  <si>
    <t>1_17</t>
  </si>
  <si>
    <t>1_18</t>
  </si>
  <si>
    <t>Indikatoren 1.3 Wassertiefe und 1.4 Fliessgeschwindigkeit</t>
  </si>
  <si>
    <t>Bewertung Indikator 1.3 Wassertiefe</t>
  </si>
  <si>
    <t>Bewertung Indikator 1.4 Fliessgeschwindigkeit</t>
  </si>
  <si>
    <t>Daten aus Eingabeformular</t>
  </si>
  <si>
    <t>Indikator 1.5 Unterstandsangebot</t>
  </si>
  <si>
    <t>Bank</t>
  </si>
  <si>
    <t>Kolk</t>
  </si>
  <si>
    <t>Hinterwasser</t>
  </si>
  <si>
    <t>Flachwasser</t>
  </si>
  <si>
    <t xml:space="preserve">Export GIS </t>
  </si>
  <si>
    <t>Unterstände ausserhalb Uferlinie</t>
  </si>
  <si>
    <t>Unterstände innerhalb der Uferlinie (= benetzte Fläche)</t>
  </si>
  <si>
    <t>Mittlere benetzte Breite [m]</t>
  </si>
  <si>
    <t>Standardabweichung max. Wassertiefe [m]</t>
  </si>
  <si>
    <t>Mittelwert max. Wassertiefe [m]</t>
  </si>
  <si>
    <t>Variationskoeffizient max. Wassertiefe [%]</t>
  </si>
  <si>
    <t>Standardisierter Wert Wassertiefe [-]</t>
  </si>
  <si>
    <t>Standardisierter Wert Fliessgeschwindigkeit [-]</t>
  </si>
  <si>
    <t>Variationskoeffizient Fliessgeschwindigkeit [%]</t>
  </si>
  <si>
    <t>Mittelwert Fliessgeschwindigkeit [m/s]</t>
  </si>
  <si>
    <t>Standardabweichung Fliessgeschwindigkeit [m/s]</t>
  </si>
  <si>
    <t>Gesamte betrachtete Fläche (= benetzte Fläche + Unterstände ausserhalb Uferlinie) [m2]</t>
  </si>
  <si>
    <t>Aktuelles Unterstandsangebot [%]</t>
  </si>
  <si>
    <t>Anteil Unterstandsangebot am Referenzzustand [%]</t>
  </si>
  <si>
    <t>Abweichung vom Referenzzustand [%]</t>
  </si>
  <si>
    <t>Referenzbezug Unterstandsangebot</t>
  </si>
  <si>
    <t>Standardisierter Wert Unterstandsangebot [-]</t>
  </si>
  <si>
    <t>0_11</t>
  </si>
  <si>
    <t>Benetzte Fläche [m2]</t>
  </si>
  <si>
    <t>Bewertung Indikator 1.5 Unterstandsangebot</t>
  </si>
  <si>
    <t>Export GIS</t>
  </si>
  <si>
    <t>Indikator 1.6 Substrat</t>
  </si>
  <si>
    <t>Fläche [m2]</t>
  </si>
  <si>
    <t>Beschreibung</t>
  </si>
  <si>
    <t>Mobilisierbarkeit (Substrattyp)</t>
  </si>
  <si>
    <t>Schwebstoffablagerungen</t>
  </si>
  <si>
    <t>Feingeschiebe</t>
  </si>
  <si>
    <t>Grobgeschiebe</t>
  </si>
  <si>
    <t>Grobes Sohlenmaterial</t>
  </si>
  <si>
    <t>Sohlenmaterial mit Geschiebe durchsetzt</t>
  </si>
  <si>
    <t>Mobilisierbarkeit: Bewertung</t>
  </si>
  <si>
    <t>Flächenanteil p [%]</t>
  </si>
  <si>
    <t>Bewertung Indikator 1.6 Substrat (Mobilisierbarkeit)</t>
  </si>
  <si>
    <t>Becken</t>
  </si>
  <si>
    <t>Stufe</t>
  </si>
  <si>
    <t>Schnelle</t>
  </si>
  <si>
    <t>Rinne</t>
  </si>
  <si>
    <t>Furt</t>
  </si>
  <si>
    <t xml:space="preserve"> </t>
  </si>
  <si>
    <t>Nr.</t>
  </si>
  <si>
    <t>Indikator 1.1 Sohlenstruktur</t>
  </si>
  <si>
    <t>Bewertung Indikator 1.1 Sohlenstruktur</t>
  </si>
  <si>
    <t>Indikator 1.2 Uferstruktur</t>
  </si>
  <si>
    <t>Bewertung Indikator 1.2 Uferstruktur</t>
  </si>
  <si>
    <t>n</t>
  </si>
  <si>
    <t>Länge Verbau undurchlässig linear [m]</t>
  </si>
  <si>
    <t>Länge Verbau durchlässig linear [m]</t>
  </si>
  <si>
    <t>Länge Ufer [m]</t>
  </si>
  <si>
    <t>Standardisierter Wert Uferstruktur [-]</t>
  </si>
  <si>
    <t>Standardisierter Wert Mobilisierbarkeit Substrat [-]</t>
  </si>
  <si>
    <t>Aktuelle Fläche Unterstände in benetzter Fläche und ausserhalb Uferlinie [m2]</t>
  </si>
  <si>
    <t>0_09</t>
  </si>
  <si>
    <t>Länge Unterabschnitt [m]</t>
  </si>
  <si>
    <t>Parameter Längsverbauung (AVerb)</t>
  </si>
  <si>
    <t>Parameter Strukturelemente (AStruktur)</t>
  </si>
  <si>
    <t>Einheitslängenabschnitt</t>
  </si>
  <si>
    <t>Anzahl Strukturtypen für jeden Einheitslängenabschnitt</t>
  </si>
  <si>
    <t>Anzahl Strukturen für jeden Einheitslängenabschnitt</t>
  </si>
  <si>
    <r>
      <t>Bewertung Sohlenstruktur</t>
    </r>
    <r>
      <rPr>
        <sz val="11"/>
        <rFont val="Calibri"/>
        <family val="2"/>
        <scheme val="minor"/>
      </rPr>
      <t xml:space="preserve"> für jeden Einheitslängenabschnitt</t>
    </r>
  </si>
  <si>
    <t>Länge Verbau undurchlässig linear für jeden Einheitslängenabschnitt [m]</t>
  </si>
  <si>
    <r>
      <t xml:space="preserve">A Struk </t>
    </r>
    <r>
      <rPr>
        <sz val="11"/>
        <color theme="1"/>
        <rFont val="Calibri"/>
        <family val="2"/>
        <scheme val="minor"/>
      </rPr>
      <t>für jeden Einheitslängenabschnitt</t>
    </r>
  </si>
  <si>
    <t>Länge des Einheitslängenabschnitts [m]</t>
  </si>
  <si>
    <t>Code 12X</t>
  </si>
  <si>
    <t>Code 11X</t>
  </si>
  <si>
    <t>Einheitslängenabschnitt*</t>
  </si>
  <si>
    <t>* Manuell attributiert oder via GIS</t>
  </si>
  <si>
    <t>Anzahl Strukturen pro Strukturtyp</t>
  </si>
  <si>
    <t>* Manuell attributiert oder automatisiert via GIS</t>
  </si>
  <si>
    <t>Dichte von Strukturen pro Einheitslänge</t>
  </si>
  <si>
    <t>Dichte von Strukturen einer Rinne-Furt-Schnelle-Sequenz  pro Einheitslänge</t>
  </si>
  <si>
    <t>Anzahl Strukturen einer Rinne-Furt-Schnelle-Sequenz für jeden Einheitslängenabschnitt</t>
  </si>
  <si>
    <t>Anzahl Strukturtypen einer Rinne-Furt-Schnelle-Sequenz für jeden Einheitslängenabschnitt</t>
  </si>
  <si>
    <t>Alle Strukturtypen</t>
  </si>
  <si>
    <t>Einheitslänge [m]</t>
  </si>
  <si>
    <t>Länge des Einheitslängenabschnitts [m] -&gt; aus Indikator 1.1</t>
  </si>
  <si>
    <t>Anzahl Einheitslängen -&gt; aus Indikator 1.1.</t>
  </si>
  <si>
    <t>Fläche Sohle [m2]</t>
  </si>
  <si>
    <t>Mittlere Sohlenbreite [m]</t>
  </si>
  <si>
    <t>Länge Talweg [m]</t>
  </si>
  <si>
    <t>Anzahl Einheitslängen pro Einheitslängenabschnitt</t>
  </si>
  <si>
    <t>Anzahl Sohlenstrukturen [-]</t>
  </si>
  <si>
    <r>
      <t xml:space="preserve">Rinne-Furt-Schnelle-Sequenz </t>
    </r>
    <r>
      <rPr>
        <sz val="11"/>
        <rFont val="Calibri"/>
        <family val="2"/>
        <scheme val="minor"/>
      </rPr>
      <t>(für flachere Fliessgewässer; Gefälle &lt; 3 %)</t>
    </r>
  </si>
  <si>
    <t>Manuelle Eingabe/ Automatisierte Berechnung (in grau)</t>
  </si>
  <si>
    <t>Übertrag aus Umsetzungskontrolle oder GIS/ Automatisierte Berechnung (in grau)</t>
  </si>
  <si>
    <t>Automatisierte Berechnung der Variablen für die Bewertung (in grau)</t>
  </si>
  <si>
    <t>G1_42_Stru</t>
  </si>
  <si>
    <t>G1_43_Flae</t>
  </si>
  <si>
    <t>Automatisierte Berechnung (in grau)</t>
  </si>
  <si>
    <t>Automatisierte Berechnung der Variablen für die Bewertung (in grau/ rot)</t>
  </si>
  <si>
    <t>Daten aus Eingabeformular/ Automatiserte Berechnung (in grau)</t>
  </si>
  <si>
    <t>Werte aus der Refereneinschätzung/ Automatisierte Berechnung der Variablen für die Bewertung (in grau/ rot)</t>
  </si>
  <si>
    <t>Mobilisierbarkeit: Automatisierte Berechnung der Variablen für die Bewertung (in grau)</t>
  </si>
  <si>
    <t>G1_49_Unte</t>
  </si>
  <si>
    <t>G1_50_Flae</t>
  </si>
  <si>
    <t>G1_51_Besc</t>
  </si>
  <si>
    <t>G1_52_Mobi</t>
  </si>
  <si>
    <t>G1_53_Flae</t>
  </si>
  <si>
    <t>G1_44_Lini</t>
  </si>
  <si>
    <t>G1_45_Besc</t>
  </si>
  <si>
    <t>G1_46_Neig</t>
  </si>
  <si>
    <t>G1_47_Code</t>
  </si>
  <si>
    <t>G1_48_Laen</t>
  </si>
  <si>
    <t>Anzahl übrige Uferstrukturtypen, d.h. ohne die linear verbauten für jeden Einheitslängenabschnitt (11X, 12X)</t>
  </si>
  <si>
    <t>Nachher 1</t>
  </si>
  <si>
    <t>Die Berechnung der Formel kann reaktiviert werden, indem man</t>
  </si>
  <si>
    <t>Anzahl Einheitslängen entlang des Talwegs</t>
  </si>
  <si>
    <t>Länge Ufer pro Strukturtyp</t>
  </si>
  <si>
    <t>Länge Verbau durchlässig linear für jeden Einheitslängenabschnitt [m]</t>
  </si>
  <si>
    <t>Länge Ufer für jeden Einheitslängenabschnitt [m]</t>
  </si>
  <si>
    <t>AVerb für jeden Einheitslängenabschnitt</t>
  </si>
  <si>
    <t>Linear, Verbauung durchlässig, flach</t>
  </si>
  <si>
    <t>Linear, Verbauung undurchlässig, flach</t>
  </si>
  <si>
    <t>Linear, Lockermaterial, flach</t>
  </si>
  <si>
    <t>Linear, Wurzelwerk, flach</t>
  </si>
  <si>
    <t>Linear, Fels, flach</t>
  </si>
  <si>
    <t>Konvex, Verbauung durchlässig, flach</t>
  </si>
  <si>
    <t>Konvex, Verbauung undurchlässig, flach</t>
  </si>
  <si>
    <t>Konvex, Lockermaterial, flach</t>
  </si>
  <si>
    <t>Konvex, Wurzelwerk, flach</t>
  </si>
  <si>
    <t>Konvex, Fels, flach</t>
  </si>
  <si>
    <t>Konkav, Verbauung durchlässig, flach</t>
  </si>
  <si>
    <t>Konkav, Verbauung undurchlässig, flach</t>
  </si>
  <si>
    <t>Konkav, Lockermaterial, flach</t>
  </si>
  <si>
    <t>Konkav, Wurzelwerk, flach</t>
  </si>
  <si>
    <t>Konkav, Fels, flach</t>
  </si>
  <si>
    <t>Linear, Verbauung durchlässig, steil</t>
  </si>
  <si>
    <t>Linear, Verbauung undurchlässig, steil</t>
  </si>
  <si>
    <t>Linear, Lockermaterial, steil</t>
  </si>
  <si>
    <t>Linear, Wurzelwerk, steil</t>
  </si>
  <si>
    <t>Linear, Fels, steil</t>
  </si>
  <si>
    <t>Konvex, Verbauung durchlässig, steil</t>
  </si>
  <si>
    <t>Konvex, Verbauung undurchlässig, steil</t>
  </si>
  <si>
    <t>Konvex, Lockermaterial, steil</t>
  </si>
  <si>
    <t>Konvex, Wurzelwerk, steil</t>
  </si>
  <si>
    <t>Konvex, Fels, steil</t>
  </si>
  <si>
    <t>Konkav, Verbauung durchlässig, steil</t>
  </si>
  <si>
    <t>Konkav, Verbauung undurchlässig, steil</t>
  </si>
  <si>
    <t>Konkav, Lockermaterial, steil</t>
  </si>
  <si>
    <t>Konkav, Wurzelwerk, steil</t>
  </si>
  <si>
    <t>Konkav, Fels, steil</t>
  </si>
  <si>
    <t>in die Formel klickt und dann Shift + Ctrl + Enter drückt.</t>
  </si>
  <si>
    <t>A_Verbau (gewichtetes Mittel)</t>
  </si>
  <si>
    <t>Anzahl Uferstrukturtypen pro Einheitslänge (n; gewichtetes Mittel)</t>
  </si>
  <si>
    <t>A_Struktur (gewichtetetes Mittel)</t>
  </si>
  <si>
    <t>Standardisierter Wert Sohlenstruktur (gewichtetes Mittel) [-]</t>
  </si>
  <si>
    <t>Gewässertypspezifisches Unterstandsangebot [%]</t>
  </si>
  <si>
    <t>Gesamtzahl (Dichte) an Sohlenstrukturen pro Einheitslänge (gewichtetes Mittel) [-]</t>
  </si>
  <si>
    <t>CH_BeispielV1_01</t>
  </si>
  <si>
    <t>Name Worksheet</t>
  </si>
  <si>
    <t>Datum (mm/yy)</t>
  </si>
  <si>
    <t>Version</t>
  </si>
  <si>
    <t>Änderung</t>
  </si>
  <si>
    <t>Verantwortung</t>
  </si>
  <si>
    <t>1.02</t>
  </si>
  <si>
    <t>Eawag</t>
  </si>
  <si>
    <t>Bewertung Indikator 8.1 Pflanzenart</t>
  </si>
  <si>
    <t>Daten aus Eingabeformular Set 8</t>
  </si>
  <si>
    <t>8_21</t>
  </si>
  <si>
    <t>8_22</t>
  </si>
  <si>
    <t>8_23</t>
  </si>
  <si>
    <t>8_24</t>
  </si>
  <si>
    <t>8_26</t>
  </si>
  <si>
    <t>8_27</t>
  </si>
  <si>
    <t>8_28</t>
  </si>
  <si>
    <t>Name Pflanzenart</t>
  </si>
  <si>
    <t>Zielart oder Neophyt</t>
  </si>
  <si>
    <t>Standardisierter Wert Pflanzenart</t>
  </si>
  <si>
    <t>XXX</t>
  </si>
  <si>
    <t>Zielart</t>
  </si>
  <si>
    <t>Neophyt</t>
  </si>
  <si>
    <t>Indikator 8.2 Pflanzengesellschaften</t>
  </si>
  <si>
    <t>8_35</t>
  </si>
  <si>
    <t>8_42</t>
  </si>
  <si>
    <t>Anzahl potenzielle Auenformationen</t>
  </si>
  <si>
    <t>8_43</t>
  </si>
  <si>
    <t>Shannon-Index</t>
  </si>
  <si>
    <t>8_36</t>
  </si>
  <si>
    <t>8_37</t>
  </si>
  <si>
    <t>8_38</t>
  </si>
  <si>
    <t>8_44</t>
  </si>
  <si>
    <t>Standardisierter Wert Anteil Auenformation</t>
  </si>
  <si>
    <t>8_39</t>
  </si>
  <si>
    <t>8_40</t>
  </si>
  <si>
    <t>8_41</t>
  </si>
  <si>
    <t>Summe muss = 100 % sein</t>
  </si>
  <si>
    <t>8_45</t>
  </si>
  <si>
    <t>Anteil Pioniervegetation</t>
  </si>
  <si>
    <t>8_46</t>
  </si>
  <si>
    <t>Standardisierter Wert Anteil Pioniervegetation</t>
  </si>
  <si>
    <t>Berechnungsgrundlage: Version 2.01 des Steckbriefs zu Indikator-Set 8.</t>
  </si>
  <si>
    <t xml:space="preserve">Länge Talweg/Fliessstrecke [m] </t>
  </si>
  <si>
    <t>Berechnungsgrundlage: Version 1.05 des Steckbriefs zu Indikator-Set 1.</t>
  </si>
  <si>
    <t>Anpassung der Excel-Formel zur Berechnung der Standardabweichung in den Variablen 1_19 und 1_23 (von STVEDA zu STDEV.S). Dadurch wird verhindert, dass z.B. Text in der Kolonne G:G als Messwert fehlinterpretiert wird.</t>
  </si>
  <si>
    <t>Automatisiert berechnete Werte und Variablen in grau</t>
  </si>
  <si>
    <t>Flächenanteil Wasser [%]</t>
  </si>
  <si>
    <t>Flächenanteil nackte oder wenig bewachsene Auensedimente [%]</t>
  </si>
  <si>
    <t>Flächenanteil Auenfläche mit Krautvegetation [%]</t>
  </si>
  <si>
    <t>Flächenanteil Weichholzaue [%]</t>
  </si>
  <si>
    <t>Flächenanteil Hartholzaue [%]</t>
  </si>
  <si>
    <t>Flächenanteil andere Wälder [%]</t>
  </si>
  <si>
    <t>Flächenanteil übrige Flächen [%]</t>
  </si>
  <si>
    <t>8_47</t>
  </si>
  <si>
    <t>8_48</t>
  </si>
  <si>
    <t xml:space="preserve">Individuenzahl pro Pflanzenart </t>
  </si>
  <si>
    <t xml:space="preserve">Kolonisierte Fläche pro Pflanzenart </t>
  </si>
  <si>
    <t>1-Richtwert Pflanzenart pro km Fliesstrecke</t>
  </si>
  <si>
    <t>8_26 und 8_27 werden gutachgerlich gesetzt, Beispiele sind bei den Hilfsmitteln auf www.bafu.admin.ch/wirkungskontrolle-revit im Dokument "Ufervegetation (8.1): Empfehlung und Beispiele" zu finden</t>
  </si>
  <si>
    <t>Wert aus Auswertungfile Indikator 1.1 (Zelle G8)</t>
  </si>
  <si>
    <t>Pro Art nur 8_23 oder 8_24 ausfüllen</t>
  </si>
  <si>
    <t>Individuenzahl pro Pflanzenart
pro km Fliesstrecke</t>
  </si>
  <si>
    <t>Zielarten</t>
  </si>
  <si>
    <t>Neophyten</t>
  </si>
  <si>
    <t>0-Richtwert Pflanzenart pro km Fliesstrecke</t>
  </si>
  <si>
    <t>Kolonisierte Fläche pro Pflanzenart pro km Fliesstrecke</t>
  </si>
  <si>
    <t>Ergänzung Arbeitsblätter mit Auswertung zu Indikatoren 8.1 und 8.3</t>
  </si>
  <si>
    <t>Indikatoren 8.1 und 8.3</t>
  </si>
  <si>
    <t>Indikatoren 1.3 und 1.4</t>
  </si>
  <si>
    <t>Analyse 1: Vielfalt der Auenformationen</t>
  </si>
  <si>
    <t>Analyse 2: Anteil an Pionierformationen</t>
  </si>
  <si>
    <t>Graphik zur Standardisierung der Resultate für die Pionierformationen.</t>
  </si>
  <si>
    <r>
      <t xml:space="preserve">Tabelle </t>
    </r>
    <r>
      <rPr>
        <b/>
        <sz val="9"/>
        <rFont val="Arial"/>
        <family val="2"/>
      </rPr>
      <t>8.3: 0- und 1-Richtwerte für den Shannon-Index in Abhängigkeit der potenziellen Anzahl an Formationen.</t>
    </r>
  </si>
  <si>
    <t>0-Richtwert gemäss Tab. 8.3</t>
  </si>
  <si>
    <t>1-Richtwert gemäss Tab. 8.3</t>
  </si>
  <si>
    <t>Graphik zur Standardisierung des Shannon-Indexes: Verlauf bei fünf Formationen</t>
  </si>
  <si>
    <t>Indikator 8.3 Zeitliches Mosaik</t>
  </si>
  <si>
    <t>Bewertung Indikator 8.3 Zeitliches Mosaik</t>
  </si>
  <si>
    <t>* Strukturierte aufgelöste Blockrampen werden gemäss Steckbrief als Abfolge aus Stufe (8) und Becken (9) kartiert. In der Bewertung werden für den gesamten Revitalisierungsabschnitt nur 1 Stufe und ein Becken berücksichtigt, damit die Dichte an Strukturen nicht künstlich erhöht wird.</t>
  </si>
  <si>
    <r>
      <t xml:space="preserve">Stufe-Becken-Sequenz </t>
    </r>
    <r>
      <rPr>
        <sz val="11"/>
        <rFont val="Calibri"/>
        <family val="2"/>
        <scheme val="minor"/>
      </rPr>
      <t>(für steile Gewässer; Gefälle &gt; 1 %)</t>
    </r>
    <r>
      <rPr>
        <sz val="11"/>
        <color rgb="FF00B050"/>
        <rFont val="Calibri"/>
        <family val="2"/>
        <scheme val="minor"/>
      </rPr>
      <t>*</t>
    </r>
  </si>
  <si>
    <t>Indikator 1.1</t>
  </si>
  <si>
    <t>Ergänzung Umgang mit Blockrampen (Zelle I35).</t>
  </si>
  <si>
    <t>Indikator 1.6</t>
  </si>
  <si>
    <t xml:space="preserve">Ergänzung der Auflistung um zwei weitere Verteilungen der Substrattypen </t>
  </si>
  <si>
    <t>20.12.2024</t>
  </si>
  <si>
    <t>1.03</t>
  </si>
  <si>
    <t>Format von Zelle I8 geändert und neu verlinkt auf Zelle O6 im Worksheet "Indikatoren 1.3 und 1.4".</t>
  </si>
  <si>
    <t>Indikator 1.5</t>
  </si>
  <si>
    <t>ACHTUNG: Wie wird mit Struktur 0 umgegangen? Macht u.U. beträchtliche Länge aus.</t>
  </si>
  <si>
    <t>Berechnungsgrundlage: Version 2.01 des Steckbriefs zu Indikator-Set 9.</t>
  </si>
  <si>
    <t>Indikator 9.1 Avifauna Artenvielfalt</t>
  </si>
  <si>
    <t>Anzahl Brutvogelarten</t>
  </si>
  <si>
    <t>Bewertung Artenvielfalt</t>
  </si>
  <si>
    <t>9_27</t>
  </si>
  <si>
    <t>Anzahl Vogelarten allgemein</t>
  </si>
  <si>
    <t>9_41</t>
  </si>
  <si>
    <t>9_01</t>
  </si>
  <si>
    <t>Biogeoregion</t>
  </si>
  <si>
    <t>9_02</t>
  </si>
  <si>
    <t>Höhenstufe</t>
  </si>
  <si>
    <t>Anzahl Zielarten</t>
  </si>
  <si>
    <t>Bewertung Zielarten</t>
  </si>
  <si>
    <t>Dichte</t>
  </si>
  <si>
    <t>Bewertung Dichte</t>
  </si>
  <si>
    <t>Subalpin</t>
  </si>
  <si>
    <t>9_30</t>
  </si>
  <si>
    <t>Anzahl Vogelarten der definierten Zielarten</t>
  </si>
  <si>
    <t>9_28</t>
  </si>
  <si>
    <r>
      <t>Anzahl</t>
    </r>
    <r>
      <rPr>
        <sz val="11"/>
        <color theme="1"/>
        <rFont val="Calibri"/>
        <family val="2"/>
        <scheme val="minor"/>
      </rPr>
      <t xml:space="preserve"> Brutvogelreviere aller Vogelarten</t>
    </r>
  </si>
  <si>
    <t>9_42</t>
  </si>
  <si>
    <t>9_43</t>
  </si>
  <si>
    <t>9_03</t>
  </si>
  <si>
    <t>Bewertungstabellen</t>
  </si>
  <si>
    <t>Indikator 9.1</t>
  </si>
  <si>
    <t>Eawag, Vogelwarte Sempach</t>
  </si>
  <si>
    <t>Jura</t>
  </si>
  <si>
    <t>Kollin</t>
  </si>
  <si>
    <t>9_44</t>
  </si>
  <si>
    <t>Dichte Brutvogelreviere aller Vogelarten pro ha</t>
  </si>
  <si>
    <t>Daten aus Eingabeformular:</t>
  </si>
  <si>
    <r>
      <t>Untersuchte Fläche [m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]</t>
    </r>
  </si>
  <si>
    <t>Berechnungsgrundlage: Version 2.02 des Steckbriefs zu Indikator-Set 8.</t>
  </si>
  <si>
    <t>Siehe Anleitung zur Berechnung via Vegedaz auf www.bafu.admin.ch/wirkungskontrolle-revit für die Schritte 1 - 3</t>
  </si>
  <si>
    <t>8_53</t>
  </si>
  <si>
    <t>Mittelwert Jaccard-Koeffizient Ziellebensräume</t>
  </si>
  <si>
    <t>8_54</t>
  </si>
  <si>
    <t>Standardisierter Wert Ziellebensräume</t>
  </si>
  <si>
    <t>Indikator 8.2</t>
  </si>
  <si>
    <t>Ergänzung Arbeitsblätter mit Auswertung zu Indikator 9.1</t>
  </si>
  <si>
    <t>Ergänzung mit Berechnung des standardisierten Wertes des Indikators 8.2 (Schritt 4 im Steckbrief V 2.02).</t>
  </si>
  <si>
    <t>Standardisierter Wert Avifauna (gewichtetes Mittel; [-])</t>
  </si>
  <si>
    <t>Bewertung Dichte [-]</t>
  </si>
  <si>
    <t>Bewertung Zielarten [-]</t>
  </si>
  <si>
    <t>Bewertung Artenvielfalt [-]</t>
  </si>
  <si>
    <t>&lt;-- Bitte Dropdown-Werte brauchen vom Eingabeformular</t>
  </si>
  <si>
    <t>Jura (Kollin)</t>
  </si>
  <si>
    <t>Mittelland, Alpennordflanke (Kollin)</t>
  </si>
  <si>
    <t>Westliche Zentralalpen, Östliche Zentralalpen, Alpensüdflanke (Kollin)</t>
  </si>
  <si>
    <t>Jura (Montan)</t>
  </si>
  <si>
    <t>Mittelland, Alpennordflanke, Westliche Zentralalpen, Östliche Zentralalpen, Alpensüdflanke (Montan)</t>
  </si>
  <si>
    <t>Nicht definiert -&gt; bitte Kontakt aufnehmen mit der Vogelwarte Sempach</t>
  </si>
  <si>
    <t>&gt;54</t>
  </si>
  <si>
    <t>&gt;9</t>
  </si>
  <si>
    <t>&gt;26</t>
  </si>
  <si>
    <t>&gt;10</t>
  </si>
  <si>
    <t>&gt;7</t>
  </si>
  <si>
    <t>&gt;6</t>
  </si>
  <si>
    <t>Schritt 4 - Standardisierung: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</si>
</sst>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name val="Arial"/>
      <family val="2"/>
    </font>
    <font>
      <sz val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4BD0FF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6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1" fillId="0" borderId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7" applyNumberFormat="0" applyAlignment="0" applyProtection="0"/>
    <xf numFmtId="0" fontId="16" fillId="7" borderId="8" applyNumberFormat="0" applyAlignment="0" applyProtection="0"/>
    <xf numFmtId="0" fontId="17" fillId="7" borderId="7" applyNumberFormat="0" applyAlignment="0" applyProtection="0"/>
    <xf numFmtId="0" fontId="18" fillId="0" borderId="9" applyNumberFormat="0" applyFill="0" applyAlignment="0" applyProtection="0"/>
    <xf numFmtId="0" fontId="19" fillId="8" borderId="10" applyNumberFormat="0" applyAlignment="0" applyProtection="0"/>
    <xf numFmtId="0" fontId="20" fillId="0" borderId="0" applyNumberFormat="0" applyFill="0" applyBorder="0" applyAlignment="0" applyProtection="0"/>
    <xf numFmtId="0" fontId="11" fillId="9" borderId="11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2" applyNumberFormat="0" applyFill="0" applyAlignment="0" applyProtection="0"/>
    <xf numFmtId="0" fontId="23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23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23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23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23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23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28" fillId="0" borderId="0"/>
    <xf numFmtId="0" fontId="1" fillId="0" borderId="0"/>
  </cellStyleXfs>
  <cellXfs count="199">
    <xf numFmtId="0" fontId="0" fillId="0" borderId="0" xfId="0"/>
    <xf numFmtId="0" fontId="3" fillId="0" borderId="0" xfId="0" applyFont="1"/>
    <xf numFmtId="0" fontId="2" fillId="0" borderId="0" xfId="0" applyFont="1"/>
    <xf numFmtId="0" fontId="0" fillId="0" borderId="2" xfId="0" applyBorder="1" applyAlignment="1">
      <alignment vertical="center" wrapText="1"/>
    </xf>
    <xf numFmtId="0" fontId="0" fillId="0" borderId="1" xfId="0" applyBorder="1"/>
    <xf numFmtId="0" fontId="2" fillId="0" borderId="1" xfId="0" applyFont="1" applyBorder="1" applyAlignment="1">
      <alignment vertical="top"/>
    </xf>
    <xf numFmtId="0" fontId="0" fillId="0" borderId="1" xfId="0" applyBorder="1" applyAlignment="1">
      <alignment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0" fontId="2" fillId="0" borderId="1" xfId="0" applyFont="1" applyBorder="1" applyAlignment="1">
      <alignment horizontal="left" vertical="top"/>
    </xf>
    <xf numFmtId="0" fontId="0" fillId="0" borderId="1" xfId="0" applyBorder="1" applyAlignment="1" applyProtection="1">
      <alignment vertical="top"/>
      <protection locked="0"/>
    </xf>
    <xf numFmtId="0" fontId="3" fillId="0" borderId="0" xfId="0" applyFont="1" applyAlignment="1" applyProtection="1">
      <alignment vertical="top"/>
      <protection locked="0"/>
    </xf>
    <xf numFmtId="0" fontId="0" fillId="0" borderId="0" xfId="0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0" fillId="0" borderId="0" xfId="0" applyAlignment="1">
      <alignment vertical="top"/>
    </xf>
    <xf numFmtId="0" fontId="2" fillId="0" borderId="1" xfId="0" applyFont="1" applyBorder="1" applyAlignment="1" applyProtection="1">
      <alignment vertical="top"/>
      <protection locked="0"/>
    </xf>
    <xf numFmtId="0" fontId="3" fillId="0" borderId="0" xfId="0" applyFont="1" applyAlignment="1">
      <alignment vertical="top"/>
    </xf>
    <xf numFmtId="49" fontId="0" fillId="0" borderId="1" xfId="0" applyNumberFormat="1" applyBorder="1" applyAlignment="1" applyProtection="1">
      <alignment vertical="top"/>
      <protection locked="0"/>
    </xf>
    <xf numFmtId="165" fontId="0" fillId="0" borderId="0" xfId="0" applyNumberFormat="1" applyAlignment="1">
      <alignment vertical="top"/>
    </xf>
    <xf numFmtId="0" fontId="0" fillId="0" borderId="3" xfId="0" applyBorder="1" applyAlignment="1" applyProtection="1">
      <alignment vertical="top"/>
      <protection locked="0"/>
    </xf>
    <xf numFmtId="2" fontId="0" fillId="2" borderId="1" xfId="0" applyNumberFormat="1" applyFill="1" applyBorder="1" applyAlignment="1">
      <alignment vertical="top"/>
    </xf>
    <xf numFmtId="2" fontId="2" fillId="0" borderId="0" xfId="0" applyNumberFormat="1" applyFont="1" applyAlignment="1">
      <alignment vertical="top"/>
    </xf>
    <xf numFmtId="0" fontId="2" fillId="0" borderId="0" xfId="0" applyFont="1" applyAlignment="1" applyProtection="1">
      <alignment vertical="top"/>
      <protection locked="0"/>
    </xf>
    <xf numFmtId="2" fontId="0" fillId="2" borderId="1" xfId="0" applyNumberFormat="1" applyFill="1" applyBorder="1" applyAlignment="1" applyProtection="1">
      <alignment vertical="top"/>
      <protection locked="0"/>
    </xf>
    <xf numFmtId="0" fontId="6" fillId="0" borderId="0" xfId="0" applyFont="1" applyAlignment="1">
      <alignment vertical="top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right" vertical="top"/>
    </xf>
    <xf numFmtId="2" fontId="0" fillId="0" borderId="1" xfId="0" applyNumberFormat="1" applyBorder="1" applyAlignment="1">
      <alignment vertical="top"/>
    </xf>
    <xf numFmtId="0" fontId="0" fillId="0" borderId="0" xfId="0" applyAlignment="1">
      <alignment vertical="top" wrapText="1"/>
    </xf>
    <xf numFmtId="0" fontId="0" fillId="0" borderId="1" xfId="0" applyBorder="1" applyAlignment="1">
      <alignment vertical="top" wrapText="1"/>
    </xf>
    <xf numFmtId="0" fontId="24" fillId="0" borderId="1" xfId="0" applyFont="1" applyBorder="1" applyAlignment="1">
      <alignment horizontal="left" vertical="top"/>
    </xf>
    <xf numFmtId="2" fontId="0" fillId="2" borderId="1" xfId="1" applyNumberFormat="1" applyFont="1" applyFill="1" applyBorder="1" applyAlignment="1">
      <alignment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2" fontId="0" fillId="2" borderId="1" xfId="0" applyNumberFormat="1" applyFill="1" applyBorder="1" applyAlignment="1">
      <alignment horizontal="right"/>
    </xf>
    <xf numFmtId="2" fontId="0" fillId="2" borderId="1" xfId="0" applyNumberFormat="1" applyFill="1" applyBorder="1"/>
    <xf numFmtId="2" fontId="0" fillId="2" borderId="14" xfId="0" applyNumberFormat="1" applyFill="1" applyBorder="1" applyAlignment="1">
      <alignment horizontal="right"/>
    </xf>
    <xf numFmtId="2" fontId="0" fillId="2" borderId="13" xfId="0" applyNumberFormat="1" applyFill="1" applyBorder="1" applyAlignment="1">
      <alignment horizontal="right"/>
    </xf>
    <xf numFmtId="2" fontId="0" fillId="2" borderId="13" xfId="0" applyNumberFormat="1" applyFill="1" applyBorder="1"/>
    <xf numFmtId="0" fontId="0" fillId="0" borderId="1" xfId="0" applyBorder="1" applyAlignment="1">
      <alignment horizontal="left"/>
    </xf>
    <xf numFmtId="0" fontId="0" fillId="0" borderId="15" xfId="0" applyBorder="1"/>
    <xf numFmtId="0" fontId="0" fillId="0" borderId="0" xfId="0" applyAlignment="1">
      <alignment horizontal="left"/>
    </xf>
    <xf numFmtId="164" fontId="0" fillId="2" borderId="1" xfId="0" applyNumberFormat="1" applyFill="1" applyBorder="1"/>
    <xf numFmtId="0" fontId="0" fillId="2" borderId="1" xfId="0" applyFill="1" applyBorder="1"/>
    <xf numFmtId="0" fontId="0" fillId="0" borderId="14" xfId="0" applyBorder="1"/>
    <xf numFmtId="0" fontId="0" fillId="2" borderId="14" xfId="0" applyFill="1" applyBorder="1"/>
    <xf numFmtId="0" fontId="0" fillId="0" borderId="17" xfId="0" applyBorder="1"/>
    <xf numFmtId="0" fontId="0" fillId="0" borderId="13" xfId="0" applyBorder="1"/>
    <xf numFmtId="0" fontId="0" fillId="0" borderId="14" xfId="0" applyBorder="1" applyAlignment="1">
      <alignment horizontal="left"/>
    </xf>
    <xf numFmtId="0" fontId="24" fillId="0" borderId="1" xfId="0" applyFont="1" applyBorder="1"/>
    <xf numFmtId="1" fontId="0" fillId="0" borderId="0" xfId="0" applyNumberFormat="1"/>
    <xf numFmtId="0" fontId="0" fillId="0" borderId="13" xfId="0" applyBorder="1" applyAlignment="1">
      <alignment horizontal="left" vertical="top"/>
    </xf>
    <xf numFmtId="0" fontId="2" fillId="0" borderId="0" xfId="0" applyFont="1" applyAlignment="1">
      <alignment horizontal="left"/>
    </xf>
    <xf numFmtId="0" fontId="24" fillId="0" borderId="0" xfId="0" applyFont="1" applyAlignment="1">
      <alignment vertical="top"/>
    </xf>
    <xf numFmtId="0" fontId="0" fillId="0" borderId="13" xfId="0" applyBorder="1" applyAlignment="1">
      <alignment horizontal="left"/>
    </xf>
    <xf numFmtId="0" fontId="25" fillId="0" borderId="0" xfId="0" applyFont="1"/>
    <xf numFmtId="0" fontId="6" fillId="0" borderId="0" xfId="0" applyFont="1"/>
    <xf numFmtId="0" fontId="24" fillId="0" borderId="14" xfId="0" applyFont="1" applyBorder="1"/>
    <xf numFmtId="164" fontId="0" fillId="2" borderId="14" xfId="0" applyNumberFormat="1" applyFill="1" applyBorder="1"/>
    <xf numFmtId="0" fontId="4" fillId="0" borderId="13" xfId="0" applyFont="1" applyBorder="1"/>
    <xf numFmtId="1" fontId="0" fillId="2" borderId="1" xfId="0" applyNumberFormat="1" applyFill="1" applyBorder="1"/>
    <xf numFmtId="2" fontId="24" fillId="2" borderId="1" xfId="0" applyNumberFormat="1" applyFont="1" applyFill="1" applyBorder="1"/>
    <xf numFmtId="0" fontId="2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2" fillId="0" borderId="18" xfId="0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/>
    <xf numFmtId="1" fontId="0" fillId="2" borderId="14" xfId="0" applyNumberFormat="1" applyFill="1" applyBorder="1"/>
    <xf numFmtId="0" fontId="24" fillId="0" borderId="18" xfId="0" applyFont="1" applyBorder="1"/>
    <xf numFmtId="1" fontId="0" fillId="2" borderId="18" xfId="0" applyNumberFormat="1" applyFill="1" applyBorder="1"/>
    <xf numFmtId="0" fontId="2" fillId="0" borderId="13" xfId="0" applyFont="1" applyBorder="1"/>
    <xf numFmtId="0" fontId="0" fillId="0" borderId="18" xfId="0" applyBorder="1" applyAlignment="1">
      <alignment horizontal="left"/>
    </xf>
    <xf numFmtId="1" fontId="0" fillId="0" borderId="13" xfId="0" applyNumberFormat="1" applyBorder="1"/>
    <xf numFmtId="0" fontId="2" fillId="0" borderId="14" xfId="0" applyFont="1" applyBorder="1"/>
    <xf numFmtId="0" fontId="24" fillId="0" borderId="0" xfId="0" applyFont="1"/>
    <xf numFmtId="0" fontId="26" fillId="0" borderId="0" xfId="0" applyFont="1" applyAlignment="1">
      <alignment vertical="top"/>
    </xf>
    <xf numFmtId="2" fontId="0" fillId="0" borderId="1" xfId="0" applyNumberFormat="1" applyBorder="1"/>
    <xf numFmtId="2" fontId="24" fillId="2" borderId="1" xfId="0" applyNumberFormat="1" applyFont="1" applyFill="1" applyBorder="1" applyAlignment="1" applyProtection="1">
      <alignment vertical="top"/>
      <protection locked="0"/>
    </xf>
    <xf numFmtId="2" fontId="6" fillId="0" borderId="0" xfId="0" applyNumberFormat="1" applyFont="1" applyAlignment="1" applyProtection="1">
      <alignment vertical="top"/>
      <protection locked="0"/>
    </xf>
    <xf numFmtId="0" fontId="2" fillId="0" borderId="2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5" xfId="0" applyFont="1" applyBorder="1" applyAlignment="1">
      <alignment vertical="top"/>
    </xf>
    <xf numFmtId="0" fontId="2" fillId="0" borderId="1" xfId="0" applyFont="1" applyBorder="1"/>
    <xf numFmtId="0" fontId="2" fillId="0" borderId="19" xfId="0" applyFont="1" applyBorder="1"/>
    <xf numFmtId="2" fontId="0" fillId="0" borderId="2" xfId="0" applyNumberFormat="1" applyBorder="1" applyAlignment="1">
      <alignment vertical="center" wrapText="1"/>
    </xf>
    <xf numFmtId="2" fontId="0" fillId="0" borderId="1" xfId="0" applyNumberFormat="1" applyBorder="1" applyAlignment="1">
      <alignment vertical="top" wrapText="1"/>
    </xf>
    <xf numFmtId="0" fontId="24" fillId="0" borderId="15" xfId="0" applyFont="1" applyBorder="1"/>
    <xf numFmtId="2" fontId="24" fillId="0" borderId="15" xfId="0" applyNumberFormat="1" applyFont="1" applyBorder="1"/>
    <xf numFmtId="0" fontId="24" fillId="0" borderId="17" xfId="0" applyFont="1" applyBorder="1"/>
    <xf numFmtId="0" fontId="0" fillId="0" borderId="18" xfId="0" applyBorder="1"/>
    <xf numFmtId="0" fontId="0" fillId="0" borderId="20" xfId="0" applyBorder="1" applyAlignment="1">
      <alignment horizontal="left" vertical="top"/>
    </xf>
    <xf numFmtId="0" fontId="0" fillId="0" borderId="20" xfId="0" applyBorder="1"/>
    <xf numFmtId="2" fontId="2" fillId="2" borderId="1" xfId="0" applyNumberFormat="1" applyFont="1" applyFill="1" applyBorder="1"/>
    <xf numFmtId="0" fontId="24" fillId="0" borderId="0" xfId="0" applyFont="1" applyAlignment="1" applyProtection="1">
      <alignment vertical="top"/>
      <protection locked="0"/>
    </xf>
    <xf numFmtId="0" fontId="0" fillId="0" borderId="14" xfId="0" applyBorder="1" applyAlignment="1">
      <alignment horizontal="left" vertical="top"/>
    </xf>
    <xf numFmtId="0" fontId="0" fillId="0" borderId="21" xfId="0" applyBorder="1" applyAlignment="1">
      <alignment vertical="center" wrapText="1"/>
    </xf>
    <xf numFmtId="2" fontId="0" fillId="0" borderId="21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2" fontId="0" fillId="0" borderId="1" xfId="0" applyNumberFormat="1" applyBorder="1" applyAlignment="1">
      <alignment vertical="center" wrapText="1"/>
    </xf>
    <xf numFmtId="49" fontId="0" fillId="0" borderId="0" xfId="0" applyNumberFormat="1" applyAlignment="1" applyProtection="1">
      <alignment vertical="top"/>
      <protection locked="0"/>
    </xf>
    <xf numFmtId="2" fontId="0" fillId="0" borderId="0" xfId="0" applyNumberFormat="1" applyAlignment="1">
      <alignment vertical="top"/>
    </xf>
    <xf numFmtId="0" fontId="24" fillId="0" borderId="1" xfId="0" applyFont="1" applyBorder="1" applyAlignment="1">
      <alignment vertical="top"/>
    </xf>
    <xf numFmtId="0" fontId="27" fillId="0" borderId="0" xfId="0" applyFont="1" applyAlignment="1">
      <alignment vertical="top"/>
    </xf>
    <xf numFmtId="2" fontId="2" fillId="0" borderId="0" xfId="0" applyNumberFormat="1" applyFont="1" applyAlignment="1" applyProtection="1">
      <alignment vertical="top"/>
      <protection locked="0"/>
    </xf>
    <xf numFmtId="2" fontId="4" fillId="0" borderId="13" xfId="0" applyNumberFormat="1" applyFont="1" applyBorder="1"/>
    <xf numFmtId="2" fontId="2" fillId="2" borderId="1" xfId="0" applyNumberFormat="1" applyFont="1" applyFill="1" applyBorder="1" applyAlignment="1">
      <alignment vertical="top"/>
    </xf>
    <xf numFmtId="2" fontId="2" fillId="2" borderId="1" xfId="0" applyNumberFormat="1" applyFont="1" applyFill="1" applyBorder="1" applyAlignment="1" applyProtection="1">
      <alignment vertical="top"/>
      <protection locked="0"/>
    </xf>
    <xf numFmtId="1" fontId="24" fillId="0" borderId="1" xfId="0" applyNumberFormat="1" applyFont="1" applyBorder="1"/>
    <xf numFmtId="1" fontId="24" fillId="2" borderId="1" xfId="0" applyNumberFormat="1" applyFont="1" applyFill="1" applyBorder="1"/>
    <xf numFmtId="1" fontId="24" fillId="2" borderId="1" xfId="0" applyNumberFormat="1" applyFont="1" applyFill="1" applyBorder="1" applyAlignment="1" applyProtection="1">
      <alignment vertical="top"/>
      <protection locked="0"/>
    </xf>
    <xf numFmtId="1" fontId="0" fillId="0" borderId="14" xfId="0" applyNumberFormat="1" applyBorder="1"/>
    <xf numFmtId="1" fontId="0" fillId="2" borderId="13" xfId="0" applyNumberFormat="1" applyFill="1" applyBorder="1"/>
    <xf numFmtId="1" fontId="0" fillId="2" borderId="20" xfId="0" applyNumberFormat="1" applyFill="1" applyBorder="1"/>
    <xf numFmtId="1" fontId="0" fillId="0" borderId="1" xfId="0" applyNumberFormat="1" applyBorder="1" applyAlignment="1">
      <alignment vertical="top"/>
    </xf>
    <xf numFmtId="1" fontId="0" fillId="2" borderId="1" xfId="0" applyNumberFormat="1" applyFill="1" applyBorder="1" applyAlignment="1">
      <alignment vertical="top"/>
    </xf>
    <xf numFmtId="0" fontId="24" fillId="0" borderId="0" xfId="45" applyFont="1" applyAlignment="1">
      <alignment horizontal="left" vertical="top"/>
    </xf>
    <xf numFmtId="0" fontId="29" fillId="0" borderId="0" xfId="0" applyFont="1"/>
    <xf numFmtId="0" fontId="2" fillId="0" borderId="1" xfId="45" applyFont="1" applyBorder="1" applyAlignment="1" applyProtection="1">
      <alignment vertical="top" wrapText="1"/>
      <protection locked="0"/>
    </xf>
    <xf numFmtId="0" fontId="2" fillId="0" borderId="1" xfId="45" applyFont="1" applyBorder="1" applyAlignment="1">
      <alignment vertical="top" wrapText="1"/>
    </xf>
    <xf numFmtId="0" fontId="2" fillId="0" borderId="1" xfId="45" applyFont="1" applyBorder="1" applyAlignment="1" applyProtection="1">
      <alignment horizontal="left" vertical="top" wrapText="1"/>
      <protection locked="0"/>
    </xf>
    <xf numFmtId="0" fontId="2" fillId="0" borderId="1" xfId="45" applyFont="1" applyBorder="1" applyAlignment="1">
      <alignment horizontal="left" vertical="top" wrapText="1"/>
    </xf>
    <xf numFmtId="0" fontId="0" fillId="0" borderId="1" xfId="0" applyBorder="1" applyProtection="1">
      <protection locked="0"/>
    </xf>
    <xf numFmtId="0" fontId="1" fillId="0" borderId="1" xfId="45" applyBorder="1" applyAlignment="1">
      <alignment vertical="top" wrapText="1"/>
    </xf>
    <xf numFmtId="0" fontId="1" fillId="0" borderId="1" xfId="45" applyBorder="1" applyAlignment="1">
      <alignment horizontal="left" vertical="top" wrapText="1"/>
    </xf>
    <xf numFmtId="0" fontId="0" fillId="0" borderId="0" xfId="0" quotePrefix="1" applyAlignment="1">
      <alignment horizontal="left" vertical="top"/>
    </xf>
    <xf numFmtId="0" fontId="2" fillId="0" borderId="15" xfId="45" applyFont="1" applyBorder="1" applyAlignment="1">
      <alignment horizontal="left" vertical="top" wrapText="1"/>
    </xf>
    <xf numFmtId="0" fontId="0" fillId="0" borderId="15" xfId="0" applyBorder="1" applyProtection="1">
      <protection locked="0"/>
    </xf>
    <xf numFmtId="0" fontId="2" fillId="0" borderId="1" xfId="44" applyFont="1" applyBorder="1" applyAlignment="1">
      <alignment vertical="top"/>
    </xf>
    <xf numFmtId="0" fontId="2" fillId="0" borderId="1" xfId="44" applyFont="1" applyBorder="1" applyAlignment="1">
      <alignment vertical="top" wrapText="1"/>
    </xf>
    <xf numFmtId="49" fontId="2" fillId="0" borderId="1" xfId="44" applyNumberFormat="1" applyFont="1" applyBorder="1" applyAlignment="1">
      <alignment vertical="top" wrapText="1"/>
    </xf>
    <xf numFmtId="0" fontId="2" fillId="34" borderId="0" xfId="44" applyFont="1" applyFill="1" applyAlignment="1">
      <alignment vertical="top"/>
    </xf>
    <xf numFmtId="0" fontId="1" fillId="0" borderId="1" xfId="44" applyFont="1" applyBorder="1" applyAlignment="1">
      <alignment vertical="top"/>
    </xf>
    <xf numFmtId="14" fontId="1" fillId="0" borderId="1" xfId="44" applyNumberFormat="1" applyFont="1" applyBorder="1" applyAlignment="1">
      <alignment vertical="top"/>
    </xf>
    <xf numFmtId="49" fontId="1" fillId="0" borderId="1" xfId="44" applyNumberFormat="1" applyFont="1" applyBorder="1" applyAlignment="1">
      <alignment vertical="top"/>
    </xf>
    <xf numFmtId="0" fontId="1" fillId="0" borderId="1" xfId="44" applyFont="1" applyBorder="1" applyAlignment="1">
      <alignment vertical="top" wrapText="1"/>
    </xf>
    <xf numFmtId="0" fontId="1" fillId="34" borderId="0" xfId="44" applyFont="1" applyFill="1" applyAlignment="1">
      <alignment vertical="top"/>
    </xf>
    <xf numFmtId="14" fontId="1" fillId="0" borderId="1" xfId="44" applyNumberFormat="1" applyFont="1" applyBorder="1" applyAlignment="1">
      <alignment horizontal="left" vertical="top"/>
    </xf>
    <xf numFmtId="0" fontId="0" fillId="0" borderId="1" xfId="44" applyFont="1" applyBorder="1" applyAlignment="1">
      <alignment vertical="top" wrapText="1"/>
    </xf>
    <xf numFmtId="0" fontId="0" fillId="0" borderId="1" xfId="44" applyFont="1" applyBorder="1" applyAlignment="1">
      <alignment vertical="top"/>
    </xf>
    <xf numFmtId="49" fontId="0" fillId="0" borderId="1" xfId="44" applyNumberFormat="1" applyFont="1" applyBorder="1" applyAlignment="1">
      <alignment vertical="top"/>
    </xf>
    <xf numFmtId="0" fontId="0" fillId="0" borderId="0" xfId="0" applyAlignment="1">
      <alignment horizontal="left" vertical="top"/>
    </xf>
    <xf numFmtId="0" fontId="27" fillId="0" borderId="0" xfId="0" applyFont="1"/>
    <xf numFmtId="4" fontId="0" fillId="35" borderId="1" xfId="0" applyNumberFormat="1" applyFill="1" applyBorder="1"/>
    <xf numFmtId="0" fontId="0" fillId="0" borderId="1" xfId="45" applyFont="1" applyBorder="1" applyAlignment="1">
      <alignment horizontal="left" vertical="top" wrapText="1"/>
    </xf>
    <xf numFmtId="0" fontId="29" fillId="0" borderId="1" xfId="45" applyFont="1" applyBorder="1" applyAlignment="1">
      <alignment horizontal="right" vertical="top" wrapText="1"/>
    </xf>
    <xf numFmtId="2" fontId="0" fillId="0" borderId="1" xfId="0" applyNumberFormat="1" applyBorder="1" applyAlignment="1" applyProtection="1">
      <alignment vertical="top"/>
      <protection locked="0"/>
    </xf>
    <xf numFmtId="0" fontId="2" fillId="0" borderId="1" xfId="0" applyFont="1" applyBorder="1" applyAlignment="1">
      <alignment vertical="top" wrapText="1"/>
    </xf>
    <xf numFmtId="0" fontId="0" fillId="0" borderId="0" xfId="0" applyProtection="1">
      <protection locked="0"/>
    </xf>
    <xf numFmtId="4" fontId="0" fillId="0" borderId="0" xfId="0" applyNumberFormat="1"/>
    <xf numFmtId="2" fontId="0" fillId="0" borderId="0" xfId="0" applyNumberFormat="1" applyProtection="1">
      <protection locked="0"/>
    </xf>
    <xf numFmtId="0" fontId="2" fillId="0" borderId="0" xfId="0" applyFont="1" applyAlignment="1">
      <alignment horizontal="center" vertical="top"/>
    </xf>
    <xf numFmtId="2" fontId="0" fillId="0" borderId="0" xfId="0" applyNumberFormat="1"/>
    <xf numFmtId="2" fontId="0" fillId="35" borderId="1" xfId="0" applyNumberFormat="1" applyFill="1" applyBorder="1"/>
    <xf numFmtId="0" fontId="30" fillId="36" borderId="0" xfId="0" applyFont="1" applyFill="1"/>
    <xf numFmtId="0" fontId="0" fillId="36" borderId="0" xfId="0" applyFill="1"/>
    <xf numFmtId="0" fontId="29" fillId="36" borderId="0" xfId="0" applyFont="1" applyFill="1"/>
    <xf numFmtId="0" fontId="27" fillId="36" borderId="0" xfId="0" applyFont="1" applyFill="1"/>
    <xf numFmtId="0" fontId="0" fillId="0" borderId="0" xfId="0" quotePrefix="1"/>
    <xf numFmtId="0" fontId="26" fillId="0" borderId="0" xfId="0" applyFont="1" applyAlignment="1">
      <alignment horizontal="left"/>
    </xf>
    <xf numFmtId="0" fontId="6" fillId="37" borderId="0" xfId="0" applyFont="1" applyFill="1"/>
    <xf numFmtId="0" fontId="0" fillId="38" borderId="1" xfId="0" applyFill="1" applyBorder="1"/>
    <xf numFmtId="0" fontId="1" fillId="0" borderId="1" xfId="0" applyFont="1" applyBorder="1" applyAlignment="1">
      <alignment horizontal="left" vertical="top"/>
    </xf>
    <xf numFmtId="0" fontId="0" fillId="0" borderId="1" xfId="44" applyFont="1" applyBorder="1" applyAlignment="1">
      <alignment horizontal="left" vertical="top"/>
    </xf>
    <xf numFmtId="0" fontId="2" fillId="42" borderId="18" xfId="0" applyFont="1" applyFill="1" applyBorder="1"/>
    <xf numFmtId="0" fontId="0" fillId="42" borderId="18" xfId="0" applyFill="1" applyBorder="1"/>
    <xf numFmtId="0" fontId="2" fillId="41" borderId="18" xfId="0" applyFont="1" applyFill="1" applyBorder="1"/>
    <xf numFmtId="0" fontId="0" fillId="41" borderId="18" xfId="0" applyFill="1" applyBorder="1"/>
    <xf numFmtId="0" fontId="22" fillId="2" borderId="15" xfId="0" applyFont="1" applyFill="1" applyBorder="1"/>
    <xf numFmtId="0" fontId="0" fillId="2" borderId="16" xfId="0" applyFill="1" applyBorder="1"/>
    <xf numFmtId="0" fontId="0" fillId="2" borderId="17" xfId="0" applyFill="1" applyBorder="1"/>
    <xf numFmtId="0" fontId="24" fillId="0" borderId="1" xfId="44" applyFont="1" applyBorder="1" applyAlignment="1">
      <alignment vertical="top"/>
    </xf>
    <xf numFmtId="14" fontId="24" fillId="0" borderId="1" xfId="44" applyNumberFormat="1" applyFont="1" applyBorder="1" applyAlignment="1">
      <alignment vertical="top"/>
    </xf>
    <xf numFmtId="49" fontId="24" fillId="0" borderId="1" xfId="44" applyNumberFormat="1" applyFont="1" applyBorder="1" applyAlignment="1">
      <alignment vertical="top"/>
    </xf>
    <xf numFmtId="0" fontId="24" fillId="0" borderId="1" xfId="44" applyFont="1" applyBorder="1" applyAlignment="1">
      <alignment vertical="top" wrapText="1"/>
    </xf>
    <xf numFmtId="14" fontId="24" fillId="0" borderId="1" xfId="44" applyNumberFormat="1" applyFont="1" applyBorder="1" applyAlignment="1">
      <alignment horizontal="left" vertical="top"/>
    </xf>
    <xf numFmtId="0" fontId="0" fillId="0" borderId="1" xfId="0" applyFill="1" applyBorder="1"/>
    <xf numFmtId="0" fontId="0" fillId="0" borderId="1" xfId="44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top" wrapText="1"/>
    </xf>
    <xf numFmtId="0" fontId="2" fillId="0" borderId="0" xfId="0" applyFont="1" applyAlignment="1" applyProtection="1">
      <protection locked="0"/>
    </xf>
    <xf numFmtId="2" fontId="0" fillId="38" borderId="1" xfId="0" applyNumberFormat="1" applyFill="1" applyBorder="1"/>
    <xf numFmtId="0" fontId="0" fillId="0" borderId="22" xfId="44" applyFont="1" applyFill="1" applyBorder="1" applyAlignment="1">
      <alignment horizontal="left" vertical="top"/>
    </xf>
    <xf numFmtId="0" fontId="1" fillId="0" borderId="1" xfId="45" applyBorder="1"/>
    <xf numFmtId="0" fontId="1" fillId="0" borderId="1" xfId="0" applyFont="1" applyBorder="1" applyAlignment="1">
      <alignment wrapText="1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>
      <alignment horizontal="left" wrapText="1"/>
    </xf>
    <xf numFmtId="0" fontId="1" fillId="38" borderId="1" xfId="0" applyFont="1" applyFill="1" applyBorder="1" applyProtection="1">
      <protection locked="0"/>
    </xf>
    <xf numFmtId="3" fontId="0" fillId="0" borderId="1" xfId="0" applyNumberFormat="1" applyBorder="1"/>
    <xf numFmtId="0" fontId="35" fillId="0" borderId="0" xfId="0" applyFont="1"/>
    <xf numFmtId="1" fontId="0" fillId="2" borderId="1" xfId="0" applyNumberFormat="1" applyFill="1" applyBorder="1" applyAlignment="1">
      <alignment horizontal="right"/>
    </xf>
    <xf numFmtId="0" fontId="4" fillId="0" borderId="0" xfId="0" applyFont="1" applyAlignment="1">
      <alignment horizontal="left" vertical="top" wrapText="1"/>
    </xf>
    <xf numFmtId="0" fontId="2" fillId="39" borderId="18" xfId="0" applyFont="1" applyFill="1" applyBorder="1" applyAlignment="1">
      <alignment horizontal="center"/>
    </xf>
    <xf numFmtId="0" fontId="2" fillId="36" borderId="18" xfId="0" applyFont="1" applyFill="1" applyBorder="1" applyAlignment="1">
      <alignment horizontal="center"/>
    </xf>
    <xf numFmtId="0" fontId="33" fillId="40" borderId="18" xfId="0" applyFont="1" applyFill="1" applyBorder="1" applyAlignment="1">
      <alignment horizontal="center"/>
    </xf>
    <xf numFmtId="0" fontId="33" fillId="43" borderId="18" xfId="0" applyFont="1" applyFill="1" applyBorder="1" applyAlignment="1">
      <alignment horizontal="center"/>
    </xf>
  </cellXfs>
  <cellStyles count="46">
    <cellStyle name="20% - Accent1 2" xfId="21" xr:uid="{00000000-0005-0000-0000-000000000000}"/>
    <cellStyle name="20% - Accent2 2" xfId="25" xr:uid="{00000000-0005-0000-0000-000001000000}"/>
    <cellStyle name="20% - Accent3 2" xfId="29" xr:uid="{00000000-0005-0000-0000-000002000000}"/>
    <cellStyle name="20% - Accent4 2" xfId="33" xr:uid="{00000000-0005-0000-0000-000003000000}"/>
    <cellStyle name="20% - Accent5 2" xfId="37" xr:uid="{00000000-0005-0000-0000-000004000000}"/>
    <cellStyle name="20% - Accent6 2" xfId="41" xr:uid="{00000000-0005-0000-0000-000005000000}"/>
    <cellStyle name="40% - Accent1 2" xfId="22" xr:uid="{00000000-0005-0000-0000-000006000000}"/>
    <cellStyle name="40% - Accent2 2" xfId="26" xr:uid="{00000000-0005-0000-0000-000007000000}"/>
    <cellStyle name="40% - Accent3 2" xfId="30" xr:uid="{00000000-0005-0000-0000-000008000000}"/>
    <cellStyle name="40% - Accent4 2" xfId="34" xr:uid="{00000000-0005-0000-0000-000009000000}"/>
    <cellStyle name="40% - Accent5 2" xfId="38" xr:uid="{00000000-0005-0000-0000-00000A000000}"/>
    <cellStyle name="40% - Accent6 2" xfId="42" xr:uid="{00000000-0005-0000-0000-00000B000000}"/>
    <cellStyle name="60% - Accent1 2" xfId="23" xr:uid="{00000000-0005-0000-0000-00000C000000}"/>
    <cellStyle name="60% - Accent2 2" xfId="27" xr:uid="{00000000-0005-0000-0000-00000D000000}"/>
    <cellStyle name="60% - Accent3 2" xfId="31" xr:uid="{00000000-0005-0000-0000-00000E000000}"/>
    <cellStyle name="60% - Accent4 2" xfId="35" xr:uid="{00000000-0005-0000-0000-00000F000000}"/>
    <cellStyle name="60% - Accent5 2" xfId="39" xr:uid="{00000000-0005-0000-0000-000010000000}"/>
    <cellStyle name="60% - Accent6 2" xfId="43" xr:uid="{00000000-0005-0000-0000-000011000000}"/>
    <cellStyle name="Accent1 2" xfId="20" xr:uid="{00000000-0005-0000-0000-000012000000}"/>
    <cellStyle name="Accent2 2" xfId="24" xr:uid="{00000000-0005-0000-0000-000013000000}"/>
    <cellStyle name="Accent3 2" xfId="28" xr:uid="{00000000-0005-0000-0000-000014000000}"/>
    <cellStyle name="Accent4 2" xfId="32" xr:uid="{00000000-0005-0000-0000-000015000000}"/>
    <cellStyle name="Accent5 2" xfId="36" xr:uid="{00000000-0005-0000-0000-000016000000}"/>
    <cellStyle name="Accent6 2" xfId="40" xr:uid="{00000000-0005-0000-0000-000017000000}"/>
    <cellStyle name="Bad 2" xfId="9" xr:uid="{00000000-0005-0000-0000-000018000000}"/>
    <cellStyle name="Calculation 2" xfId="13" xr:uid="{00000000-0005-0000-0000-000019000000}"/>
    <cellStyle name="Check Cell 2" xfId="15" xr:uid="{00000000-0005-0000-0000-00001A000000}"/>
    <cellStyle name="Explanatory Text 2" xfId="18" xr:uid="{00000000-0005-0000-0000-00001B000000}"/>
    <cellStyle name="Good 2" xfId="8" xr:uid="{00000000-0005-0000-0000-00001C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2" xfId="11" xr:uid="{00000000-0005-0000-0000-000021000000}"/>
    <cellStyle name="Linked Cell 2" xfId="14" xr:uid="{00000000-0005-0000-0000-000022000000}"/>
    <cellStyle name="Neutral 2" xfId="10" xr:uid="{00000000-0005-0000-0000-000023000000}"/>
    <cellStyle name="Normal" xfId="0" builtinId="0"/>
    <cellStyle name="Normal 2" xfId="7" xr:uid="{00000000-0005-0000-0000-000025000000}"/>
    <cellStyle name="Normal 2 2" xfId="44" xr:uid="{00000000-0005-0000-0000-000026000000}"/>
    <cellStyle name="Normal 3" xfId="45" xr:uid="{00000000-0005-0000-0000-000027000000}"/>
    <cellStyle name="Note 2" xfId="17" xr:uid="{00000000-0005-0000-0000-000028000000}"/>
    <cellStyle name="Output 2" xfId="12" xr:uid="{00000000-0005-0000-0000-000029000000}"/>
    <cellStyle name="Percent" xfId="1" builtinId="5"/>
    <cellStyle name="Title" xfId="2" builtinId="15" customBuiltin="1"/>
    <cellStyle name="Total 2" xfId="19" xr:uid="{00000000-0005-0000-0000-00002C000000}"/>
    <cellStyle name="Warning Text 2" xfId="16" xr:uid="{00000000-0005-0000-0000-00002D000000}"/>
  </cellStyles>
  <dxfs count="0"/>
  <tableStyles count="0" defaultTableStyle="TableStyleMedium2" defaultPivotStyle="PivotStyleLight16"/>
  <colors>
    <mruColors>
      <color rgb="FF4BD0FF"/>
      <color rgb="FFFF99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93929016732532"/>
          <c:y val="7.1287908625443083E-2"/>
          <c:w val="0.79038792972366367"/>
          <c:h val="0.72547381310448023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bg1">
                <a:lumMod val="85000"/>
              </a:schemeClr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val>
            <c:numRef>
              <c:f>'Indikator 1.6'!$H$7:$H$11</c:f>
              <c:numCache>
                <c:formatCode>0.00</c:formatCode>
                <c:ptCount val="5"/>
                <c:pt idx="0">
                  <c:v>0.93353076351832054</c:v>
                </c:pt>
                <c:pt idx="1">
                  <c:v>0</c:v>
                </c:pt>
                <c:pt idx="2">
                  <c:v>3.2691393747070405</c:v>
                </c:pt>
                <c:pt idx="3">
                  <c:v>20.510014724275536</c:v>
                </c:pt>
                <c:pt idx="4">
                  <c:v>75.287315137499107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49-4C4B-A00C-E01CDB703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"/>
        <c:overlap val="-27"/>
        <c:axId val="527342520"/>
        <c:axId val="527342192"/>
      </c:barChart>
      <c:catAx>
        <c:axId val="527342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1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 sz="1100" i="1">
                    <a:solidFill>
                      <a:sysClr val="windowText" lastClr="000000"/>
                    </a:solidFill>
                  </a:rPr>
                  <a:t>Mobilisierbarkeit</a:t>
                </a:r>
                <a:r>
                  <a:rPr lang="de-CH" sz="1100" i="1" baseline="0">
                    <a:solidFill>
                      <a:sysClr val="windowText" lastClr="000000"/>
                    </a:solidFill>
                  </a:rPr>
                  <a:t> (</a:t>
                </a:r>
                <a:r>
                  <a:rPr lang="de-CH" sz="1100" i="1">
                    <a:solidFill>
                      <a:sysClr val="windowText" lastClr="000000"/>
                    </a:solidFill>
                  </a:rPr>
                  <a:t>Substrattyp)</a:t>
                </a:r>
              </a:p>
            </c:rich>
          </c:tx>
          <c:layout>
            <c:manualLayout>
              <c:xMode val="edge"/>
              <c:yMode val="edge"/>
              <c:x val="0.4962188156360412"/>
              <c:y val="0.898308377833521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1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27342192"/>
        <c:crosses val="autoZero"/>
        <c:auto val="1"/>
        <c:lblAlgn val="ctr"/>
        <c:lblOffset val="100"/>
        <c:noMultiLvlLbl val="0"/>
      </c:catAx>
      <c:valAx>
        <c:axId val="527342192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1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i="1">
                    <a:solidFill>
                      <a:sysClr val="windowText" lastClr="000000"/>
                    </a:solidFill>
                  </a:rPr>
                  <a:t>Flächenanteil p [%]</a:t>
                </a:r>
              </a:p>
            </c:rich>
          </c:tx>
          <c:layout>
            <c:manualLayout>
              <c:xMode val="edge"/>
              <c:yMode val="edge"/>
              <c:x val="2.5230451614966246E-2"/>
              <c:y val="0.197326675186403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1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27342520"/>
        <c:crosses val="autoZero"/>
        <c:crossBetween val="between"/>
        <c:majorUnit val="20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Relationship Id="rId4" Type="http://schemas.openxmlformats.org/officeDocument/2006/relationships/image" Target="../media/image8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png"/><Relationship Id="rId1" Type="http://schemas.openxmlformats.org/officeDocument/2006/relationships/image" Target="../media/image1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15.png"/><Relationship Id="rId1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650875</xdr:colOff>
      <xdr:row>35</xdr:row>
      <xdr:rowOff>174625</xdr:rowOff>
    </xdr:from>
    <xdr:to>
      <xdr:col>9</xdr:col>
      <xdr:colOff>5069686</xdr:colOff>
      <xdr:row>52</xdr:row>
      <xdr:rowOff>127000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41000" y="6985000"/>
          <a:ext cx="5514186" cy="31908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823899</xdr:colOff>
      <xdr:row>60</xdr:row>
      <xdr:rowOff>70118</xdr:rowOff>
    </xdr:from>
    <xdr:to>
      <xdr:col>8</xdr:col>
      <xdr:colOff>2775064</xdr:colOff>
      <xdr:row>68</xdr:row>
      <xdr:rowOff>170224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43899" y="11128189"/>
          <a:ext cx="3565879" cy="155153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2545235</xdr:colOff>
      <xdr:row>87</xdr:row>
      <xdr:rowOff>50035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15300" y="13496925"/>
          <a:ext cx="3240560" cy="328853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7</xdr:col>
      <xdr:colOff>1495</xdr:colOff>
      <xdr:row>47</xdr:row>
      <xdr:rowOff>78627</xdr:rowOff>
    </xdr:from>
    <xdr:to>
      <xdr:col>8</xdr:col>
      <xdr:colOff>4828050</xdr:colOff>
      <xdr:row>51</xdr:row>
      <xdr:rowOff>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504145" y="8892427"/>
          <a:ext cx="5556805" cy="657973"/>
        </a:xfrm>
        <a:prstGeom prst="rect">
          <a:avLst/>
        </a:prstGeom>
        <a:ln w="12700">
          <a:solidFill>
            <a:sysClr val="windowText" lastClr="000000"/>
          </a:solidFill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27214</xdr:colOff>
      <xdr:row>16</xdr:row>
      <xdr:rowOff>0</xdr:rowOff>
    </xdr:from>
    <xdr:to>
      <xdr:col>15</xdr:col>
      <xdr:colOff>13607</xdr:colOff>
      <xdr:row>37</xdr:row>
      <xdr:rowOff>1503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0814" y="2971800"/>
          <a:ext cx="4453619" cy="4002003"/>
        </a:xfrm>
        <a:prstGeom prst="rect">
          <a:avLst/>
        </a:prstGeom>
        <a:noFill/>
        <a:ln w="3175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25537</xdr:colOff>
      <xdr:row>11</xdr:row>
      <xdr:rowOff>0</xdr:rowOff>
    </xdr:from>
    <xdr:to>
      <xdr:col>15</xdr:col>
      <xdr:colOff>13607</xdr:colOff>
      <xdr:row>15</xdr:row>
      <xdr:rowOff>66601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89137" y="2019300"/>
          <a:ext cx="4455296" cy="828601"/>
        </a:xfrm>
        <a:prstGeom prst="rect">
          <a:avLst/>
        </a:prstGeom>
        <a:noFill/>
        <a:ln w="3175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27150</xdr:colOff>
      <xdr:row>11</xdr:row>
      <xdr:rowOff>0</xdr:rowOff>
    </xdr:from>
    <xdr:to>
      <xdr:col>19</xdr:col>
      <xdr:colOff>0</xdr:colOff>
      <xdr:row>15</xdr:row>
      <xdr:rowOff>101983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96225" y="2019300"/>
          <a:ext cx="4449600" cy="863983"/>
        </a:xfrm>
        <a:prstGeom prst="rect">
          <a:avLst/>
        </a:prstGeom>
        <a:noFill/>
        <a:ln w="3175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27150</xdr:colOff>
      <xdr:row>16</xdr:row>
      <xdr:rowOff>21011</xdr:rowOff>
    </xdr:from>
    <xdr:to>
      <xdr:col>19</xdr:col>
      <xdr:colOff>0</xdr:colOff>
      <xdr:row>37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92079" y="3069011"/>
          <a:ext cx="4671850" cy="3788989"/>
        </a:xfrm>
        <a:prstGeom prst="rect">
          <a:avLst/>
        </a:prstGeom>
        <a:noFill/>
        <a:ln w="3175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1304636</xdr:colOff>
      <xdr:row>18</xdr:row>
      <xdr:rowOff>173181</xdr:rowOff>
    </xdr:from>
    <xdr:to>
      <xdr:col>8</xdr:col>
      <xdr:colOff>1223819</xdr:colOff>
      <xdr:row>22</xdr:row>
      <xdr:rowOff>141836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00272" y="3648363"/>
          <a:ext cx="7643092" cy="707564"/>
        </a:xfrm>
        <a:prstGeom prst="rect">
          <a:avLst/>
        </a:prstGeom>
        <a:ln w="12700">
          <a:solidFill>
            <a:sysClr val="windowText" lastClr="000000"/>
          </a:solidFill>
        </a:ln>
      </xdr:spPr>
    </xdr:pic>
    <xdr:clientData/>
  </xdr:twoCellAnchor>
  <xdr:twoCellAnchor editAs="oneCell">
    <xdr:from>
      <xdr:col>6</xdr:col>
      <xdr:colOff>80818</xdr:colOff>
      <xdr:row>24</xdr:row>
      <xdr:rowOff>80820</xdr:rowOff>
    </xdr:from>
    <xdr:to>
      <xdr:col>7</xdr:col>
      <xdr:colOff>5428673</xdr:colOff>
      <xdr:row>31</xdr:row>
      <xdr:rowOff>138657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04182" y="4664365"/>
          <a:ext cx="6280727" cy="135092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13</xdr:row>
      <xdr:rowOff>0</xdr:rowOff>
    </xdr:from>
    <xdr:to>
      <xdr:col>5</xdr:col>
      <xdr:colOff>1692090</xdr:colOff>
      <xdr:row>26</xdr:row>
      <xdr:rowOff>179294</xdr:rowOff>
    </xdr:to>
    <xdr:graphicFrame macro="">
      <xdr:nvGraphicFramePr>
        <xdr:cNvPr id="4" name="Diagramm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96693</xdr:colOff>
      <xdr:row>12</xdr:row>
      <xdr:rowOff>20205</xdr:rowOff>
    </xdr:from>
    <xdr:to>
      <xdr:col>11</xdr:col>
      <xdr:colOff>645817</xdr:colOff>
      <xdr:row>52</xdr:row>
      <xdr:rowOff>92364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196329" y="2398569"/>
          <a:ext cx="4751670" cy="7461250"/>
        </a:xfrm>
        <a:prstGeom prst="rect">
          <a:avLst/>
        </a:prstGeom>
        <a:ln w="12700">
          <a:solidFill>
            <a:sysClr val="windowText" lastClr="000000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28575</xdr:colOff>
      <xdr:row>15</xdr:row>
      <xdr:rowOff>38100</xdr:rowOff>
    </xdr:from>
    <xdr:to>
      <xdr:col>13</xdr:col>
      <xdr:colOff>291646</xdr:colOff>
      <xdr:row>28</xdr:row>
      <xdr:rowOff>169136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00" y="3038475"/>
          <a:ext cx="2615746" cy="2826611"/>
        </a:xfrm>
        <a:prstGeom prst="rect">
          <a:avLst/>
        </a:prstGeom>
        <a:solidFill>
          <a:schemeClr val="bg1"/>
        </a:solidFill>
        <a:ln w="19050">
          <a:solidFill>
            <a:sysClr val="windowText" lastClr="000000"/>
          </a:solidFill>
        </a:ln>
      </xdr:spPr>
    </xdr:pic>
    <xdr:clientData/>
  </xdr:twoCellAnchor>
  <xdr:twoCellAnchor editAs="oneCell">
    <xdr:from>
      <xdr:col>10</xdr:col>
      <xdr:colOff>19050</xdr:colOff>
      <xdr:row>30</xdr:row>
      <xdr:rowOff>57150</xdr:rowOff>
    </xdr:from>
    <xdr:to>
      <xdr:col>13</xdr:col>
      <xdr:colOff>326572</xdr:colOff>
      <xdr:row>43</xdr:row>
      <xdr:rowOff>160186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182975" y="6134100"/>
          <a:ext cx="2660197" cy="2817661"/>
        </a:xfrm>
        <a:prstGeom prst="rect">
          <a:avLst/>
        </a:prstGeom>
        <a:solidFill>
          <a:schemeClr val="bg1"/>
        </a:solidFill>
        <a:ln w="19050">
          <a:solidFill>
            <a:sysClr val="windowText" lastClr="000000"/>
          </a:solidFill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</xdr:colOff>
      <xdr:row>11</xdr:row>
      <xdr:rowOff>79490</xdr:rowOff>
    </xdr:from>
    <xdr:to>
      <xdr:col>12</xdr:col>
      <xdr:colOff>734331</xdr:colOff>
      <xdr:row>23</xdr:row>
      <xdr:rowOff>38100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8376"/>
        <a:stretch/>
      </xdr:blipFill>
      <xdr:spPr>
        <a:xfrm>
          <a:off x="12915900" y="2317865"/>
          <a:ext cx="4496706" cy="224461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5</xdr:col>
      <xdr:colOff>0</xdr:colOff>
      <xdr:row>15</xdr:row>
      <xdr:rowOff>45818</xdr:rowOff>
    </xdr:from>
    <xdr:to>
      <xdr:col>7</xdr:col>
      <xdr:colOff>748104</xdr:colOff>
      <xdr:row>23</xdr:row>
      <xdr:rowOff>114300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9066"/>
        <a:stretch/>
      </xdr:blipFill>
      <xdr:spPr>
        <a:xfrm>
          <a:off x="7124700" y="3236693"/>
          <a:ext cx="4243779" cy="159248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5</xdr:col>
      <xdr:colOff>9525</xdr:colOff>
      <xdr:row>27</xdr:row>
      <xdr:rowOff>62126</xdr:rowOff>
    </xdr:from>
    <xdr:to>
      <xdr:col>6</xdr:col>
      <xdr:colOff>1915350</xdr:colOff>
      <xdr:row>39</xdr:row>
      <xdr:rowOff>104775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34225" y="5348501"/>
          <a:ext cx="2667825" cy="2328649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7"/>
  <sheetViews>
    <sheetView tabSelected="1" zoomScaleNormal="100" workbookViewId="0"/>
  </sheetViews>
  <sheetFormatPr defaultColWidth="11.42578125" defaultRowHeight="15" x14ac:dyDescent="0.25"/>
  <cols>
    <col min="1" max="1" width="13.140625" style="4" customWidth="1"/>
    <col min="2" max="2" width="12.140625" style="43" bestFit="1" customWidth="1"/>
    <col min="3" max="3" width="26.85546875" style="4" bestFit="1" customWidth="1"/>
    <col min="4" max="4" width="17.140625" customWidth="1"/>
    <col min="5" max="5" width="9.5703125" customWidth="1"/>
    <col min="6" max="6" width="45.140625" bestFit="1" customWidth="1"/>
    <col min="7" max="7" width="17.140625" customWidth="1"/>
    <col min="8" max="8" width="10" customWidth="1"/>
    <col min="9" max="9" width="5.85546875" style="44" bestFit="1" customWidth="1"/>
    <col min="10" max="10" width="92.85546875" bestFit="1" customWidth="1"/>
    <col min="11" max="14" width="11.140625" bestFit="1" customWidth="1"/>
    <col min="17" max="17" width="10.5703125" customWidth="1"/>
    <col min="18" max="18" width="82" bestFit="1" customWidth="1"/>
    <col min="21" max="21" width="44.85546875" customWidth="1"/>
  </cols>
  <sheetData>
    <row r="1" spans="1:22" ht="26.25" x14ac:dyDescent="0.4">
      <c r="A1" s="1" t="s">
        <v>94</v>
      </c>
      <c r="B1"/>
      <c r="C1"/>
      <c r="I1" s="1" t="s">
        <v>95</v>
      </c>
    </row>
    <row r="2" spans="1:22" x14ac:dyDescent="0.25">
      <c r="A2" s="78" t="s">
        <v>245</v>
      </c>
      <c r="B2"/>
      <c r="C2"/>
    </row>
    <row r="3" spans="1:22" x14ac:dyDescent="0.25">
      <c r="A3"/>
      <c r="B3"/>
      <c r="C3"/>
    </row>
    <row r="4" spans="1:22" x14ac:dyDescent="0.25">
      <c r="A4" s="2" t="s">
        <v>74</v>
      </c>
      <c r="B4"/>
      <c r="C4"/>
      <c r="E4" s="8" t="s">
        <v>137</v>
      </c>
      <c r="I4" s="8" t="s">
        <v>136</v>
      </c>
      <c r="Q4" s="8" t="s">
        <v>138</v>
      </c>
    </row>
    <row r="5" spans="1:22" x14ac:dyDescent="0.25">
      <c r="A5" t="s">
        <v>121</v>
      </c>
      <c r="B5"/>
      <c r="C5"/>
    </row>
    <row r="6" spans="1:22" x14ac:dyDescent="0.25">
      <c r="A6"/>
      <c r="B6"/>
      <c r="C6"/>
    </row>
    <row r="7" spans="1:22" x14ac:dyDescent="0.25">
      <c r="A7" s="5" t="s">
        <v>139</v>
      </c>
      <c r="B7" s="86" t="s">
        <v>140</v>
      </c>
      <c r="C7" s="87" t="s">
        <v>118</v>
      </c>
      <c r="E7" s="4"/>
      <c r="F7" s="4" t="s">
        <v>130</v>
      </c>
      <c r="G7" s="113">
        <f>SUM(B:B)</f>
        <v>1265.1169400000001</v>
      </c>
      <c r="I7" s="44" t="s">
        <v>92</v>
      </c>
      <c r="K7" s="65" t="s">
        <v>109</v>
      </c>
      <c r="L7" s="66"/>
      <c r="M7" s="66"/>
      <c r="N7" s="66"/>
      <c r="O7" s="67"/>
      <c r="Q7" s="6" t="s">
        <v>33</v>
      </c>
      <c r="R7" s="106" t="s">
        <v>134</v>
      </c>
      <c r="S7" s="112">
        <v>34</v>
      </c>
      <c r="U7" s="24"/>
      <c r="V7" s="12"/>
    </row>
    <row r="8" spans="1:22" x14ac:dyDescent="0.25">
      <c r="A8" s="52">
        <v>7</v>
      </c>
      <c r="B8" s="92">
        <v>3.9576699999999998</v>
      </c>
      <c r="C8" s="52">
        <v>1</v>
      </c>
      <c r="E8" s="4"/>
      <c r="F8" s="4" t="s">
        <v>132</v>
      </c>
      <c r="G8" s="52">
        <v>251</v>
      </c>
      <c r="K8" s="68">
        <v>1</v>
      </c>
      <c r="L8" s="68">
        <v>2</v>
      </c>
      <c r="M8" s="68">
        <v>3</v>
      </c>
      <c r="N8" s="68">
        <v>4</v>
      </c>
      <c r="O8" s="68">
        <v>5</v>
      </c>
      <c r="Q8" s="6" t="s">
        <v>34</v>
      </c>
      <c r="R8" s="106" t="s">
        <v>127</v>
      </c>
      <c r="S8" s="114">
        <f>G10</f>
        <v>60.483678406374509</v>
      </c>
      <c r="U8" s="14"/>
      <c r="V8" s="12"/>
    </row>
    <row r="9" spans="1:22" x14ac:dyDescent="0.25">
      <c r="A9" s="52">
        <v>5</v>
      </c>
      <c r="B9" s="92">
        <v>11.4223</v>
      </c>
      <c r="C9" s="52">
        <v>1</v>
      </c>
      <c r="E9" s="4"/>
      <c r="F9" s="4" t="s">
        <v>131</v>
      </c>
      <c r="G9" s="113">
        <f>G7/G8</f>
        <v>5.0403065338645421</v>
      </c>
      <c r="I9" s="42"/>
      <c r="J9" s="4" t="s">
        <v>133</v>
      </c>
      <c r="K9" s="80">
        <v>1</v>
      </c>
      <c r="L9" s="80">
        <v>1</v>
      </c>
      <c r="M9" s="80">
        <v>1</v>
      </c>
      <c r="N9" s="80">
        <v>1</v>
      </c>
      <c r="O9" s="80">
        <v>0.15</v>
      </c>
      <c r="Q9" s="6" t="s">
        <v>35</v>
      </c>
      <c r="R9" s="106" t="s">
        <v>200</v>
      </c>
      <c r="S9" s="81">
        <f>SUMPRODUCT(K9:O9,K24:O24)/G11</f>
        <v>9.3978623818669558</v>
      </c>
      <c r="U9" s="24"/>
      <c r="V9" s="12"/>
    </row>
    <row r="10" spans="1:22" x14ac:dyDescent="0.25">
      <c r="A10" s="52">
        <v>6</v>
      </c>
      <c r="B10" s="92">
        <v>2.43709</v>
      </c>
      <c r="C10" s="52">
        <v>1</v>
      </c>
      <c r="E10" s="4" t="s">
        <v>34</v>
      </c>
      <c r="F10" s="4" t="s">
        <v>127</v>
      </c>
      <c r="G10" s="113">
        <f>12*G9</f>
        <v>60.483678406374509</v>
      </c>
      <c r="I10" s="42"/>
      <c r="J10" s="4" t="s">
        <v>115</v>
      </c>
      <c r="K10" s="63">
        <f>$G$10*K$9</f>
        <v>60.483678406374509</v>
      </c>
      <c r="L10" s="63">
        <f t="shared" ref="L10:O10" si="0">$G$10*L$9</f>
        <v>60.483678406374509</v>
      </c>
      <c r="M10" s="63">
        <f t="shared" si="0"/>
        <v>60.483678406374509</v>
      </c>
      <c r="N10" s="63">
        <f t="shared" si="0"/>
        <v>60.483678406374509</v>
      </c>
      <c r="O10" s="63">
        <f t="shared" si="0"/>
        <v>9.0725517609561752</v>
      </c>
      <c r="Q10" s="6" t="s">
        <v>36</v>
      </c>
      <c r="R10" s="106" t="s">
        <v>198</v>
      </c>
      <c r="S10" s="111">
        <f>SUMPRODUCT(K9:O9,K33:O33)/G11</f>
        <v>0.3102499440167617</v>
      </c>
      <c r="U10" s="59"/>
    </row>
    <row r="11" spans="1:22" x14ac:dyDescent="0.25">
      <c r="A11" s="52">
        <v>7</v>
      </c>
      <c r="B11" s="92">
        <v>2.1054599999999999</v>
      </c>
      <c r="C11" s="52">
        <v>1</v>
      </c>
      <c r="E11" s="4"/>
      <c r="F11" s="4" t="s">
        <v>159</v>
      </c>
      <c r="G11" s="64">
        <f>G8/G10</f>
        <v>4.1498798785615287</v>
      </c>
      <c r="I11" s="69" t="s">
        <v>93</v>
      </c>
      <c r="J11" s="70" t="s">
        <v>120</v>
      </c>
      <c r="K11" s="4"/>
      <c r="L11" s="4"/>
      <c r="M11" s="4"/>
      <c r="N11" s="4"/>
      <c r="O11" s="4"/>
      <c r="Q11" s="14"/>
      <c r="R11" s="107"/>
      <c r="S11" s="108"/>
    </row>
    <row r="12" spans="1:22" x14ac:dyDescent="0.25">
      <c r="A12" s="52">
        <v>6</v>
      </c>
      <c r="B12" s="92">
        <v>3.5579100000000001</v>
      </c>
      <c r="C12" s="52">
        <v>1</v>
      </c>
      <c r="I12" s="42">
        <v>1</v>
      </c>
      <c r="J12" s="4" t="s">
        <v>49</v>
      </c>
      <c r="K12" s="63" t="str">
        <f t="shared" ref="K12:O20" si="1">IF(COUNTIFS($A:$A,$I12,$C:$C,K$8)=0,"",(COUNTIFS($A:$A,$I12,$C:$C,K$8)))</f>
        <v/>
      </c>
      <c r="L12" s="63" t="str">
        <f t="shared" si="1"/>
        <v/>
      </c>
      <c r="M12" s="63" t="str">
        <f t="shared" si="1"/>
        <v/>
      </c>
      <c r="N12" s="63" t="str">
        <f t="shared" si="1"/>
        <v/>
      </c>
      <c r="O12" s="63" t="str">
        <f t="shared" si="1"/>
        <v/>
      </c>
    </row>
    <row r="13" spans="1:22" x14ac:dyDescent="0.25">
      <c r="A13" s="52">
        <v>7</v>
      </c>
      <c r="B13" s="92">
        <v>1.45408</v>
      </c>
      <c r="C13" s="52">
        <v>1</v>
      </c>
      <c r="F13" s="58"/>
      <c r="I13" s="42">
        <v>2</v>
      </c>
      <c r="J13" s="4" t="s">
        <v>50</v>
      </c>
      <c r="K13" s="63" t="str">
        <f t="shared" si="1"/>
        <v/>
      </c>
      <c r="L13" s="63">
        <f t="shared" si="1"/>
        <v>2</v>
      </c>
      <c r="M13" s="63" t="str">
        <f t="shared" si="1"/>
        <v/>
      </c>
      <c r="N13" s="63" t="str">
        <f t="shared" si="1"/>
        <v/>
      </c>
      <c r="O13" s="63">
        <f t="shared" si="1"/>
        <v>1</v>
      </c>
      <c r="R13" s="79"/>
    </row>
    <row r="14" spans="1:22" x14ac:dyDescent="0.25">
      <c r="A14" s="52">
        <v>7</v>
      </c>
      <c r="B14" s="92">
        <v>1.3606499999999999</v>
      </c>
      <c r="C14" s="52">
        <v>1</v>
      </c>
      <c r="I14" s="42">
        <v>3</v>
      </c>
      <c r="J14" s="4" t="s">
        <v>90</v>
      </c>
      <c r="K14" s="63">
        <f t="shared" si="1"/>
        <v>1</v>
      </c>
      <c r="L14" s="63">
        <f t="shared" si="1"/>
        <v>1</v>
      </c>
      <c r="M14" s="63">
        <f t="shared" si="1"/>
        <v>1</v>
      </c>
      <c r="N14" s="63">
        <f t="shared" si="1"/>
        <v>3</v>
      </c>
      <c r="O14" s="63">
        <f t="shared" si="1"/>
        <v>1</v>
      </c>
    </row>
    <row r="15" spans="1:22" x14ac:dyDescent="0.25">
      <c r="A15" s="52">
        <v>3</v>
      </c>
      <c r="B15" s="92">
        <v>229.887</v>
      </c>
      <c r="C15" s="52">
        <v>1</v>
      </c>
      <c r="I15" s="42">
        <v>4</v>
      </c>
      <c r="J15" s="4" t="s">
        <v>91</v>
      </c>
      <c r="K15" s="63" t="str">
        <f t="shared" si="1"/>
        <v/>
      </c>
      <c r="L15" s="63" t="str">
        <f t="shared" si="1"/>
        <v/>
      </c>
      <c r="M15" s="63" t="str">
        <f t="shared" si="1"/>
        <v/>
      </c>
      <c r="N15" s="63">
        <f t="shared" si="1"/>
        <v>4</v>
      </c>
      <c r="O15" s="63" t="str">
        <f t="shared" si="1"/>
        <v/>
      </c>
      <c r="Q15" s="53"/>
    </row>
    <row r="16" spans="1:22" x14ac:dyDescent="0.25">
      <c r="A16" s="52">
        <v>6</v>
      </c>
      <c r="B16" s="92">
        <v>3.1747399999999999</v>
      </c>
      <c r="C16" s="52">
        <v>2</v>
      </c>
      <c r="F16" s="164" t="s">
        <v>290</v>
      </c>
      <c r="I16" s="42">
        <v>5</v>
      </c>
      <c r="J16" s="4" t="s">
        <v>89</v>
      </c>
      <c r="K16" s="63">
        <f t="shared" si="1"/>
        <v>1</v>
      </c>
      <c r="L16" s="63" t="str">
        <f t="shared" si="1"/>
        <v/>
      </c>
      <c r="M16" s="63" t="str">
        <f t="shared" si="1"/>
        <v/>
      </c>
      <c r="N16" s="63">
        <f t="shared" si="1"/>
        <v>1</v>
      </c>
      <c r="O16" s="63" t="str">
        <f t="shared" si="1"/>
        <v/>
      </c>
    </row>
    <row r="17" spans="1:18" x14ac:dyDescent="0.25">
      <c r="A17" s="52">
        <v>2</v>
      </c>
      <c r="B17" s="92">
        <v>1.78091</v>
      </c>
      <c r="C17" s="52">
        <v>2</v>
      </c>
      <c r="I17" s="42">
        <v>6</v>
      </c>
      <c r="J17" s="4" t="s">
        <v>51</v>
      </c>
      <c r="K17" s="63">
        <f t="shared" si="1"/>
        <v>2</v>
      </c>
      <c r="L17" s="63">
        <f t="shared" si="1"/>
        <v>2</v>
      </c>
      <c r="M17" s="63">
        <f t="shared" si="1"/>
        <v>4</v>
      </c>
      <c r="N17" s="63">
        <f t="shared" si="1"/>
        <v>4</v>
      </c>
      <c r="O17" s="63">
        <f t="shared" si="1"/>
        <v>1</v>
      </c>
    </row>
    <row r="18" spans="1:18" x14ac:dyDescent="0.25">
      <c r="A18" s="52">
        <v>6</v>
      </c>
      <c r="B18" s="92">
        <v>2.1596099999999998</v>
      </c>
      <c r="C18" s="52">
        <v>2</v>
      </c>
      <c r="I18" s="42">
        <v>7</v>
      </c>
      <c r="J18" s="4" t="s">
        <v>52</v>
      </c>
      <c r="K18" s="63">
        <f t="shared" si="1"/>
        <v>4</v>
      </c>
      <c r="L18" s="63">
        <f t="shared" si="1"/>
        <v>2</v>
      </c>
      <c r="M18" s="63">
        <f t="shared" si="1"/>
        <v>2</v>
      </c>
      <c r="N18" s="63">
        <f t="shared" si="1"/>
        <v>2</v>
      </c>
      <c r="O18" s="63" t="str">
        <f t="shared" si="1"/>
        <v/>
      </c>
      <c r="R18" s="82"/>
    </row>
    <row r="19" spans="1:18" x14ac:dyDescent="0.25">
      <c r="A19" s="52">
        <v>2</v>
      </c>
      <c r="B19" s="92">
        <v>1.53135</v>
      </c>
      <c r="C19" s="52">
        <v>2</v>
      </c>
      <c r="I19" s="42">
        <v>8</v>
      </c>
      <c r="J19" s="4" t="s">
        <v>88</v>
      </c>
      <c r="K19" s="63" t="str">
        <f t="shared" si="1"/>
        <v/>
      </c>
      <c r="L19" s="63" t="str">
        <f t="shared" si="1"/>
        <v/>
      </c>
      <c r="M19" s="63" t="str">
        <f t="shared" si="1"/>
        <v/>
      </c>
      <c r="N19" s="63" t="str">
        <f t="shared" si="1"/>
        <v/>
      </c>
      <c r="O19" s="63" t="str">
        <f t="shared" si="1"/>
        <v/>
      </c>
    </row>
    <row r="20" spans="1:18" ht="15.75" thickBot="1" x14ac:dyDescent="0.3">
      <c r="A20" s="52">
        <v>7</v>
      </c>
      <c r="B20" s="92">
        <v>6.1568999999999999E-2</v>
      </c>
      <c r="C20" s="52">
        <v>2</v>
      </c>
      <c r="I20" s="51">
        <v>9</v>
      </c>
      <c r="J20" s="47" t="s">
        <v>87</v>
      </c>
      <c r="K20" s="71" t="str">
        <f t="shared" si="1"/>
        <v/>
      </c>
      <c r="L20" s="71" t="str">
        <f t="shared" si="1"/>
        <v/>
      </c>
      <c r="M20" s="71" t="str">
        <f t="shared" si="1"/>
        <v/>
      </c>
      <c r="N20" s="71" t="str">
        <f t="shared" si="1"/>
        <v/>
      </c>
      <c r="O20" s="71" t="str">
        <f t="shared" si="1"/>
        <v/>
      </c>
    </row>
    <row r="21" spans="1:18" x14ac:dyDescent="0.25">
      <c r="A21" s="52">
        <v>7</v>
      </c>
      <c r="B21" s="92">
        <v>38.074800000000003</v>
      </c>
      <c r="C21" s="52">
        <v>2</v>
      </c>
      <c r="I21" s="57"/>
      <c r="J21" s="74" t="s">
        <v>126</v>
      </c>
      <c r="K21" s="50"/>
      <c r="L21" s="50"/>
      <c r="M21" s="50"/>
      <c r="N21" s="50"/>
      <c r="O21" s="50"/>
    </row>
    <row r="22" spans="1:18" x14ac:dyDescent="0.25">
      <c r="A22" s="52">
        <v>3</v>
      </c>
      <c r="B22" s="92">
        <v>244.09899999999999</v>
      </c>
      <c r="C22" s="52">
        <v>2</v>
      </c>
      <c r="I22" s="42"/>
      <c r="J22" s="4" t="s">
        <v>110</v>
      </c>
      <c r="K22" s="63">
        <f>COUNTIF(K12:K20,"&gt;0")</f>
        <v>4</v>
      </c>
      <c r="L22" s="63">
        <f>COUNTIF(L12:L20,"&gt;0")</f>
        <v>4</v>
      </c>
      <c r="M22" s="63">
        <f>COUNTIF(M12:M20,"&gt;0")</f>
        <v>3</v>
      </c>
      <c r="N22" s="63">
        <f>COUNTIF(N12:N20,"&gt;0")</f>
        <v>5</v>
      </c>
      <c r="O22" s="63">
        <f>COUNTIF(O12:O20,"&gt;0")</f>
        <v>3</v>
      </c>
    </row>
    <row r="23" spans="1:18" x14ac:dyDescent="0.25">
      <c r="A23" s="52">
        <v>7</v>
      </c>
      <c r="B23" s="92">
        <v>8.9619599999999995</v>
      </c>
      <c r="C23" s="52">
        <v>3</v>
      </c>
      <c r="I23" s="42"/>
      <c r="J23" s="72" t="s">
        <v>111</v>
      </c>
      <c r="K23" s="73">
        <f>SUM(K12:K20)</f>
        <v>8</v>
      </c>
      <c r="L23" s="73">
        <f>SUM(L12:L20)</f>
        <v>7</v>
      </c>
      <c r="M23" s="73">
        <f>SUM(M12:M20)</f>
        <v>7</v>
      </c>
      <c r="N23" s="73">
        <f>SUM(N12:N20)</f>
        <v>14</v>
      </c>
      <c r="O23" s="73">
        <f>SUM(O12:O20)</f>
        <v>3</v>
      </c>
    </row>
    <row r="24" spans="1:18" ht="15.75" thickBot="1" x14ac:dyDescent="0.3">
      <c r="A24" s="52">
        <v>7</v>
      </c>
      <c r="B24" s="92">
        <v>8.5370799999999996</v>
      </c>
      <c r="C24" s="52">
        <v>3</v>
      </c>
      <c r="I24" s="42"/>
      <c r="J24" s="52" t="s">
        <v>122</v>
      </c>
      <c r="K24" s="45">
        <f>K23/K$9</f>
        <v>8</v>
      </c>
      <c r="L24" s="45">
        <f>L23/L$9</f>
        <v>7</v>
      </c>
      <c r="M24" s="45">
        <f>M23/M$9</f>
        <v>7</v>
      </c>
      <c r="N24" s="45">
        <f>N23/N$9</f>
        <v>14</v>
      </c>
      <c r="O24" s="45">
        <f>O23/O$9</f>
        <v>20</v>
      </c>
    </row>
    <row r="25" spans="1:18" x14ac:dyDescent="0.25">
      <c r="A25" s="52">
        <v>6</v>
      </c>
      <c r="B25" s="92">
        <v>2.7551199999999998</v>
      </c>
      <c r="C25" s="52">
        <v>3</v>
      </c>
      <c r="I25" s="57"/>
      <c r="J25" s="62" t="s">
        <v>135</v>
      </c>
      <c r="K25" s="76"/>
      <c r="L25" s="76"/>
      <c r="M25" s="76"/>
      <c r="N25" s="76"/>
      <c r="O25" s="76"/>
    </row>
    <row r="26" spans="1:18" x14ac:dyDescent="0.25">
      <c r="A26" s="52">
        <v>6</v>
      </c>
      <c r="B26" s="92">
        <v>4.4700100000000003</v>
      </c>
      <c r="C26" s="52">
        <v>3</v>
      </c>
      <c r="I26" s="75"/>
      <c r="J26" s="4" t="s">
        <v>125</v>
      </c>
      <c r="K26" s="46">
        <f>COUNTIF(K14:K16,"&gt;0")</f>
        <v>2</v>
      </c>
      <c r="L26" s="46">
        <f>COUNTIF(L14:L16,"&gt;0")</f>
        <v>1</v>
      </c>
      <c r="M26" s="46">
        <f>COUNTIF(M14:M16,"&gt;0")</f>
        <v>1</v>
      </c>
      <c r="N26" s="46">
        <f>COUNTIF(N14:N16,"&gt;0")</f>
        <v>3</v>
      </c>
      <c r="O26" s="46">
        <f>COUNTIF(O14:O16,"&gt;0")</f>
        <v>1</v>
      </c>
    </row>
    <row r="27" spans="1:18" x14ac:dyDescent="0.25">
      <c r="A27" s="52">
        <v>6</v>
      </c>
      <c r="B27" s="92">
        <v>2.2885300000000002</v>
      </c>
      <c r="C27" s="52">
        <v>3</v>
      </c>
      <c r="I27" s="42"/>
      <c r="J27" s="52" t="s">
        <v>124</v>
      </c>
      <c r="K27" s="63">
        <f>SUM(K14:K16)</f>
        <v>2</v>
      </c>
      <c r="L27" s="63">
        <f>SUM(L14:L16)</f>
        <v>1</v>
      </c>
      <c r="M27" s="63">
        <f>SUM(M14:M16)</f>
        <v>1</v>
      </c>
      <c r="N27" s="63">
        <f>SUM(N14:N16)</f>
        <v>8</v>
      </c>
      <c r="O27" s="63">
        <f>SUM(O14:O16)</f>
        <v>1</v>
      </c>
    </row>
    <row r="28" spans="1:18" ht="15.75" thickBot="1" x14ac:dyDescent="0.3">
      <c r="A28" s="52">
        <v>6</v>
      </c>
      <c r="B28" s="92">
        <v>3.15204</v>
      </c>
      <c r="C28" s="52">
        <v>3</v>
      </c>
      <c r="I28" s="51"/>
      <c r="J28" s="60" t="s">
        <v>123</v>
      </c>
      <c r="K28" s="61">
        <f>K27/K$9</f>
        <v>2</v>
      </c>
      <c r="L28" s="61">
        <f>L27/L$9</f>
        <v>1</v>
      </c>
      <c r="M28" s="61">
        <f>M27/M$9</f>
        <v>1</v>
      </c>
      <c r="N28" s="61">
        <f>N27/N$9</f>
        <v>8</v>
      </c>
      <c r="O28" s="61">
        <f>O27/O$9</f>
        <v>6.666666666666667</v>
      </c>
    </row>
    <row r="29" spans="1:18" x14ac:dyDescent="0.25">
      <c r="A29" s="52">
        <v>3</v>
      </c>
      <c r="B29" s="92">
        <v>263.048</v>
      </c>
      <c r="C29" s="52">
        <v>3</v>
      </c>
      <c r="I29" s="57"/>
      <c r="J29" s="74" t="s">
        <v>281</v>
      </c>
      <c r="K29" s="50"/>
      <c r="L29" s="50"/>
      <c r="M29" s="50"/>
      <c r="N29" s="50"/>
      <c r="O29" s="50"/>
    </row>
    <row r="30" spans="1:18" x14ac:dyDescent="0.25">
      <c r="A30" s="52">
        <v>4</v>
      </c>
      <c r="B30" s="92">
        <v>18.095400000000001</v>
      </c>
      <c r="C30" s="52">
        <v>4</v>
      </c>
      <c r="I30" s="42"/>
      <c r="J30" s="4" t="s">
        <v>125</v>
      </c>
      <c r="K30" s="63">
        <f>COUNTIF(K19:K20,"&gt;0")</f>
        <v>0</v>
      </c>
      <c r="L30" s="63">
        <f>COUNTIF(L19:L20,"&gt;0")</f>
        <v>0</v>
      </c>
      <c r="M30" s="63">
        <f>COUNTIF(M19:M20,"&gt;0")</f>
        <v>0</v>
      </c>
      <c r="N30" s="63">
        <f>COUNTIF(N19:N20,"&gt;0")</f>
        <v>0</v>
      </c>
      <c r="O30" s="63">
        <f>COUNTIF(O19:O20,"&gt;0")</f>
        <v>0</v>
      </c>
    </row>
    <row r="31" spans="1:18" x14ac:dyDescent="0.25">
      <c r="A31" s="52">
        <v>4</v>
      </c>
      <c r="B31" s="92">
        <v>11.496700000000001</v>
      </c>
      <c r="C31" s="52">
        <v>4</v>
      </c>
      <c r="I31" s="42"/>
      <c r="J31" s="52" t="s">
        <v>124</v>
      </c>
      <c r="K31" s="45">
        <f>SUM(K19:K20)</f>
        <v>0</v>
      </c>
      <c r="L31" s="45">
        <f>SUM(L19:L20)</f>
        <v>0</v>
      </c>
      <c r="M31" s="45">
        <f>SUM(M19:M20)</f>
        <v>0</v>
      </c>
      <c r="N31" s="45">
        <f>SUM(N19:N20)</f>
        <v>0</v>
      </c>
      <c r="O31" s="45">
        <f>SUM(O19:O20)</f>
        <v>0</v>
      </c>
    </row>
    <row r="32" spans="1:18" ht="15.75" thickBot="1" x14ac:dyDescent="0.3">
      <c r="A32" s="52">
        <v>6</v>
      </c>
      <c r="B32" s="92">
        <v>0.87228000000000006</v>
      </c>
      <c r="C32" s="52">
        <v>4</v>
      </c>
      <c r="I32" s="42"/>
      <c r="J32" s="52" t="s">
        <v>123</v>
      </c>
      <c r="K32" s="45">
        <f>K31/K$9</f>
        <v>0</v>
      </c>
      <c r="L32" s="45">
        <f>L31/L$9</f>
        <v>0</v>
      </c>
      <c r="M32" s="45">
        <f>M31/M$9</f>
        <v>0</v>
      </c>
      <c r="N32" s="45">
        <f>N31/N$9</f>
        <v>0</v>
      </c>
      <c r="O32" s="45">
        <f>O31/O$9</f>
        <v>0</v>
      </c>
    </row>
    <row r="33" spans="1:15" x14ac:dyDescent="0.25">
      <c r="A33" s="52">
        <v>6</v>
      </c>
      <c r="B33" s="92">
        <v>2.7735500000000002</v>
      </c>
      <c r="C33" s="52">
        <v>4</v>
      </c>
      <c r="I33" s="57"/>
      <c r="J33" s="62" t="s">
        <v>112</v>
      </c>
      <c r="K33" s="109">
        <v>0.25</v>
      </c>
      <c r="L33" s="109">
        <v>0.25</v>
      </c>
      <c r="M33" s="109">
        <v>0.25</v>
      </c>
      <c r="N33" s="109">
        <v>0.5</v>
      </c>
      <c r="O33" s="109">
        <v>0.25</v>
      </c>
    </row>
    <row r="34" spans="1:15" x14ac:dyDescent="0.25">
      <c r="A34" s="52">
        <v>6</v>
      </c>
      <c r="B34" s="92">
        <v>0.106572</v>
      </c>
      <c r="C34" s="52">
        <v>4</v>
      </c>
    </row>
    <row r="35" spans="1:15" x14ac:dyDescent="0.25">
      <c r="A35" s="52">
        <v>3</v>
      </c>
      <c r="B35" s="92">
        <v>215.596</v>
      </c>
      <c r="C35" s="52">
        <v>4</v>
      </c>
      <c r="I35" s="163" t="s">
        <v>280</v>
      </c>
    </row>
    <row r="36" spans="1:15" x14ac:dyDescent="0.25">
      <c r="A36" s="52">
        <v>6</v>
      </c>
      <c r="B36" s="92">
        <v>7.9842300000000002</v>
      </c>
      <c r="C36" s="52">
        <v>4</v>
      </c>
    </row>
    <row r="37" spans="1:15" x14ac:dyDescent="0.25">
      <c r="A37" s="52">
        <v>7</v>
      </c>
      <c r="B37" s="92">
        <v>16.463200000000001</v>
      </c>
      <c r="C37" s="52">
        <v>4</v>
      </c>
    </row>
    <row r="38" spans="1:15" x14ac:dyDescent="0.25">
      <c r="A38" s="52">
        <v>5</v>
      </c>
      <c r="B38" s="92">
        <v>47.781999999999996</v>
      </c>
      <c r="C38" s="52">
        <v>4</v>
      </c>
    </row>
    <row r="39" spans="1:15" x14ac:dyDescent="0.25">
      <c r="A39" s="52">
        <v>4</v>
      </c>
      <c r="B39" s="92">
        <v>15.993600000000001</v>
      </c>
      <c r="C39" s="52">
        <v>4</v>
      </c>
    </row>
    <row r="40" spans="1:15" x14ac:dyDescent="0.25">
      <c r="A40" s="52">
        <v>4</v>
      </c>
      <c r="B40" s="92">
        <v>8.4367000000000001</v>
      </c>
      <c r="C40" s="52">
        <v>4</v>
      </c>
    </row>
    <row r="41" spans="1:15" x14ac:dyDescent="0.25">
      <c r="A41" s="52">
        <v>3</v>
      </c>
      <c r="B41" s="92">
        <v>8.6615300000000008</v>
      </c>
      <c r="C41" s="52">
        <v>4</v>
      </c>
    </row>
    <row r="42" spans="1:15" x14ac:dyDescent="0.25">
      <c r="A42" s="52">
        <v>7</v>
      </c>
      <c r="B42" s="92">
        <v>29.435400000000001</v>
      </c>
      <c r="C42" s="52">
        <v>4</v>
      </c>
    </row>
    <row r="43" spans="1:15" x14ac:dyDescent="0.25">
      <c r="A43" s="52">
        <v>3</v>
      </c>
      <c r="B43" s="92">
        <v>2.63191</v>
      </c>
      <c r="C43" s="52">
        <v>4</v>
      </c>
    </row>
    <row r="44" spans="1:15" x14ac:dyDescent="0.25">
      <c r="A44" s="52">
        <v>2</v>
      </c>
      <c r="B44" s="92">
        <v>18.775700000000001</v>
      </c>
      <c r="C44" s="52">
        <v>5</v>
      </c>
    </row>
    <row r="45" spans="1:15" x14ac:dyDescent="0.25">
      <c r="A45" s="52">
        <v>6</v>
      </c>
      <c r="B45" s="92">
        <v>0.77554100000000004</v>
      </c>
      <c r="C45" s="52">
        <v>5</v>
      </c>
    </row>
    <row r="46" spans="1:15" x14ac:dyDescent="0.25">
      <c r="A46" s="52">
        <v>3</v>
      </c>
      <c r="B46" s="92">
        <v>18.325500000000002</v>
      </c>
      <c r="C46" s="52">
        <v>5</v>
      </c>
    </row>
    <row r="47" spans="1:15" x14ac:dyDescent="0.25">
      <c r="A47" s="52">
        <v>0</v>
      </c>
      <c r="B47" s="92">
        <v>0.63424800000000003</v>
      </c>
      <c r="C47" s="52">
        <v>5</v>
      </c>
    </row>
  </sheetData>
  <dataValidations count="5">
    <dataValidation type="decimal" operator="greaterThanOrEqual" allowBlank="1" showInputMessage="1" showErrorMessage="1" errorTitle="Achtung Eingabebereich" error="≥1 [Dezimalzahl]" sqref="V9" xr:uid="{00000000-0002-0000-0000-000000000000}">
      <formula1>1</formula1>
    </dataValidation>
    <dataValidation type="whole" operator="greaterThanOrEqual" allowBlank="1" showInputMessage="1" showErrorMessage="1" errorTitle="Achtung Eingabebereich" error="≥1 [Ganzzahl]" sqref="V7" xr:uid="{00000000-0002-0000-0000-000001000000}">
      <formula1>1</formula1>
    </dataValidation>
    <dataValidation type="decimal" operator="greaterThan" allowBlank="1" showInputMessage="1" showErrorMessage="1" errorTitle="Achtung Eingabebereich" error="&gt;0 [Dezimalzahl]" sqref="V8 S8" xr:uid="{00000000-0002-0000-0000-000002000000}">
      <formula1>0</formula1>
    </dataValidation>
    <dataValidation operator="greaterThanOrEqual" allowBlank="1" showInputMessage="1" showErrorMessage="1" errorTitle="Achtung Eingabebereich" error="≥1 [Ganzzahl]" sqref="R18" xr:uid="{00000000-0002-0000-0000-000003000000}"/>
    <dataValidation operator="greaterThanOrEqual" allowBlank="1" showInputMessage="1" showErrorMessage="1" errorTitle="Achtung Eingabebereich" error="≥1 [Dezimalzahl]" sqref="S9" xr:uid="{00000000-0002-0000-0000-000004000000}"/>
  </dataValidation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5"/>
  <sheetViews>
    <sheetView zoomScaleNormal="100" workbookViewId="0">
      <selection activeCell="D16" sqref="D16"/>
    </sheetView>
  </sheetViews>
  <sheetFormatPr defaultColWidth="8.85546875" defaultRowHeight="15" x14ac:dyDescent="0.25"/>
  <cols>
    <col min="1" max="1" width="21.5703125" style="136" bestFit="1" customWidth="1"/>
    <col min="2" max="2" width="15.140625" style="136" bestFit="1" customWidth="1"/>
    <col min="3" max="3" width="9.5703125" style="138" customWidth="1"/>
    <col min="4" max="4" width="57.5703125" style="139" customWidth="1"/>
    <col min="5" max="5" width="24.42578125" style="136" customWidth="1"/>
    <col min="6" max="16384" width="8.85546875" style="140"/>
  </cols>
  <sheetData>
    <row r="1" spans="1:5" s="135" customFormat="1" ht="30" x14ac:dyDescent="0.25">
      <c r="A1" s="132" t="s">
        <v>202</v>
      </c>
      <c r="B1" s="133" t="s">
        <v>203</v>
      </c>
      <c r="C1" s="134" t="s">
        <v>204</v>
      </c>
      <c r="D1" s="133" t="s">
        <v>205</v>
      </c>
      <c r="E1" s="133" t="s">
        <v>206</v>
      </c>
    </row>
    <row r="2" spans="1:5" ht="60" x14ac:dyDescent="0.25">
      <c r="A2" s="143" t="s">
        <v>270</v>
      </c>
      <c r="B2" s="141">
        <v>44957</v>
      </c>
      <c r="C2" s="144" t="s">
        <v>207</v>
      </c>
      <c r="D2" s="142" t="s">
        <v>246</v>
      </c>
      <c r="E2" s="136" t="s">
        <v>208</v>
      </c>
    </row>
    <row r="3" spans="1:5" x14ac:dyDescent="0.25">
      <c r="A3" s="143" t="s">
        <v>282</v>
      </c>
      <c r="B3" s="141">
        <v>44957</v>
      </c>
      <c r="C3" s="144" t="s">
        <v>207</v>
      </c>
      <c r="D3" s="142" t="s">
        <v>283</v>
      </c>
      <c r="E3" s="143" t="s">
        <v>208</v>
      </c>
    </row>
    <row r="4" spans="1:5" ht="30" x14ac:dyDescent="0.25">
      <c r="A4" s="143" t="s">
        <v>284</v>
      </c>
      <c r="B4" s="141">
        <v>44957</v>
      </c>
      <c r="C4" s="144" t="s">
        <v>207</v>
      </c>
      <c r="D4" s="142" t="s">
        <v>285</v>
      </c>
      <c r="E4" s="143" t="s">
        <v>208</v>
      </c>
    </row>
    <row r="5" spans="1:5" ht="30" x14ac:dyDescent="0.25">
      <c r="A5" s="143" t="s">
        <v>269</v>
      </c>
      <c r="B5" s="141">
        <v>44957</v>
      </c>
      <c r="C5" s="138" t="s">
        <v>207</v>
      </c>
      <c r="D5" s="142" t="s">
        <v>268</v>
      </c>
      <c r="E5" s="136" t="s">
        <v>208</v>
      </c>
    </row>
    <row r="6" spans="1:5" ht="30" x14ac:dyDescent="0.25">
      <c r="A6" s="175" t="s">
        <v>289</v>
      </c>
      <c r="B6" s="176" t="s">
        <v>286</v>
      </c>
      <c r="C6" s="177" t="s">
        <v>287</v>
      </c>
      <c r="D6" s="178" t="s">
        <v>288</v>
      </c>
      <c r="E6" s="175" t="s">
        <v>208</v>
      </c>
    </row>
    <row r="7" spans="1:5" ht="30" x14ac:dyDescent="0.25">
      <c r="A7" s="136" t="s">
        <v>329</v>
      </c>
      <c r="B7" s="179">
        <v>45646</v>
      </c>
      <c r="C7" s="138" t="s">
        <v>287</v>
      </c>
      <c r="D7" s="139" t="s">
        <v>331</v>
      </c>
      <c r="E7" s="136" t="s">
        <v>208</v>
      </c>
    </row>
    <row r="8" spans="1:5" x14ac:dyDescent="0.25">
      <c r="A8" s="175" t="s">
        <v>315</v>
      </c>
      <c r="B8" s="179">
        <v>45646</v>
      </c>
      <c r="C8" s="138" t="s">
        <v>287</v>
      </c>
      <c r="D8" s="142" t="s">
        <v>330</v>
      </c>
      <c r="E8" s="136" t="s">
        <v>316</v>
      </c>
    </row>
    <row r="9" spans="1:5" x14ac:dyDescent="0.25">
      <c r="B9" s="137"/>
    </row>
    <row r="10" spans="1:5" x14ac:dyDescent="0.25">
      <c r="B10" s="137"/>
    </row>
    <row r="11" spans="1:5" x14ac:dyDescent="0.25">
      <c r="B11" s="137"/>
    </row>
    <row r="12" spans="1:5" x14ac:dyDescent="0.25">
      <c r="A12" s="139"/>
      <c r="B12" s="137"/>
    </row>
    <row r="13" spans="1:5" x14ac:dyDescent="0.25">
      <c r="B13" s="137"/>
    </row>
    <row r="14" spans="1:5" x14ac:dyDescent="0.25">
      <c r="A14" s="139"/>
      <c r="B14" s="137"/>
    </row>
    <row r="15" spans="1:5" x14ac:dyDescent="0.25">
      <c r="A15" s="139"/>
      <c r="B15" s="13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74"/>
  <sheetViews>
    <sheetView zoomScaleNormal="100" workbookViewId="0"/>
  </sheetViews>
  <sheetFormatPr defaultColWidth="11.42578125" defaultRowHeight="15" x14ac:dyDescent="0.25"/>
  <cols>
    <col min="1" max="1" width="14.85546875" style="4" customWidth="1"/>
    <col min="2" max="2" width="16" style="49" bestFit="1" customWidth="1"/>
    <col min="3" max="3" width="15.42578125" style="43" bestFit="1" customWidth="1"/>
    <col min="4" max="4" width="16.42578125" style="43" bestFit="1" customWidth="1"/>
    <col min="5" max="5" width="16" style="43" bestFit="1" customWidth="1"/>
    <col min="6" max="6" width="30.5703125" style="4" bestFit="1" customWidth="1"/>
    <col min="7" max="7" width="12.5703125" customWidth="1"/>
    <col min="8" max="8" width="10.42578125" style="44" customWidth="1"/>
    <col min="9" max="9" width="103.5703125" bestFit="1" customWidth="1"/>
    <col min="10" max="13" width="11.140625" bestFit="1" customWidth="1"/>
    <col min="14" max="14" width="11.140625" customWidth="1"/>
    <col min="17" max="17" width="10.5703125" customWidth="1"/>
    <col min="18" max="18" width="62" customWidth="1"/>
    <col min="21" max="21" width="4.85546875" bestFit="1" customWidth="1"/>
  </cols>
  <sheetData>
    <row r="1" spans="1:22" ht="26.25" x14ac:dyDescent="0.4">
      <c r="A1" s="1" t="s">
        <v>96</v>
      </c>
      <c r="B1"/>
      <c r="C1"/>
      <c r="D1"/>
      <c r="E1"/>
      <c r="F1"/>
      <c r="H1" s="1" t="s">
        <v>97</v>
      </c>
    </row>
    <row r="2" spans="1:22" x14ac:dyDescent="0.25">
      <c r="A2" s="78" t="s">
        <v>245</v>
      </c>
      <c r="B2"/>
      <c r="C2"/>
      <c r="D2"/>
      <c r="E2"/>
      <c r="F2"/>
      <c r="H2" s="2"/>
    </row>
    <row r="3" spans="1:22" x14ac:dyDescent="0.25">
      <c r="A3"/>
      <c r="B3"/>
      <c r="C3"/>
      <c r="D3"/>
      <c r="E3"/>
      <c r="F3"/>
    </row>
    <row r="4" spans="1:22" x14ac:dyDescent="0.25">
      <c r="A4" s="2" t="s">
        <v>74</v>
      </c>
      <c r="B4"/>
      <c r="C4"/>
      <c r="D4"/>
      <c r="E4"/>
      <c r="F4"/>
      <c r="H4" s="8" t="s">
        <v>141</v>
      </c>
      <c r="Q4" s="8" t="s">
        <v>142</v>
      </c>
    </row>
    <row r="5" spans="1:22" x14ac:dyDescent="0.25">
      <c r="A5" t="s">
        <v>119</v>
      </c>
      <c r="B5"/>
      <c r="C5"/>
      <c r="D5"/>
      <c r="E5"/>
      <c r="F5"/>
      <c r="H5" s="55" t="s">
        <v>107</v>
      </c>
    </row>
    <row r="6" spans="1:22" x14ac:dyDescent="0.25">
      <c r="A6"/>
      <c r="B6"/>
      <c r="C6"/>
      <c r="D6"/>
      <c r="E6"/>
      <c r="F6"/>
    </row>
    <row r="7" spans="1:22" x14ac:dyDescent="0.25">
      <c r="A7" s="87" t="s">
        <v>151</v>
      </c>
      <c r="B7" s="5" t="s">
        <v>152</v>
      </c>
      <c r="C7" s="86" t="s">
        <v>153</v>
      </c>
      <c r="D7" s="86" t="s">
        <v>154</v>
      </c>
      <c r="E7" s="86" t="s">
        <v>155</v>
      </c>
      <c r="F7" s="87" t="s">
        <v>118</v>
      </c>
      <c r="H7" s="44" t="s">
        <v>92</v>
      </c>
      <c r="J7" s="65" t="s">
        <v>109</v>
      </c>
      <c r="K7" s="66"/>
      <c r="L7" s="66"/>
      <c r="M7" s="66"/>
      <c r="N7" s="67"/>
      <c r="P7" t="s">
        <v>92</v>
      </c>
      <c r="Q7" s="6" t="s">
        <v>37</v>
      </c>
      <c r="R7" s="106" t="s">
        <v>99</v>
      </c>
      <c r="S7" s="63">
        <f>SUM(J43:N43)</f>
        <v>8.0208451354000001</v>
      </c>
    </row>
    <row r="8" spans="1:22" x14ac:dyDescent="0.25">
      <c r="A8" s="52">
        <v>1</v>
      </c>
      <c r="B8" s="93">
        <v>3</v>
      </c>
      <c r="C8" s="91">
        <v>2</v>
      </c>
      <c r="D8" s="91">
        <v>132</v>
      </c>
      <c r="E8" s="92">
        <v>14.036844435200001</v>
      </c>
      <c r="F8" s="52">
        <v>1</v>
      </c>
      <c r="J8" s="77">
        <v>1</v>
      </c>
      <c r="K8" s="77">
        <v>2</v>
      </c>
      <c r="L8" s="77">
        <v>3</v>
      </c>
      <c r="M8" s="77">
        <v>4</v>
      </c>
      <c r="N8" s="77">
        <v>5</v>
      </c>
      <c r="Q8" s="6" t="s">
        <v>38</v>
      </c>
      <c r="R8" s="106" t="s">
        <v>100</v>
      </c>
      <c r="S8" s="63">
        <f>SUM(J42:N42)</f>
        <v>2.9137406612099999</v>
      </c>
    </row>
    <row r="9" spans="1:22" x14ac:dyDescent="0.25">
      <c r="A9" s="52">
        <v>1</v>
      </c>
      <c r="B9" s="93">
        <v>3</v>
      </c>
      <c r="C9" s="91">
        <v>2</v>
      </c>
      <c r="D9" s="91">
        <v>132</v>
      </c>
      <c r="E9" s="92">
        <v>32.172034037099998</v>
      </c>
      <c r="F9" s="52">
        <v>1</v>
      </c>
      <c r="H9" s="42"/>
      <c r="I9" s="4" t="s">
        <v>129</v>
      </c>
      <c r="J9" s="38">
        <f>'Indikator 1.1'!K9</f>
        <v>1</v>
      </c>
      <c r="K9" s="38">
        <f>'Indikator 1.1'!L9</f>
        <v>1</v>
      </c>
      <c r="L9" s="38">
        <f>'Indikator 1.1'!M9</f>
        <v>1</v>
      </c>
      <c r="M9" s="38">
        <f>'Indikator 1.1'!N9</f>
        <v>1</v>
      </c>
      <c r="N9" s="38">
        <f>'Indikator 1.1'!O9</f>
        <v>0.15</v>
      </c>
      <c r="O9" s="59"/>
      <c r="Q9" s="6" t="s">
        <v>39</v>
      </c>
      <c r="R9" s="106" t="s">
        <v>195</v>
      </c>
      <c r="S9" s="38">
        <f>SUMPRODUCT(J9:N9,J45:N45)/'Indikator 1.1'!G11</f>
        <v>0.49390103010951658</v>
      </c>
      <c r="T9" s="24"/>
      <c r="U9" s="59"/>
      <c r="V9" s="56"/>
    </row>
    <row r="10" spans="1:22" x14ac:dyDescent="0.25">
      <c r="A10" s="52">
        <v>3</v>
      </c>
      <c r="B10" s="93">
        <v>3</v>
      </c>
      <c r="C10" s="91">
        <v>2</v>
      </c>
      <c r="D10" s="91">
        <v>332</v>
      </c>
      <c r="E10" s="92">
        <v>7.8076025482500002</v>
      </c>
      <c r="F10" s="52">
        <v>1</v>
      </c>
      <c r="H10" s="51"/>
      <c r="I10" s="47" t="s">
        <v>128</v>
      </c>
      <c r="J10" s="71">
        <f>'Indikator 1.1'!K10</f>
        <v>60.483678406374509</v>
      </c>
      <c r="K10" s="71">
        <f>'Indikator 1.1'!L10</f>
        <v>60.483678406374509</v>
      </c>
      <c r="L10" s="71">
        <f>'Indikator 1.1'!M10</f>
        <v>60.483678406374509</v>
      </c>
      <c r="M10" s="71">
        <f>'Indikator 1.1'!N10</f>
        <v>60.483678406374509</v>
      </c>
      <c r="N10" s="71">
        <f>'Indikator 1.1'!O10</f>
        <v>9.0725517609561752</v>
      </c>
      <c r="P10" t="s">
        <v>92</v>
      </c>
      <c r="Q10" s="6" t="s">
        <v>40</v>
      </c>
      <c r="R10" s="106" t="s">
        <v>196</v>
      </c>
      <c r="S10" s="38">
        <f>SUMPRODUCT(J9:N9,J58:N58)/'Indikator 1.1'!G11</f>
        <v>4.4459118191139826</v>
      </c>
      <c r="T10" s="24"/>
      <c r="U10" s="59"/>
    </row>
    <row r="11" spans="1:22" x14ac:dyDescent="0.25">
      <c r="A11" s="52">
        <v>2</v>
      </c>
      <c r="B11" s="93">
        <v>1</v>
      </c>
      <c r="C11" s="91">
        <v>2</v>
      </c>
      <c r="D11" s="91">
        <v>212</v>
      </c>
      <c r="E11" s="92">
        <v>2.4116119492500001</v>
      </c>
      <c r="F11" s="52">
        <v>1</v>
      </c>
      <c r="H11" s="69" t="s">
        <v>93</v>
      </c>
      <c r="I11" s="70" t="s">
        <v>160</v>
      </c>
      <c r="J11" s="115"/>
      <c r="K11" s="115"/>
      <c r="L11" s="115"/>
      <c r="M11" s="115"/>
      <c r="N11" s="115"/>
      <c r="O11" s="78"/>
      <c r="P11" t="s">
        <v>92</v>
      </c>
      <c r="Q11" s="6" t="s">
        <v>41</v>
      </c>
      <c r="R11" s="106" t="s">
        <v>197</v>
      </c>
      <c r="S11" s="38">
        <f>SUMPRODUCT(J9:N9,J59:N59)/'Indikator 1.1'!G11</f>
        <v>0.20382116063237091</v>
      </c>
      <c r="T11" s="24"/>
      <c r="U11" s="59"/>
    </row>
    <row r="12" spans="1:22" x14ac:dyDescent="0.25">
      <c r="A12" s="52">
        <v>3</v>
      </c>
      <c r="B12" s="93">
        <v>3</v>
      </c>
      <c r="C12" s="91">
        <v>2</v>
      </c>
      <c r="D12" s="91">
        <v>332</v>
      </c>
      <c r="E12" s="92">
        <v>2.8637418971800002</v>
      </c>
      <c r="F12" s="52">
        <v>1</v>
      </c>
      <c r="H12" s="42">
        <v>111</v>
      </c>
      <c r="I12" s="47" t="s">
        <v>164</v>
      </c>
      <c r="J12" s="71" t="str">
        <f>IF(SUMIFS($E:$E,$D:$D,$H12,$F:$F,J$8)=0,"",SUMIFS($E:$E,$D:$D,$H12,$F:$F,J$8))</f>
        <v/>
      </c>
      <c r="K12" s="71" t="str">
        <f>IF(SUMIFS($E:$E,$D:$D,$H12,$F:$F,K$8)=0,"",SUMIFS($E:$E,$D:$D,$H12,$F:$F,K$8))</f>
        <v/>
      </c>
      <c r="L12" s="71" t="str">
        <f t="shared" ref="J12:N41" si="0">IF(SUMIFS($E:$E,$D:$D,$H12,$F:$F,L$8)=0,"",SUMIFS($E:$E,$D:$D,$H12,$F:$F,L$8))</f>
        <v/>
      </c>
      <c r="M12" s="71" t="str">
        <f>IF(SUMIFS($E:$E,$D:$D,$H12,$F:$F,M$8)=0,"",SUMIFS($E:$E,$D:$D,$H12,$F:$F,M$8))</f>
        <v/>
      </c>
      <c r="N12" s="71" t="str">
        <f>IF(SUMIFS($E:$E,$D:$D,$H12,$F:$F,N$8)=0,"",SUMIFS($E:$E,$D:$D,$H12,$F:$F,N$8))</f>
        <v/>
      </c>
      <c r="O12" s="78"/>
      <c r="P12" s="59" t="s">
        <v>92</v>
      </c>
      <c r="Q12" s="6" t="s">
        <v>42</v>
      </c>
      <c r="R12" s="106" t="s">
        <v>101</v>
      </c>
      <c r="S12" s="63">
        <f>SUM(J44:N44)</f>
        <v>589.48484913134894</v>
      </c>
    </row>
    <row r="13" spans="1:22" x14ac:dyDescent="0.25">
      <c r="A13" s="52">
        <v>2</v>
      </c>
      <c r="B13" s="93">
        <v>1</v>
      </c>
      <c r="C13" s="91">
        <v>2</v>
      </c>
      <c r="D13" s="91">
        <v>212</v>
      </c>
      <c r="E13" s="92">
        <v>2.3976634888500001</v>
      </c>
      <c r="F13" s="52">
        <v>1</v>
      </c>
      <c r="H13" s="42">
        <v>112</v>
      </c>
      <c r="I13" s="47" t="s">
        <v>179</v>
      </c>
      <c r="J13" s="71" t="str">
        <f t="shared" si="0"/>
        <v/>
      </c>
      <c r="K13" s="71" t="str">
        <f t="shared" si="0"/>
        <v/>
      </c>
      <c r="L13" s="71" t="str">
        <f t="shared" si="0"/>
        <v/>
      </c>
      <c r="M13" s="71">
        <f t="shared" si="0"/>
        <v>2.9137406612099999</v>
      </c>
      <c r="N13" s="71" t="str">
        <f t="shared" si="0"/>
        <v/>
      </c>
      <c r="P13" s="59" t="s">
        <v>92</v>
      </c>
      <c r="Q13" s="6" t="s">
        <v>43</v>
      </c>
      <c r="R13" s="106" t="s">
        <v>102</v>
      </c>
      <c r="S13" s="111">
        <f>SUM(S9,S11)</f>
        <v>0.69772219074188746</v>
      </c>
    </row>
    <row r="14" spans="1:22" x14ac:dyDescent="0.25">
      <c r="A14" s="52">
        <v>1</v>
      </c>
      <c r="B14" s="93">
        <v>3</v>
      </c>
      <c r="C14" s="91">
        <v>2</v>
      </c>
      <c r="D14" s="91">
        <v>132</v>
      </c>
      <c r="E14" s="92">
        <v>33.9458463677</v>
      </c>
      <c r="F14" s="52">
        <v>1</v>
      </c>
      <c r="H14" s="42">
        <v>121</v>
      </c>
      <c r="I14" s="47" t="s">
        <v>165</v>
      </c>
      <c r="J14" s="71" t="str">
        <f t="shared" si="0"/>
        <v/>
      </c>
      <c r="K14" s="71" t="str">
        <f t="shared" si="0"/>
        <v/>
      </c>
      <c r="L14" s="71" t="str">
        <f t="shared" si="0"/>
        <v/>
      </c>
      <c r="M14" s="71" t="str">
        <f t="shared" si="0"/>
        <v/>
      </c>
      <c r="N14" s="71" t="str">
        <f t="shared" si="0"/>
        <v/>
      </c>
      <c r="P14" s="59" t="s">
        <v>92</v>
      </c>
    </row>
    <row r="15" spans="1:22" x14ac:dyDescent="0.25">
      <c r="A15" s="52">
        <v>3</v>
      </c>
      <c r="B15" s="93">
        <v>3</v>
      </c>
      <c r="C15" s="91">
        <v>2</v>
      </c>
      <c r="D15" s="91">
        <v>332</v>
      </c>
      <c r="E15" s="92">
        <v>2.5377480655500002</v>
      </c>
      <c r="F15" s="52">
        <v>1</v>
      </c>
      <c r="H15" s="42">
        <v>122</v>
      </c>
      <c r="I15" s="47" t="s">
        <v>180</v>
      </c>
      <c r="J15" s="71" t="str">
        <f t="shared" si="0"/>
        <v/>
      </c>
      <c r="K15" s="71" t="str">
        <f t="shared" si="0"/>
        <v/>
      </c>
      <c r="L15" s="71" t="str">
        <f t="shared" si="0"/>
        <v/>
      </c>
      <c r="M15" s="71">
        <f t="shared" si="0"/>
        <v>8.0208451354000001</v>
      </c>
      <c r="N15" s="71" t="str">
        <f t="shared" si="0"/>
        <v/>
      </c>
      <c r="P15" s="59" t="s">
        <v>92</v>
      </c>
    </row>
    <row r="16" spans="1:22" x14ac:dyDescent="0.25">
      <c r="A16" s="52">
        <v>1</v>
      </c>
      <c r="B16" s="93">
        <v>3</v>
      </c>
      <c r="C16" s="91">
        <v>2</v>
      </c>
      <c r="D16" s="91">
        <v>132</v>
      </c>
      <c r="E16" s="92">
        <v>4.0296292387700001</v>
      </c>
      <c r="F16" s="52">
        <v>1</v>
      </c>
      <c r="H16" s="42">
        <v>131</v>
      </c>
      <c r="I16" s="47" t="s">
        <v>166</v>
      </c>
      <c r="J16" s="71" t="str">
        <f t="shared" si="0"/>
        <v/>
      </c>
      <c r="K16" s="71" t="str">
        <f t="shared" si="0"/>
        <v/>
      </c>
      <c r="L16" s="71">
        <f t="shared" si="0"/>
        <v>4.7539206251100001</v>
      </c>
      <c r="M16" s="71">
        <f t="shared" si="0"/>
        <v>22.297527708360001</v>
      </c>
      <c r="N16" s="71" t="str">
        <f t="shared" si="0"/>
        <v/>
      </c>
    </row>
    <row r="17" spans="1:14" x14ac:dyDescent="0.25">
      <c r="A17" s="52">
        <v>3</v>
      </c>
      <c r="B17" s="93">
        <v>3</v>
      </c>
      <c r="C17" s="91">
        <v>2</v>
      </c>
      <c r="D17" s="91">
        <v>332</v>
      </c>
      <c r="E17" s="92">
        <v>5.1189286515100001</v>
      </c>
      <c r="F17" s="52">
        <v>1</v>
      </c>
      <c r="H17" s="42">
        <v>132</v>
      </c>
      <c r="I17" s="47" t="s">
        <v>181</v>
      </c>
      <c r="J17" s="71">
        <f t="shared" si="0"/>
        <v>99.929900938239996</v>
      </c>
      <c r="K17" s="71">
        <f t="shared" si="0"/>
        <v>90.618004563079992</v>
      </c>
      <c r="L17" s="71">
        <f t="shared" si="0"/>
        <v>98.595006103079996</v>
      </c>
      <c r="M17" s="71">
        <f>IF(SUMIFS($E:$E,$D:$D,$H17,$F:$F,M$8)=0,"",SUMIFS($E:$E,$D:$D,$H17,$F:$F,M$8))</f>
        <v>120.92770963759999</v>
      </c>
      <c r="N17" s="71">
        <f t="shared" si="0"/>
        <v>8.9143522471699992</v>
      </c>
    </row>
    <row r="18" spans="1:14" x14ac:dyDescent="0.25">
      <c r="A18" s="52">
        <v>3</v>
      </c>
      <c r="B18" s="93">
        <v>3</v>
      </c>
      <c r="C18" s="91">
        <v>2</v>
      </c>
      <c r="D18" s="91">
        <v>332</v>
      </c>
      <c r="E18" s="92">
        <v>2.2789904970000001</v>
      </c>
      <c r="F18" s="52">
        <v>1</v>
      </c>
      <c r="H18" s="42">
        <v>141</v>
      </c>
      <c r="I18" s="47" t="s">
        <v>167</v>
      </c>
      <c r="J18" s="71" t="str">
        <f t="shared" si="0"/>
        <v/>
      </c>
      <c r="K18" s="71" t="str">
        <f t="shared" si="0"/>
        <v/>
      </c>
      <c r="L18" s="71" t="str">
        <f t="shared" si="0"/>
        <v/>
      </c>
      <c r="M18" s="71" t="str">
        <f t="shared" si="0"/>
        <v/>
      </c>
      <c r="N18" s="71" t="str">
        <f t="shared" si="0"/>
        <v/>
      </c>
    </row>
    <row r="19" spans="1:14" x14ac:dyDescent="0.25">
      <c r="A19" s="52">
        <v>1</v>
      </c>
      <c r="B19" s="93">
        <v>3</v>
      </c>
      <c r="C19" s="91">
        <v>2</v>
      </c>
      <c r="D19" s="91">
        <v>132</v>
      </c>
      <c r="E19" s="92">
        <v>1.15133417137</v>
      </c>
      <c r="F19" s="52">
        <v>1</v>
      </c>
      <c r="H19" s="42">
        <v>142</v>
      </c>
      <c r="I19" s="47" t="s">
        <v>182</v>
      </c>
      <c r="J19" s="71" t="str">
        <f t="shared" si="0"/>
        <v/>
      </c>
      <c r="K19" s="71" t="str">
        <f t="shared" si="0"/>
        <v/>
      </c>
      <c r="L19" s="71" t="str">
        <f t="shared" si="0"/>
        <v/>
      </c>
      <c r="M19" s="71" t="str">
        <f t="shared" si="0"/>
        <v/>
      </c>
      <c r="N19" s="71" t="str">
        <f t="shared" si="0"/>
        <v/>
      </c>
    </row>
    <row r="20" spans="1:14" x14ac:dyDescent="0.25">
      <c r="A20" s="52">
        <v>3</v>
      </c>
      <c r="B20" s="93">
        <v>3</v>
      </c>
      <c r="C20" s="91">
        <v>2</v>
      </c>
      <c r="D20" s="91">
        <v>332</v>
      </c>
      <c r="E20" s="92">
        <v>3.0801814194300001</v>
      </c>
      <c r="F20" s="52">
        <v>1</v>
      </c>
      <c r="H20" s="42">
        <v>151</v>
      </c>
      <c r="I20" s="47" t="s">
        <v>168</v>
      </c>
      <c r="J20" s="71" t="str">
        <f t="shared" si="0"/>
        <v/>
      </c>
      <c r="K20" s="71" t="str">
        <f t="shared" si="0"/>
        <v/>
      </c>
      <c r="L20" s="71" t="str">
        <f t="shared" si="0"/>
        <v/>
      </c>
      <c r="M20" s="71" t="str">
        <f t="shared" si="0"/>
        <v/>
      </c>
      <c r="N20" s="71" t="str">
        <f t="shared" si="0"/>
        <v/>
      </c>
    </row>
    <row r="21" spans="1:14" x14ac:dyDescent="0.25">
      <c r="A21" s="52">
        <v>1</v>
      </c>
      <c r="B21" s="93">
        <v>3</v>
      </c>
      <c r="C21" s="91">
        <v>2</v>
      </c>
      <c r="D21" s="91">
        <v>132</v>
      </c>
      <c r="E21" s="92">
        <v>14.594212688100001</v>
      </c>
      <c r="F21" s="52">
        <v>1</v>
      </c>
      <c r="H21" s="42">
        <v>152</v>
      </c>
      <c r="I21" s="47" t="s">
        <v>183</v>
      </c>
      <c r="J21" s="71" t="str">
        <f t="shared" si="0"/>
        <v/>
      </c>
      <c r="K21" s="71" t="str">
        <f t="shared" si="0"/>
        <v/>
      </c>
      <c r="L21" s="71" t="str">
        <f t="shared" si="0"/>
        <v/>
      </c>
      <c r="M21" s="71" t="str">
        <f t="shared" si="0"/>
        <v/>
      </c>
      <c r="N21" s="71" t="str">
        <f t="shared" si="0"/>
        <v/>
      </c>
    </row>
    <row r="22" spans="1:14" x14ac:dyDescent="0.25">
      <c r="A22" s="52">
        <v>1</v>
      </c>
      <c r="B22" s="93">
        <v>3</v>
      </c>
      <c r="C22" s="91">
        <v>2</v>
      </c>
      <c r="D22" s="91">
        <v>132</v>
      </c>
      <c r="E22" s="92">
        <v>26.289009785000001</v>
      </c>
      <c r="F22" s="52">
        <v>2</v>
      </c>
      <c r="H22" s="42">
        <v>211</v>
      </c>
      <c r="I22" s="47" t="s">
        <v>169</v>
      </c>
      <c r="J22" s="71" t="str">
        <f t="shared" si="0"/>
        <v/>
      </c>
      <c r="K22" s="71" t="str">
        <f t="shared" si="0"/>
        <v/>
      </c>
      <c r="L22" s="71" t="str">
        <f t="shared" si="0"/>
        <v/>
      </c>
      <c r="M22" s="71" t="str">
        <f t="shared" si="0"/>
        <v/>
      </c>
      <c r="N22" s="71" t="str">
        <f t="shared" si="0"/>
        <v/>
      </c>
    </row>
    <row r="23" spans="1:14" x14ac:dyDescent="0.25">
      <c r="A23" s="52">
        <v>2</v>
      </c>
      <c r="B23" s="93">
        <v>1</v>
      </c>
      <c r="C23" s="91">
        <v>2</v>
      </c>
      <c r="D23" s="91">
        <v>212</v>
      </c>
      <c r="E23" s="92">
        <v>2.83489872053</v>
      </c>
      <c r="F23" s="52">
        <v>2</v>
      </c>
      <c r="H23" s="42">
        <v>212</v>
      </c>
      <c r="I23" s="47" t="s">
        <v>184</v>
      </c>
      <c r="J23" s="71">
        <f t="shared" si="0"/>
        <v>4.8092754381000002</v>
      </c>
      <c r="K23" s="71">
        <f t="shared" si="0"/>
        <v>6.7563960657200006</v>
      </c>
      <c r="L23" s="71">
        <f t="shared" si="0"/>
        <v>7.5862823147100009</v>
      </c>
      <c r="M23" s="71" t="str">
        <f t="shared" si="0"/>
        <v/>
      </c>
      <c r="N23" s="71" t="str">
        <f t="shared" si="0"/>
        <v/>
      </c>
    </row>
    <row r="24" spans="1:14" x14ac:dyDescent="0.25">
      <c r="A24" s="52">
        <v>3</v>
      </c>
      <c r="B24" s="93">
        <v>3</v>
      </c>
      <c r="C24" s="91">
        <v>2</v>
      </c>
      <c r="D24" s="91">
        <v>332</v>
      </c>
      <c r="E24" s="92">
        <v>4.2868115610200004</v>
      </c>
      <c r="F24" s="52">
        <v>2</v>
      </c>
      <c r="H24" s="42">
        <v>221</v>
      </c>
      <c r="I24" s="47" t="s">
        <v>170</v>
      </c>
      <c r="J24" s="71" t="str">
        <f t="shared" si="0"/>
        <v/>
      </c>
      <c r="K24" s="71" t="str">
        <f t="shared" si="0"/>
        <v/>
      </c>
      <c r="L24" s="71" t="str">
        <f t="shared" si="0"/>
        <v/>
      </c>
      <c r="M24" s="71" t="str">
        <f t="shared" si="0"/>
        <v/>
      </c>
      <c r="N24" s="71" t="str">
        <f t="shared" si="0"/>
        <v/>
      </c>
    </row>
    <row r="25" spans="1:14" x14ac:dyDescent="0.25">
      <c r="A25" s="52">
        <v>1</v>
      </c>
      <c r="B25" s="93">
        <v>3</v>
      </c>
      <c r="C25" s="91">
        <v>2</v>
      </c>
      <c r="D25" s="91">
        <v>132</v>
      </c>
      <c r="E25" s="92">
        <v>4.8811822606100002</v>
      </c>
      <c r="F25" s="52">
        <v>2</v>
      </c>
      <c r="H25" s="42">
        <v>222</v>
      </c>
      <c r="I25" s="47" t="s">
        <v>185</v>
      </c>
      <c r="J25" s="71" t="str">
        <f t="shared" si="0"/>
        <v/>
      </c>
      <c r="K25" s="71" t="str">
        <f t="shared" si="0"/>
        <v/>
      </c>
      <c r="L25" s="71" t="str">
        <f t="shared" si="0"/>
        <v/>
      </c>
      <c r="M25" s="71" t="str">
        <f t="shared" si="0"/>
        <v/>
      </c>
      <c r="N25" s="71" t="str">
        <f t="shared" si="0"/>
        <v/>
      </c>
    </row>
    <row r="26" spans="1:14" x14ac:dyDescent="0.25">
      <c r="A26" s="52">
        <v>3</v>
      </c>
      <c r="B26" s="93">
        <v>3</v>
      </c>
      <c r="C26" s="91">
        <v>2</v>
      </c>
      <c r="D26" s="91">
        <v>332</v>
      </c>
      <c r="E26" s="92">
        <v>5.4283190078099999</v>
      </c>
      <c r="F26" s="52">
        <v>2</v>
      </c>
      <c r="H26" s="42">
        <v>231</v>
      </c>
      <c r="I26" s="47" t="s">
        <v>171</v>
      </c>
      <c r="J26" s="71" t="str">
        <f t="shared" si="0"/>
        <v/>
      </c>
      <c r="K26" s="71" t="str">
        <f t="shared" si="0"/>
        <v/>
      </c>
      <c r="L26" s="71" t="str">
        <f t="shared" si="0"/>
        <v/>
      </c>
      <c r="M26" s="71" t="str">
        <f t="shared" si="0"/>
        <v/>
      </c>
      <c r="N26" s="71" t="str">
        <f t="shared" si="0"/>
        <v/>
      </c>
    </row>
    <row r="27" spans="1:14" x14ac:dyDescent="0.25">
      <c r="A27" s="52">
        <v>2</v>
      </c>
      <c r="B27" s="93">
        <v>4</v>
      </c>
      <c r="C27" s="91">
        <v>2</v>
      </c>
      <c r="D27" s="91">
        <v>242</v>
      </c>
      <c r="E27" s="92">
        <v>5.6333809334599998</v>
      </c>
      <c r="F27" s="52">
        <v>2</v>
      </c>
      <c r="H27" s="42">
        <v>232</v>
      </c>
      <c r="I27" s="47" t="s">
        <v>186</v>
      </c>
      <c r="J27" s="71" t="str">
        <f t="shared" si="0"/>
        <v/>
      </c>
      <c r="K27" s="71" t="str">
        <f t="shared" si="0"/>
        <v/>
      </c>
      <c r="L27" s="71">
        <f t="shared" si="0"/>
        <v>2.3383051040599998</v>
      </c>
      <c r="M27" s="71">
        <f t="shared" si="0"/>
        <v>5.1513767680600004</v>
      </c>
      <c r="N27" s="71">
        <f t="shared" si="0"/>
        <v>6.7031170752799998</v>
      </c>
    </row>
    <row r="28" spans="1:14" x14ac:dyDescent="0.25">
      <c r="A28" s="52">
        <v>1</v>
      </c>
      <c r="B28" s="93">
        <v>3</v>
      </c>
      <c r="C28" s="91">
        <v>2</v>
      </c>
      <c r="D28" s="91">
        <v>132</v>
      </c>
      <c r="E28" s="92">
        <v>3.9508637152000001</v>
      </c>
      <c r="F28" s="52">
        <v>2</v>
      </c>
      <c r="H28" s="42">
        <v>241</v>
      </c>
      <c r="I28" s="47" t="s">
        <v>172</v>
      </c>
      <c r="J28" s="71" t="str">
        <f t="shared" si="0"/>
        <v/>
      </c>
      <c r="K28" s="71" t="str">
        <f t="shared" si="0"/>
        <v/>
      </c>
      <c r="L28" s="71" t="str">
        <f t="shared" si="0"/>
        <v/>
      </c>
      <c r="M28" s="71" t="str">
        <f t="shared" si="0"/>
        <v/>
      </c>
      <c r="N28" s="71" t="str">
        <f t="shared" si="0"/>
        <v/>
      </c>
    </row>
    <row r="29" spans="1:14" x14ac:dyDescent="0.25">
      <c r="A29" s="52">
        <v>2</v>
      </c>
      <c r="B29" s="93">
        <v>1</v>
      </c>
      <c r="C29" s="91">
        <v>2</v>
      </c>
      <c r="D29" s="91">
        <v>212</v>
      </c>
      <c r="E29" s="92">
        <v>3.9214973451900001</v>
      </c>
      <c r="F29" s="52">
        <v>2</v>
      </c>
      <c r="H29" s="42">
        <v>242</v>
      </c>
      <c r="I29" s="47" t="s">
        <v>187</v>
      </c>
      <c r="J29" s="71" t="str">
        <f t="shared" si="0"/>
        <v/>
      </c>
      <c r="K29" s="71">
        <f t="shared" si="0"/>
        <v>5.6333809334599998</v>
      </c>
      <c r="L29" s="71" t="str">
        <f t="shared" si="0"/>
        <v/>
      </c>
      <c r="M29" s="71" t="str">
        <f t="shared" si="0"/>
        <v/>
      </c>
      <c r="N29" s="71" t="str">
        <f t="shared" si="0"/>
        <v/>
      </c>
    </row>
    <row r="30" spans="1:14" x14ac:dyDescent="0.25">
      <c r="A30" s="52">
        <v>1</v>
      </c>
      <c r="B30" s="93">
        <v>3</v>
      </c>
      <c r="C30" s="91">
        <v>2</v>
      </c>
      <c r="D30" s="91">
        <v>132</v>
      </c>
      <c r="E30" s="92">
        <v>33.354781070999998</v>
      </c>
      <c r="F30" s="52">
        <v>2</v>
      </c>
      <c r="H30" s="42">
        <v>251</v>
      </c>
      <c r="I30" s="47" t="s">
        <v>173</v>
      </c>
      <c r="J30" s="71" t="str">
        <f t="shared" si="0"/>
        <v/>
      </c>
      <c r="K30" s="71" t="str">
        <f t="shared" si="0"/>
        <v/>
      </c>
      <c r="L30" s="71" t="str">
        <f t="shared" si="0"/>
        <v/>
      </c>
      <c r="M30" s="71" t="str">
        <f t="shared" si="0"/>
        <v/>
      </c>
      <c r="N30" s="71" t="str">
        <f t="shared" si="0"/>
        <v/>
      </c>
    </row>
    <row r="31" spans="1:14" x14ac:dyDescent="0.25">
      <c r="A31" s="52">
        <v>3</v>
      </c>
      <c r="B31" s="93">
        <v>1</v>
      </c>
      <c r="C31" s="91">
        <v>2</v>
      </c>
      <c r="D31" s="91">
        <v>312</v>
      </c>
      <c r="E31" s="92">
        <v>4.2192839825200004</v>
      </c>
      <c r="F31" s="52">
        <v>2</v>
      </c>
      <c r="H31" s="42">
        <v>252</v>
      </c>
      <c r="I31" s="47" t="s">
        <v>188</v>
      </c>
      <c r="J31" s="71" t="str">
        <f t="shared" si="0"/>
        <v/>
      </c>
      <c r="K31" s="71" t="str">
        <f t="shared" si="0"/>
        <v/>
      </c>
      <c r="L31" s="71" t="str">
        <f t="shared" si="0"/>
        <v/>
      </c>
      <c r="M31" s="71" t="str">
        <f t="shared" si="0"/>
        <v/>
      </c>
      <c r="N31" s="71" t="str">
        <f t="shared" si="0"/>
        <v/>
      </c>
    </row>
    <row r="32" spans="1:14" x14ac:dyDescent="0.25">
      <c r="A32" s="52">
        <v>1</v>
      </c>
      <c r="B32" s="93">
        <v>3</v>
      </c>
      <c r="C32" s="91">
        <v>2</v>
      </c>
      <c r="D32" s="91">
        <v>132</v>
      </c>
      <c r="E32" s="92">
        <v>16.955444009299999</v>
      </c>
      <c r="F32" s="52">
        <v>2</v>
      </c>
      <c r="H32" s="42">
        <v>311</v>
      </c>
      <c r="I32" s="47" t="s">
        <v>174</v>
      </c>
      <c r="J32" s="71" t="str">
        <f t="shared" si="0"/>
        <v/>
      </c>
      <c r="K32" s="71" t="str">
        <f t="shared" si="0"/>
        <v/>
      </c>
      <c r="L32" s="71" t="str">
        <f t="shared" si="0"/>
        <v/>
      </c>
      <c r="M32" s="71" t="str">
        <f t="shared" si="0"/>
        <v/>
      </c>
      <c r="N32" s="71" t="str">
        <f t="shared" si="0"/>
        <v/>
      </c>
    </row>
    <row r="33" spans="1:14" x14ac:dyDescent="0.25">
      <c r="A33" s="52">
        <v>3</v>
      </c>
      <c r="B33" s="93">
        <v>3</v>
      </c>
      <c r="C33" s="91">
        <v>2</v>
      </c>
      <c r="D33" s="91">
        <v>332</v>
      </c>
      <c r="E33" s="92">
        <v>2.05531705299</v>
      </c>
      <c r="F33" s="52">
        <v>2</v>
      </c>
      <c r="H33" s="42">
        <v>312</v>
      </c>
      <c r="I33" s="47" t="s">
        <v>189</v>
      </c>
      <c r="J33" s="71" t="str">
        <f t="shared" si="0"/>
        <v/>
      </c>
      <c r="K33" s="71">
        <f t="shared" si="0"/>
        <v>4.2192839825200004</v>
      </c>
      <c r="L33" s="71" t="str">
        <f t="shared" si="0"/>
        <v/>
      </c>
      <c r="M33" s="71" t="str">
        <f t="shared" si="0"/>
        <v/>
      </c>
      <c r="N33" s="71" t="str">
        <f t="shared" si="0"/>
        <v/>
      </c>
    </row>
    <row r="34" spans="1:14" x14ac:dyDescent="0.25">
      <c r="A34" s="52">
        <v>3</v>
      </c>
      <c r="B34" s="93">
        <v>3</v>
      </c>
      <c r="C34" s="91">
        <v>2</v>
      </c>
      <c r="D34" s="91">
        <v>332</v>
      </c>
      <c r="E34" s="92">
        <v>7.2163184345399998</v>
      </c>
      <c r="F34" s="52">
        <v>2</v>
      </c>
      <c r="H34" s="42">
        <v>321</v>
      </c>
      <c r="I34" s="47" t="s">
        <v>175</v>
      </c>
      <c r="J34" s="71" t="str">
        <f t="shared" si="0"/>
        <v/>
      </c>
      <c r="K34" s="71" t="str">
        <f t="shared" si="0"/>
        <v/>
      </c>
      <c r="L34" s="71" t="str">
        <f t="shared" si="0"/>
        <v/>
      </c>
      <c r="M34" s="71" t="str">
        <f t="shared" si="0"/>
        <v/>
      </c>
      <c r="N34" s="71" t="str">
        <f t="shared" si="0"/>
        <v/>
      </c>
    </row>
    <row r="35" spans="1:14" x14ac:dyDescent="0.25">
      <c r="A35" s="52">
        <v>1</v>
      </c>
      <c r="B35" s="93">
        <v>3</v>
      </c>
      <c r="C35" s="91">
        <v>2</v>
      </c>
      <c r="D35" s="91">
        <v>132</v>
      </c>
      <c r="E35" s="92">
        <v>4.1451755305000004</v>
      </c>
      <c r="F35" s="52">
        <v>2</v>
      </c>
      <c r="H35" s="42">
        <v>322</v>
      </c>
      <c r="I35" s="47" t="s">
        <v>190</v>
      </c>
      <c r="J35" s="71" t="str">
        <f t="shared" si="0"/>
        <v/>
      </c>
      <c r="K35" s="71" t="str">
        <f t="shared" si="0"/>
        <v/>
      </c>
      <c r="L35" s="71" t="str">
        <f t="shared" si="0"/>
        <v/>
      </c>
      <c r="M35" s="71" t="str">
        <f t="shared" si="0"/>
        <v/>
      </c>
      <c r="N35" s="71" t="str">
        <f t="shared" si="0"/>
        <v/>
      </c>
    </row>
    <row r="36" spans="1:14" x14ac:dyDescent="0.25">
      <c r="A36" s="52">
        <v>1</v>
      </c>
      <c r="B36" s="93">
        <v>3</v>
      </c>
      <c r="C36" s="91">
        <v>2</v>
      </c>
      <c r="D36" s="91">
        <v>132</v>
      </c>
      <c r="E36" s="92">
        <v>1.04154819147</v>
      </c>
      <c r="F36" s="52">
        <v>2</v>
      </c>
      <c r="H36" s="42">
        <v>331</v>
      </c>
      <c r="I36" s="47" t="s">
        <v>176</v>
      </c>
      <c r="J36" s="71" t="str">
        <f t="shared" si="0"/>
        <v/>
      </c>
      <c r="K36" s="71" t="str">
        <f t="shared" si="0"/>
        <v/>
      </c>
      <c r="L36" s="71" t="str">
        <f t="shared" si="0"/>
        <v/>
      </c>
      <c r="M36" s="71">
        <f t="shared" si="0"/>
        <v>0.67589366268899997</v>
      </c>
      <c r="N36" s="71">
        <f t="shared" si="0"/>
        <v>1.91728110956</v>
      </c>
    </row>
    <row r="37" spans="1:14" x14ac:dyDescent="0.25">
      <c r="A37" s="52">
        <v>2</v>
      </c>
      <c r="B37" s="93">
        <v>1</v>
      </c>
      <c r="C37" s="91">
        <v>2</v>
      </c>
      <c r="D37" s="91">
        <v>212</v>
      </c>
      <c r="E37" s="92">
        <v>5.4440008842100003</v>
      </c>
      <c r="F37" s="52">
        <v>3</v>
      </c>
      <c r="H37" s="42">
        <v>332</v>
      </c>
      <c r="I37" s="47" t="s">
        <v>191</v>
      </c>
      <c r="J37" s="71">
        <f t="shared" si="0"/>
        <v>23.68719307892</v>
      </c>
      <c r="K37" s="71">
        <f t="shared" si="0"/>
        <v>18.98676605636</v>
      </c>
      <c r="L37" s="71">
        <f t="shared" si="0"/>
        <v>17.246954817500001</v>
      </c>
      <c r="M37" s="71">
        <f t="shared" si="0"/>
        <v>26.802335105159997</v>
      </c>
      <c r="N37" s="71" t="str">
        <f t="shared" si="0"/>
        <v/>
      </c>
    </row>
    <row r="38" spans="1:14" x14ac:dyDescent="0.25">
      <c r="A38" s="52">
        <v>1</v>
      </c>
      <c r="B38" s="93">
        <v>3</v>
      </c>
      <c r="C38" s="91">
        <v>2</v>
      </c>
      <c r="D38" s="91">
        <v>132</v>
      </c>
      <c r="E38" s="92">
        <v>29.6931676974</v>
      </c>
      <c r="F38" s="52">
        <v>3</v>
      </c>
      <c r="H38" s="42">
        <v>341</v>
      </c>
      <c r="I38" s="47" t="s">
        <v>177</v>
      </c>
      <c r="J38" s="71" t="str">
        <f t="shared" si="0"/>
        <v/>
      </c>
      <c r="K38" s="71" t="str">
        <f t="shared" si="0"/>
        <v/>
      </c>
      <c r="L38" s="71" t="str">
        <f t="shared" si="0"/>
        <v/>
      </c>
      <c r="M38" s="71" t="str">
        <f t="shared" si="0"/>
        <v/>
      </c>
      <c r="N38" s="71" t="str">
        <f>IF(SUMIFS($E:$E,$D:$D,$H38,$F:$F,N$8)=0,"",SUMIFS($E:$E,$D:$D,$H38,$F:$F,N$8))</f>
        <v/>
      </c>
    </row>
    <row r="39" spans="1:14" x14ac:dyDescent="0.25">
      <c r="A39" s="52">
        <v>1</v>
      </c>
      <c r="B39" s="93">
        <v>3</v>
      </c>
      <c r="C39" s="91">
        <v>1</v>
      </c>
      <c r="D39" s="91">
        <v>131</v>
      </c>
      <c r="E39" s="92">
        <v>4.7539206251100001</v>
      </c>
      <c r="F39" s="52">
        <v>3</v>
      </c>
      <c r="H39" s="42">
        <v>342</v>
      </c>
      <c r="I39" s="47" t="s">
        <v>192</v>
      </c>
      <c r="J39" s="71" t="str">
        <f t="shared" si="0"/>
        <v/>
      </c>
      <c r="K39" s="71" t="str">
        <f t="shared" si="0"/>
        <v/>
      </c>
      <c r="L39" s="71" t="str">
        <f t="shared" si="0"/>
        <v/>
      </c>
      <c r="M39" s="71" t="str">
        <f t="shared" si="0"/>
        <v/>
      </c>
      <c r="N39" s="71" t="str">
        <f t="shared" si="0"/>
        <v/>
      </c>
    </row>
    <row r="40" spans="1:14" x14ac:dyDescent="0.25">
      <c r="A40" s="52">
        <v>1</v>
      </c>
      <c r="B40" s="93">
        <v>3</v>
      </c>
      <c r="C40" s="91">
        <v>2</v>
      </c>
      <c r="D40" s="91">
        <v>132</v>
      </c>
      <c r="E40" s="92">
        <v>1.5709156023699999</v>
      </c>
      <c r="F40" s="52">
        <v>3</v>
      </c>
      <c r="H40" s="42">
        <v>351</v>
      </c>
      <c r="I40" s="47" t="s">
        <v>178</v>
      </c>
      <c r="J40" s="71" t="str">
        <f t="shared" si="0"/>
        <v/>
      </c>
      <c r="K40" s="71" t="str">
        <f t="shared" si="0"/>
        <v/>
      </c>
      <c r="L40" s="71" t="str">
        <f t="shared" si="0"/>
        <v/>
      </c>
      <c r="M40" s="71" t="str">
        <f t="shared" si="0"/>
        <v/>
      </c>
      <c r="N40" s="71" t="str">
        <f t="shared" si="0"/>
        <v/>
      </c>
    </row>
    <row r="41" spans="1:14" ht="15.75" thickBot="1" x14ac:dyDescent="0.3">
      <c r="A41" s="52">
        <v>2</v>
      </c>
      <c r="B41" s="93">
        <v>3</v>
      </c>
      <c r="C41" s="91">
        <v>2</v>
      </c>
      <c r="D41" s="91">
        <v>232</v>
      </c>
      <c r="E41" s="92">
        <v>2.3383051040599998</v>
      </c>
      <c r="F41" s="52">
        <v>3</v>
      </c>
      <c r="H41" s="51">
        <v>352</v>
      </c>
      <c r="I41" s="47" t="s">
        <v>193</v>
      </c>
      <c r="J41" s="71" t="str">
        <f t="shared" si="0"/>
        <v/>
      </c>
      <c r="K41" s="71" t="str">
        <f t="shared" si="0"/>
        <v/>
      </c>
      <c r="L41" s="71" t="str">
        <f t="shared" si="0"/>
        <v/>
      </c>
      <c r="M41" s="71" t="str">
        <f t="shared" si="0"/>
        <v/>
      </c>
      <c r="N41" s="71" t="str">
        <f t="shared" si="0"/>
        <v/>
      </c>
    </row>
    <row r="42" spans="1:14" x14ac:dyDescent="0.25">
      <c r="A42" s="52">
        <v>1</v>
      </c>
      <c r="B42" s="93">
        <v>3</v>
      </c>
      <c r="C42" s="91">
        <v>2</v>
      </c>
      <c r="D42" s="91">
        <v>132</v>
      </c>
      <c r="E42" s="92">
        <v>1.2286728196500001</v>
      </c>
      <c r="F42" s="52">
        <v>3</v>
      </c>
      <c r="H42" s="54" t="s">
        <v>117</v>
      </c>
      <c r="I42" s="50" t="s">
        <v>161</v>
      </c>
      <c r="J42" s="116">
        <f>SUM(J12:J13)</f>
        <v>0</v>
      </c>
      <c r="K42" s="116">
        <f>SUM(K12:K13)</f>
        <v>0</v>
      </c>
      <c r="L42" s="116">
        <f>SUM(L12:L13)</f>
        <v>0</v>
      </c>
      <c r="M42" s="116">
        <f t="shared" ref="M42:N42" si="1">SUM(M12:M13)</f>
        <v>2.9137406612099999</v>
      </c>
      <c r="N42" s="116">
        <f t="shared" si="1"/>
        <v>0</v>
      </c>
    </row>
    <row r="43" spans="1:14" ht="15.75" thickBot="1" x14ac:dyDescent="0.3">
      <c r="A43" s="52">
        <v>3</v>
      </c>
      <c r="B43" s="93">
        <v>3</v>
      </c>
      <c r="C43" s="91">
        <v>2</v>
      </c>
      <c r="D43" s="91">
        <v>332</v>
      </c>
      <c r="E43" s="92">
        <v>3.14311069726</v>
      </c>
      <c r="F43" s="52">
        <v>3</v>
      </c>
      <c r="H43" s="95" t="s">
        <v>116</v>
      </c>
      <c r="I43" s="96" t="s">
        <v>113</v>
      </c>
      <c r="J43" s="117">
        <f>SUM(J14:J15)</f>
        <v>0</v>
      </c>
      <c r="K43" s="117">
        <f>SUM(K14:K15)</f>
        <v>0</v>
      </c>
      <c r="L43" s="117">
        <f>SUM(L14:L15)</f>
        <v>0</v>
      </c>
      <c r="M43" s="117">
        <f t="shared" ref="M43:N43" si="2">SUM(M14:M15)</f>
        <v>8.0208451354000001</v>
      </c>
      <c r="N43" s="117">
        <f t="shared" si="2"/>
        <v>0</v>
      </c>
    </row>
    <row r="44" spans="1:14" x14ac:dyDescent="0.25">
      <c r="A44" s="52">
        <v>1</v>
      </c>
      <c r="B44" s="93">
        <v>3</v>
      </c>
      <c r="C44" s="91">
        <v>2</v>
      </c>
      <c r="D44" s="91">
        <v>132</v>
      </c>
      <c r="E44" s="92">
        <v>3.03029026933</v>
      </c>
      <c r="F44" s="52">
        <v>3</v>
      </c>
      <c r="H44" s="75"/>
      <c r="I44" s="94" t="s">
        <v>162</v>
      </c>
      <c r="J44" s="73">
        <f>SUM(J12:J41)</f>
        <v>128.42636945525999</v>
      </c>
      <c r="K44" s="73">
        <f>SUM(K12:K41)</f>
        <v>126.21383160113999</v>
      </c>
      <c r="L44" s="73">
        <f>SUM(L12:L41)</f>
        <v>130.52046896446001</v>
      </c>
      <c r="M44" s="73">
        <f t="shared" ref="M44:N44" si="3">SUM(M12:M41)</f>
        <v>186.789428678479</v>
      </c>
      <c r="N44" s="73">
        <f t="shared" si="3"/>
        <v>17.53475043201</v>
      </c>
    </row>
    <row r="45" spans="1:14" x14ac:dyDescent="0.25">
      <c r="A45" s="52">
        <v>3</v>
      </c>
      <c r="B45" s="93">
        <v>3</v>
      </c>
      <c r="C45" s="91">
        <v>2</v>
      </c>
      <c r="D45" s="91">
        <v>332</v>
      </c>
      <c r="E45" s="92">
        <v>5.3908901009900001</v>
      </c>
      <c r="F45" s="52">
        <v>3</v>
      </c>
      <c r="H45" s="30"/>
      <c r="I45" s="87" t="s">
        <v>163</v>
      </c>
      <c r="J45" s="97">
        <f>0.5*(1-(J43+0.5*J42)/J44)</f>
        <v>0.5</v>
      </c>
      <c r="K45" s="97">
        <f>0.5*(1-(K43+0.5*K42)/K44)</f>
        <v>0.5</v>
      </c>
      <c r="L45" s="97">
        <f>0.5*(1-(L43+0.5*L42)/L44)</f>
        <v>0.5</v>
      </c>
      <c r="M45" s="97">
        <f t="shared" ref="M45:N45" si="4">0.5*(1-(M43+0.5*M42)/M44)</f>
        <v>0.47462994685229482</v>
      </c>
      <c r="N45" s="97">
        <f t="shared" si="4"/>
        <v>0.5</v>
      </c>
    </row>
    <row r="46" spans="1:14" x14ac:dyDescent="0.25">
      <c r="A46" s="52">
        <v>3</v>
      </c>
      <c r="B46" s="93">
        <v>3</v>
      </c>
      <c r="C46" s="91">
        <v>2</v>
      </c>
      <c r="D46" s="91">
        <v>332</v>
      </c>
      <c r="E46" s="92">
        <v>8.7129540192500006</v>
      </c>
      <c r="F46" s="52">
        <v>3</v>
      </c>
    </row>
    <row r="47" spans="1:14" x14ac:dyDescent="0.25">
      <c r="A47" s="52">
        <v>1</v>
      </c>
      <c r="B47" s="93">
        <v>3</v>
      </c>
      <c r="C47" s="91">
        <v>2</v>
      </c>
      <c r="D47" s="91">
        <v>132</v>
      </c>
      <c r="E47" s="92">
        <v>43.902769593899997</v>
      </c>
      <c r="F47" s="52">
        <v>3</v>
      </c>
    </row>
    <row r="48" spans="1:14" x14ac:dyDescent="0.25">
      <c r="A48" s="52">
        <v>2</v>
      </c>
      <c r="B48" s="93">
        <v>1</v>
      </c>
      <c r="C48" s="91">
        <v>2</v>
      </c>
      <c r="D48" s="91">
        <v>212</v>
      </c>
      <c r="E48" s="92">
        <v>2.1422814305000002</v>
      </c>
      <c r="F48" s="52">
        <v>3</v>
      </c>
    </row>
    <row r="49" spans="1:14" x14ac:dyDescent="0.25">
      <c r="A49" s="52">
        <v>1</v>
      </c>
      <c r="B49" s="93">
        <v>3</v>
      </c>
      <c r="C49" s="91">
        <v>2</v>
      </c>
      <c r="D49" s="91">
        <v>132</v>
      </c>
      <c r="E49" s="92">
        <v>5.0269337202299997</v>
      </c>
      <c r="F49" s="52">
        <v>3</v>
      </c>
    </row>
    <row r="50" spans="1:14" x14ac:dyDescent="0.25">
      <c r="A50" s="52">
        <v>1</v>
      </c>
      <c r="B50" s="93">
        <v>3</v>
      </c>
      <c r="C50" s="91">
        <v>2</v>
      </c>
      <c r="D50" s="91">
        <v>132</v>
      </c>
      <c r="E50" s="92">
        <v>14.142256400200001</v>
      </c>
      <c r="F50" s="52">
        <v>3</v>
      </c>
    </row>
    <row r="51" spans="1:14" x14ac:dyDescent="0.25">
      <c r="A51" s="52">
        <v>1</v>
      </c>
      <c r="B51" s="93">
        <v>3</v>
      </c>
      <c r="C51" s="91">
        <v>2</v>
      </c>
      <c r="D51" s="91">
        <v>132</v>
      </c>
      <c r="E51" s="92">
        <v>7.0705310031900002</v>
      </c>
      <c r="F51" s="52">
        <v>4</v>
      </c>
    </row>
    <row r="52" spans="1:14" x14ac:dyDescent="0.25">
      <c r="A52" s="52">
        <v>1</v>
      </c>
      <c r="B52" s="93">
        <v>2</v>
      </c>
      <c r="C52" s="91">
        <v>2</v>
      </c>
      <c r="D52" s="91">
        <v>122</v>
      </c>
      <c r="E52" s="92">
        <v>8.0208451354000001</v>
      </c>
      <c r="F52" s="52">
        <v>4</v>
      </c>
    </row>
    <row r="53" spans="1:14" x14ac:dyDescent="0.25">
      <c r="A53" s="52">
        <v>1</v>
      </c>
      <c r="B53" s="93">
        <v>1</v>
      </c>
      <c r="C53" s="91">
        <v>2</v>
      </c>
      <c r="D53" s="91">
        <v>112</v>
      </c>
      <c r="E53" s="92">
        <v>2.9137406612099999</v>
      </c>
      <c r="F53" s="52">
        <v>4</v>
      </c>
      <c r="J53" s="53"/>
      <c r="K53" s="53"/>
      <c r="L53" s="53"/>
      <c r="M53" s="53"/>
      <c r="N53" s="53"/>
    </row>
    <row r="54" spans="1:14" x14ac:dyDescent="0.25">
      <c r="A54" s="52">
        <v>1</v>
      </c>
      <c r="B54" s="93">
        <v>3</v>
      </c>
      <c r="C54" s="91">
        <v>2</v>
      </c>
      <c r="D54" s="91">
        <v>132</v>
      </c>
      <c r="E54" s="92">
        <v>16.413539045899999</v>
      </c>
      <c r="F54" s="52">
        <v>4</v>
      </c>
      <c r="H54" s="55" t="s">
        <v>108</v>
      </c>
    </row>
    <row r="55" spans="1:14" x14ac:dyDescent="0.25">
      <c r="A55" s="52">
        <v>2</v>
      </c>
      <c r="B55" s="93">
        <v>3</v>
      </c>
      <c r="C55" s="91">
        <v>2</v>
      </c>
      <c r="D55" s="91">
        <v>232</v>
      </c>
      <c r="E55" s="92">
        <v>3.0537124495799999</v>
      </c>
      <c r="F55" s="52">
        <v>4</v>
      </c>
    </row>
    <row r="56" spans="1:14" x14ac:dyDescent="0.25">
      <c r="A56" s="52">
        <v>1</v>
      </c>
      <c r="B56" s="93">
        <v>3</v>
      </c>
      <c r="C56" s="91">
        <v>2</v>
      </c>
      <c r="D56" s="91">
        <v>132</v>
      </c>
      <c r="E56" s="92">
        <v>22.3644529213</v>
      </c>
      <c r="F56" s="52">
        <v>4</v>
      </c>
      <c r="J56" s="65" t="s">
        <v>109</v>
      </c>
      <c r="K56" s="66"/>
      <c r="L56" s="66"/>
      <c r="M56" s="66"/>
      <c r="N56" s="67"/>
    </row>
    <row r="57" spans="1:14" x14ac:dyDescent="0.25">
      <c r="A57" s="52">
        <v>3</v>
      </c>
      <c r="B57" s="93">
        <v>3</v>
      </c>
      <c r="C57" s="91">
        <v>1</v>
      </c>
      <c r="D57" s="91">
        <v>331</v>
      </c>
      <c r="E57" s="92">
        <v>0.67589366268899997</v>
      </c>
      <c r="F57" s="52">
        <v>4</v>
      </c>
      <c r="J57" s="68">
        <v>1</v>
      </c>
      <c r="K57" s="68">
        <v>2</v>
      </c>
      <c r="L57" s="68">
        <v>3</v>
      </c>
      <c r="M57" s="68">
        <v>4</v>
      </c>
      <c r="N57" s="88">
        <v>5</v>
      </c>
    </row>
    <row r="58" spans="1:14" ht="15.75" thickBot="1" x14ac:dyDescent="0.3">
      <c r="A58" s="52">
        <v>1</v>
      </c>
      <c r="B58" s="93">
        <v>3</v>
      </c>
      <c r="C58" s="91">
        <v>1</v>
      </c>
      <c r="D58" s="91">
        <v>131</v>
      </c>
      <c r="E58" s="92">
        <v>6.0526739059399999</v>
      </c>
      <c r="F58" s="52">
        <v>4</v>
      </c>
      <c r="H58" s="99" t="s">
        <v>98</v>
      </c>
      <c r="I58" s="47" t="s">
        <v>156</v>
      </c>
      <c r="J58" s="48">
        <f>COUNTIF(J16:J41,"&gt;0")</f>
        <v>3</v>
      </c>
      <c r="K58" s="48">
        <f t="shared" ref="K58:N58" si="5">COUNTIF(K16:K41,"&gt;0")</f>
        <v>5</v>
      </c>
      <c r="L58" s="48">
        <f t="shared" si="5"/>
        <v>5</v>
      </c>
      <c r="M58" s="48">
        <f t="shared" si="5"/>
        <v>5</v>
      </c>
      <c r="N58" s="48">
        <f t="shared" si="5"/>
        <v>3</v>
      </c>
    </row>
    <row r="59" spans="1:14" x14ac:dyDescent="0.25">
      <c r="A59" s="52">
        <v>1</v>
      </c>
      <c r="B59" s="93">
        <v>3</v>
      </c>
      <c r="C59" s="91">
        <v>2</v>
      </c>
      <c r="D59" s="91">
        <v>132</v>
      </c>
      <c r="E59" s="92">
        <v>6.9968263778199997</v>
      </c>
      <c r="F59" s="52">
        <v>4</v>
      </c>
      <c r="H59" s="54"/>
      <c r="I59" s="50" t="s">
        <v>114</v>
      </c>
      <c r="J59" s="41">
        <f t="shared" ref="J59:L59" si="6">IF(J58&lt;2,0,IF(J58&gt;8,0.5,(J58-2)/12))</f>
        <v>8.3333333333333329E-2</v>
      </c>
      <c r="K59" s="41">
        <f t="shared" si="6"/>
        <v>0.25</v>
      </c>
      <c r="L59" s="41">
        <f t="shared" si="6"/>
        <v>0.25</v>
      </c>
      <c r="M59" s="41">
        <f>IF(M58&lt;2,0,IF(M58&gt;8,0.5,(M58-2)/12))</f>
        <v>0.25</v>
      </c>
      <c r="N59" s="41">
        <f>IF(N58&lt;2,0,IF(N58&gt;8,0.5,(N58-2)/12))</f>
        <v>8.3333333333333329E-2</v>
      </c>
    </row>
    <row r="60" spans="1:14" x14ac:dyDescent="0.25">
      <c r="A60" s="52">
        <v>1</v>
      </c>
      <c r="B60" s="93">
        <v>3</v>
      </c>
      <c r="C60" s="91">
        <v>2</v>
      </c>
      <c r="D60" s="91">
        <v>132</v>
      </c>
      <c r="E60" s="92">
        <v>1.77620813092</v>
      </c>
      <c r="F60" s="52">
        <v>4</v>
      </c>
    </row>
    <row r="61" spans="1:14" x14ac:dyDescent="0.25">
      <c r="A61" s="52">
        <v>3</v>
      </c>
      <c r="B61" s="93">
        <v>3</v>
      </c>
      <c r="C61" s="91">
        <v>2</v>
      </c>
      <c r="D61" s="91">
        <v>332</v>
      </c>
      <c r="E61" s="92">
        <v>3.8422061324299999</v>
      </c>
      <c r="F61" s="52">
        <v>4</v>
      </c>
    </row>
    <row r="62" spans="1:14" x14ac:dyDescent="0.25">
      <c r="A62" s="52">
        <v>3</v>
      </c>
      <c r="B62" s="93">
        <v>3</v>
      </c>
      <c r="C62" s="91">
        <v>2</v>
      </c>
      <c r="D62" s="91">
        <v>332</v>
      </c>
      <c r="E62" s="92">
        <v>2.16402075841</v>
      </c>
      <c r="F62" s="52">
        <v>4</v>
      </c>
    </row>
    <row r="63" spans="1:14" x14ac:dyDescent="0.25">
      <c r="A63" s="52">
        <v>1</v>
      </c>
      <c r="B63" s="93">
        <v>3</v>
      </c>
      <c r="C63" s="91">
        <v>2</v>
      </c>
      <c r="D63" s="91">
        <v>132</v>
      </c>
      <c r="E63" s="92">
        <v>8.2922785004400001</v>
      </c>
      <c r="F63" s="52">
        <v>4</v>
      </c>
    </row>
    <row r="64" spans="1:14" x14ac:dyDescent="0.25">
      <c r="A64" s="52">
        <v>1</v>
      </c>
      <c r="B64" s="93">
        <v>3</v>
      </c>
      <c r="C64" s="91">
        <v>2</v>
      </c>
      <c r="D64" s="91">
        <v>132</v>
      </c>
      <c r="E64" s="92">
        <v>17.613139554100002</v>
      </c>
      <c r="F64" s="52">
        <v>4</v>
      </c>
    </row>
    <row r="65" spans="1:6" x14ac:dyDescent="0.25">
      <c r="A65" s="52">
        <v>1</v>
      </c>
      <c r="B65" s="93">
        <v>3</v>
      </c>
      <c r="C65" s="91">
        <v>1</v>
      </c>
      <c r="D65" s="91">
        <v>131</v>
      </c>
      <c r="E65" s="92">
        <v>5.4900975470200004</v>
      </c>
      <c r="F65" s="52">
        <v>4</v>
      </c>
    </row>
    <row r="66" spans="1:6" x14ac:dyDescent="0.25">
      <c r="A66" s="52">
        <v>1</v>
      </c>
      <c r="B66" s="93">
        <v>3</v>
      </c>
      <c r="C66" s="91">
        <v>2</v>
      </c>
      <c r="D66" s="91">
        <v>132</v>
      </c>
      <c r="E66" s="92">
        <v>3.38380219623</v>
      </c>
      <c r="F66" s="52">
        <v>4</v>
      </c>
    </row>
    <row r="67" spans="1:6" x14ac:dyDescent="0.25">
      <c r="A67" s="52">
        <v>3</v>
      </c>
      <c r="B67" s="93">
        <v>3</v>
      </c>
      <c r="C67" s="91">
        <v>2</v>
      </c>
      <c r="D67" s="91">
        <v>332</v>
      </c>
      <c r="E67" s="92">
        <v>9.9732821069199993</v>
      </c>
      <c r="F67" s="52">
        <v>4</v>
      </c>
    </row>
    <row r="68" spans="1:6" x14ac:dyDescent="0.25">
      <c r="A68" s="52">
        <v>2</v>
      </c>
      <c r="B68" s="93">
        <v>3</v>
      </c>
      <c r="C68" s="91">
        <v>2</v>
      </c>
      <c r="D68" s="91">
        <v>232</v>
      </c>
      <c r="E68" s="92">
        <v>2.0976643184800001</v>
      </c>
      <c r="F68" s="52">
        <v>4</v>
      </c>
    </row>
    <row r="69" spans="1:6" x14ac:dyDescent="0.25">
      <c r="A69" s="52">
        <v>1</v>
      </c>
      <c r="B69" s="93">
        <v>3</v>
      </c>
      <c r="C69" s="91">
        <v>1</v>
      </c>
      <c r="D69" s="91">
        <v>131</v>
      </c>
      <c r="E69" s="92">
        <v>10.7547562554</v>
      </c>
      <c r="F69" s="52">
        <v>4</v>
      </c>
    </row>
    <row r="70" spans="1:6" x14ac:dyDescent="0.25">
      <c r="A70" s="52">
        <v>1</v>
      </c>
      <c r="B70" s="93">
        <v>3</v>
      </c>
      <c r="C70" s="91">
        <v>2</v>
      </c>
      <c r="D70" s="91">
        <v>132</v>
      </c>
      <c r="E70" s="92">
        <v>37.016931907699998</v>
      </c>
      <c r="F70" s="52">
        <v>4</v>
      </c>
    </row>
    <row r="71" spans="1:6" x14ac:dyDescent="0.25">
      <c r="A71" s="52">
        <v>3</v>
      </c>
      <c r="B71" s="93">
        <v>3</v>
      </c>
      <c r="C71" s="91">
        <v>2</v>
      </c>
      <c r="D71" s="91">
        <v>332</v>
      </c>
      <c r="E71" s="92">
        <v>10.822826107399999</v>
      </c>
      <c r="F71" s="52">
        <v>4</v>
      </c>
    </row>
    <row r="72" spans="1:6" x14ac:dyDescent="0.25">
      <c r="A72" s="52">
        <v>1</v>
      </c>
      <c r="B72" s="93">
        <v>3</v>
      </c>
      <c r="C72" s="91">
        <v>2</v>
      </c>
      <c r="D72" s="91">
        <v>132</v>
      </c>
      <c r="E72" s="92">
        <v>8.9143522471699992</v>
      </c>
      <c r="F72" s="52">
        <v>5</v>
      </c>
    </row>
    <row r="73" spans="1:6" x14ac:dyDescent="0.25">
      <c r="A73" s="52">
        <v>2</v>
      </c>
      <c r="B73" s="93">
        <v>3</v>
      </c>
      <c r="C73" s="91">
        <v>2</v>
      </c>
      <c r="D73" s="91">
        <v>232</v>
      </c>
      <c r="E73" s="92">
        <v>6.7031170752799998</v>
      </c>
      <c r="F73" s="52">
        <v>5</v>
      </c>
    </row>
    <row r="74" spans="1:6" x14ac:dyDescent="0.25">
      <c r="A74" s="52">
        <v>3</v>
      </c>
      <c r="B74" s="93">
        <v>3</v>
      </c>
      <c r="C74" s="91">
        <v>1</v>
      </c>
      <c r="D74" s="91">
        <v>331</v>
      </c>
      <c r="E74" s="92">
        <v>1.91728110956</v>
      </c>
      <c r="F74" s="52">
        <v>5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242"/>
  <sheetViews>
    <sheetView zoomScaleNormal="100" workbookViewId="0">
      <selection sqref="A1:A4"/>
    </sheetView>
  </sheetViews>
  <sheetFormatPr defaultColWidth="9.140625" defaultRowHeight="15" x14ac:dyDescent="0.25"/>
  <cols>
    <col min="1" max="1" width="25" style="12" customWidth="1"/>
    <col min="2" max="2" width="24.5703125" style="12" bestFit="1" customWidth="1"/>
    <col min="3" max="3" width="9.140625" style="12" bestFit="1" customWidth="1"/>
    <col min="4" max="4" width="16.42578125" style="12" bestFit="1" customWidth="1"/>
    <col min="5" max="5" width="14.5703125" style="12" bestFit="1" customWidth="1"/>
    <col min="6" max="6" width="7.42578125" style="14" bestFit="1" customWidth="1"/>
    <col min="7" max="7" width="27.140625" style="14" bestFit="1" customWidth="1"/>
    <col min="8" max="8" width="7.85546875" style="14" customWidth="1"/>
    <col min="9" max="9" width="9.140625" style="14" bestFit="1" customWidth="1"/>
    <col min="10" max="10" width="23.85546875" style="14" bestFit="1" customWidth="1"/>
    <col min="11" max="11" width="21.140625" style="14" bestFit="1" customWidth="1"/>
    <col min="12" max="12" width="22.42578125" style="14" customWidth="1"/>
    <col min="13" max="13" width="9" style="14" customWidth="1"/>
    <col min="14" max="14" width="48.85546875" style="14" customWidth="1"/>
    <col min="15" max="15" width="9.140625" style="14"/>
    <col min="16" max="16" width="18.5703125" style="14" customWidth="1"/>
    <col min="17" max="17" width="9.140625" style="14"/>
    <col min="18" max="18" width="48.85546875" style="14" customWidth="1"/>
    <col min="19" max="20" width="9.140625" style="14"/>
    <col min="21" max="22" width="12" style="14" bestFit="1" customWidth="1"/>
    <col min="23" max="23" width="15" style="14" customWidth="1"/>
    <col min="24" max="16384" width="9.140625" style="14"/>
  </cols>
  <sheetData>
    <row r="1" spans="1:21" ht="26.25" x14ac:dyDescent="0.25">
      <c r="A1" s="11" t="s">
        <v>44</v>
      </c>
      <c r="F1" s="12"/>
      <c r="G1" s="12"/>
      <c r="H1" s="12"/>
      <c r="I1" s="13"/>
      <c r="M1" s="16" t="s">
        <v>45</v>
      </c>
      <c r="Q1" s="16" t="s">
        <v>46</v>
      </c>
    </row>
    <row r="2" spans="1:21" x14ac:dyDescent="0.25">
      <c r="A2" s="78" t="s">
        <v>245</v>
      </c>
      <c r="F2" s="12"/>
      <c r="G2" s="12"/>
      <c r="H2" s="12"/>
      <c r="I2" s="8"/>
      <c r="M2" s="8"/>
      <c r="Q2" s="8"/>
    </row>
    <row r="3" spans="1:21" ht="14.25" customHeight="1" x14ac:dyDescent="0.25">
      <c r="A3" s="22"/>
      <c r="F3" s="12"/>
      <c r="G3" s="12"/>
      <c r="H3" s="12"/>
      <c r="I3" s="8"/>
      <c r="M3" s="8"/>
      <c r="Q3" s="8"/>
    </row>
    <row r="4" spans="1:21" ht="14.25" customHeight="1" x14ac:dyDescent="0.25">
      <c r="A4" s="22" t="s">
        <v>47</v>
      </c>
      <c r="F4" s="12"/>
      <c r="G4" s="12"/>
      <c r="H4" s="12"/>
      <c r="I4" s="22" t="s">
        <v>143</v>
      </c>
      <c r="M4" s="8" t="s">
        <v>142</v>
      </c>
      <c r="Q4" s="8" t="s">
        <v>142</v>
      </c>
    </row>
    <row r="5" spans="1:21" ht="14.25" customHeight="1" x14ac:dyDescent="0.25">
      <c r="A5" s="22"/>
      <c r="F5" s="12"/>
      <c r="G5" s="12"/>
      <c r="H5" s="12"/>
      <c r="I5" s="8"/>
    </row>
    <row r="6" spans="1:21" x14ac:dyDescent="0.25">
      <c r="A6" s="15" t="s">
        <v>29</v>
      </c>
      <c r="B6" s="15" t="s">
        <v>30</v>
      </c>
      <c r="C6" s="5" t="s">
        <v>8</v>
      </c>
      <c r="D6" s="5" t="s">
        <v>21</v>
      </c>
      <c r="E6" s="5" t="s">
        <v>22</v>
      </c>
      <c r="F6" s="5" t="s">
        <v>23</v>
      </c>
      <c r="G6" s="5" t="s">
        <v>24</v>
      </c>
      <c r="H6" s="8"/>
      <c r="I6" s="5" t="s">
        <v>8</v>
      </c>
      <c r="J6" s="5" t="s">
        <v>9</v>
      </c>
      <c r="K6" s="6"/>
      <c r="M6" s="6" t="s">
        <v>0</v>
      </c>
      <c r="N6" s="6" t="s">
        <v>56</v>
      </c>
      <c r="O6" s="23">
        <f>AVERAGE(J8:J18)</f>
        <v>4.7963636363636359</v>
      </c>
      <c r="Q6" s="6" t="s">
        <v>17</v>
      </c>
      <c r="R6" s="6" t="s">
        <v>64</v>
      </c>
      <c r="S6" s="23">
        <f>_xlfn.STDEV.S(G:G)</f>
        <v>0.17210944179578677</v>
      </c>
    </row>
    <row r="7" spans="1:21" x14ac:dyDescent="0.25">
      <c r="A7" s="5" t="s">
        <v>31</v>
      </c>
      <c r="B7" s="5" t="s">
        <v>32</v>
      </c>
      <c r="C7" s="9" t="s">
        <v>10</v>
      </c>
      <c r="D7" s="9" t="s">
        <v>25</v>
      </c>
      <c r="E7" s="9" t="s">
        <v>26</v>
      </c>
      <c r="F7" s="9" t="s">
        <v>27</v>
      </c>
      <c r="G7" s="9" t="s">
        <v>28</v>
      </c>
      <c r="H7" s="7"/>
      <c r="I7" s="9" t="s">
        <v>10</v>
      </c>
      <c r="J7" s="9" t="s">
        <v>12</v>
      </c>
      <c r="K7" s="9" t="s">
        <v>11</v>
      </c>
      <c r="M7" s="6" t="s">
        <v>13</v>
      </c>
      <c r="N7" s="6" t="s">
        <v>57</v>
      </c>
      <c r="O7" s="20">
        <f>_xlfn.STDEV.S(K8:K18)</f>
        <v>0.12379601990958504</v>
      </c>
      <c r="Q7" s="6" t="s">
        <v>18</v>
      </c>
      <c r="R7" s="6" t="s">
        <v>63</v>
      </c>
      <c r="S7" s="20">
        <f>AVERAGE(G:G)</f>
        <v>0.21686666666666662</v>
      </c>
    </row>
    <row r="8" spans="1:21" x14ac:dyDescent="0.25">
      <c r="A8" s="10" t="s">
        <v>201</v>
      </c>
      <c r="B8" s="10" t="s">
        <v>157</v>
      </c>
      <c r="C8" s="17">
        <v>0</v>
      </c>
      <c r="D8" s="10">
        <v>1</v>
      </c>
      <c r="E8" s="10">
        <v>0.15</v>
      </c>
      <c r="F8" s="10">
        <v>0.14000000000000001</v>
      </c>
      <c r="G8" s="10">
        <v>0</v>
      </c>
      <c r="H8" s="12"/>
      <c r="I8" s="10">
        <v>0</v>
      </c>
      <c r="J8" s="10">
        <v>4.5999999999999996</v>
      </c>
      <c r="K8" s="20">
        <f t="array" ref="K8">MAX(IF(C:C=I8,F:F))</f>
        <v>0.6</v>
      </c>
      <c r="M8" s="6" t="s">
        <v>14</v>
      </c>
      <c r="N8" s="6" t="s">
        <v>58</v>
      </c>
      <c r="O8" s="20">
        <f>AVERAGE(K8:K18)</f>
        <v>0.52363636363636379</v>
      </c>
      <c r="Q8" s="6" t="s">
        <v>19</v>
      </c>
      <c r="R8" s="6" t="s">
        <v>62</v>
      </c>
      <c r="S8" s="20">
        <f>S6/S7*100</f>
        <v>79.361869872019739</v>
      </c>
    </row>
    <row r="9" spans="1:21" x14ac:dyDescent="0.25">
      <c r="A9" s="10" t="s">
        <v>201</v>
      </c>
      <c r="B9" s="10" t="s">
        <v>157</v>
      </c>
      <c r="C9" s="17">
        <v>0</v>
      </c>
      <c r="D9" s="10">
        <v>2</v>
      </c>
      <c r="E9" s="10">
        <v>0.5</v>
      </c>
      <c r="F9" s="10">
        <v>0.18</v>
      </c>
      <c r="G9" s="10">
        <v>0.12</v>
      </c>
      <c r="H9" s="12"/>
      <c r="I9" s="10">
        <v>1</v>
      </c>
      <c r="J9" s="10">
        <v>4.49</v>
      </c>
      <c r="K9" s="20">
        <f t="array" ref="K9">MAX(IF(C:C=I9,F:F))</f>
        <v>0.37</v>
      </c>
      <c r="M9" s="6" t="s">
        <v>15</v>
      </c>
      <c r="N9" s="6" t="s">
        <v>59</v>
      </c>
      <c r="O9" s="20">
        <f>O7/O8*100</f>
        <v>23.641601024399915</v>
      </c>
      <c r="Q9" s="6" t="s">
        <v>20</v>
      </c>
      <c r="R9" s="6" t="s">
        <v>61</v>
      </c>
      <c r="S9" s="110">
        <f>IF(S8&gt;110,1,S8/110)</f>
        <v>0.72147154429108851</v>
      </c>
      <c r="U9" s="24"/>
    </row>
    <row r="10" spans="1:21" x14ac:dyDescent="0.25">
      <c r="A10" s="10" t="s">
        <v>201</v>
      </c>
      <c r="B10" s="10" t="s">
        <v>157</v>
      </c>
      <c r="C10" s="17">
        <v>0</v>
      </c>
      <c r="D10" s="10">
        <v>3</v>
      </c>
      <c r="E10" s="10">
        <v>0.85</v>
      </c>
      <c r="F10" s="10">
        <v>0.2</v>
      </c>
      <c r="G10" s="10">
        <v>0.22</v>
      </c>
      <c r="H10" s="12"/>
      <c r="I10" s="10">
        <v>2</v>
      </c>
      <c r="J10" s="10">
        <v>3.8</v>
      </c>
      <c r="K10" s="20">
        <f t="array" ref="K10">MAX(IF(C:C=I10,F:F))</f>
        <v>0.23</v>
      </c>
      <c r="M10" s="6" t="s">
        <v>16</v>
      </c>
      <c r="N10" s="6" t="s">
        <v>60</v>
      </c>
      <c r="O10" s="110">
        <f>IF(O9&gt;100,1,O9/100)</f>
        <v>0.23641601024399914</v>
      </c>
      <c r="S10" s="21"/>
    </row>
    <row r="11" spans="1:21" x14ac:dyDescent="0.25">
      <c r="A11" s="10" t="s">
        <v>201</v>
      </c>
      <c r="B11" s="10" t="s">
        <v>157</v>
      </c>
      <c r="C11" s="17">
        <v>0</v>
      </c>
      <c r="D11" s="10">
        <v>4</v>
      </c>
      <c r="E11" s="10">
        <v>1.2</v>
      </c>
      <c r="F11" s="10">
        <v>0.25</v>
      </c>
      <c r="G11" s="10">
        <v>0.38</v>
      </c>
      <c r="H11" s="12"/>
      <c r="I11" s="10">
        <v>3</v>
      </c>
      <c r="J11" s="10">
        <v>4.04</v>
      </c>
      <c r="K11" s="20">
        <f t="array" ref="K11">MAX(IF(C:C=I11,F:F))</f>
        <v>0.56999999999999995</v>
      </c>
    </row>
    <row r="12" spans="1:21" x14ac:dyDescent="0.25">
      <c r="A12" s="10" t="s">
        <v>201</v>
      </c>
      <c r="B12" s="10" t="s">
        <v>157</v>
      </c>
      <c r="C12" s="17">
        <v>0</v>
      </c>
      <c r="D12" s="10">
        <v>5</v>
      </c>
      <c r="E12" s="10">
        <v>1.5499999999999998</v>
      </c>
      <c r="F12" s="10">
        <v>0.32</v>
      </c>
      <c r="G12" s="10">
        <v>0.33</v>
      </c>
      <c r="H12" s="12"/>
      <c r="I12" s="10">
        <v>4</v>
      </c>
      <c r="J12" s="10">
        <v>5.38</v>
      </c>
      <c r="K12" s="20">
        <f t="array" ref="K12">MAX(IF(C:C=I12,F:F))</f>
        <v>0.52</v>
      </c>
    </row>
    <row r="13" spans="1:21" x14ac:dyDescent="0.25">
      <c r="A13" s="10" t="s">
        <v>201</v>
      </c>
      <c r="B13" s="10" t="s">
        <v>157</v>
      </c>
      <c r="C13" s="17">
        <v>0</v>
      </c>
      <c r="D13" s="10">
        <v>6</v>
      </c>
      <c r="E13" s="10">
        <v>1.9</v>
      </c>
      <c r="F13" s="10">
        <v>0.38</v>
      </c>
      <c r="G13" s="10">
        <v>0.39</v>
      </c>
      <c r="H13" s="12"/>
      <c r="I13" s="10">
        <v>5</v>
      </c>
      <c r="J13" s="10">
        <v>5.66</v>
      </c>
      <c r="K13" s="20">
        <f t="array" ref="K13">MAX(IF(C:C=I13,F:F))</f>
        <v>0.66</v>
      </c>
    </row>
    <row r="14" spans="1:21" x14ac:dyDescent="0.25">
      <c r="A14" s="10" t="s">
        <v>201</v>
      </c>
      <c r="B14" s="10" t="s">
        <v>157</v>
      </c>
      <c r="C14" s="17">
        <v>0</v>
      </c>
      <c r="D14" s="10">
        <v>7</v>
      </c>
      <c r="E14" s="10">
        <v>2.25</v>
      </c>
      <c r="F14" s="10">
        <v>0.44</v>
      </c>
      <c r="G14" s="10">
        <v>0.36</v>
      </c>
      <c r="H14" s="12"/>
      <c r="I14" s="10">
        <v>6</v>
      </c>
      <c r="J14" s="10">
        <v>4.6399999999999997</v>
      </c>
      <c r="K14" s="20">
        <f t="array" ref="K14">MAX(IF(C:C=I14,F:F))</f>
        <v>0.62</v>
      </c>
    </row>
    <row r="15" spans="1:21" x14ac:dyDescent="0.25">
      <c r="A15" s="10" t="s">
        <v>201</v>
      </c>
      <c r="B15" s="10" t="s">
        <v>157</v>
      </c>
      <c r="C15" s="17">
        <v>0</v>
      </c>
      <c r="D15" s="10">
        <v>8</v>
      </c>
      <c r="E15" s="10">
        <v>2.6</v>
      </c>
      <c r="F15" s="10">
        <v>0.42</v>
      </c>
      <c r="G15" s="10">
        <v>0.37</v>
      </c>
      <c r="H15" s="12"/>
      <c r="I15" s="10">
        <v>7</v>
      </c>
      <c r="J15" s="10">
        <v>5.35</v>
      </c>
      <c r="K15" s="20">
        <f t="array" ref="K15">MAX(IF(C:C=I15,F:F))</f>
        <v>0.61</v>
      </c>
    </row>
    <row r="16" spans="1:21" x14ac:dyDescent="0.25">
      <c r="A16" s="10" t="s">
        <v>201</v>
      </c>
      <c r="B16" s="10" t="s">
        <v>157</v>
      </c>
      <c r="C16" s="17">
        <v>0</v>
      </c>
      <c r="D16" s="10">
        <v>9</v>
      </c>
      <c r="E16" s="10">
        <v>2.95</v>
      </c>
      <c r="F16" s="10">
        <v>0.4</v>
      </c>
      <c r="G16" s="10">
        <v>0.35</v>
      </c>
      <c r="H16" s="12"/>
      <c r="I16" s="10">
        <v>8</v>
      </c>
      <c r="J16" s="10">
        <v>5.2</v>
      </c>
      <c r="K16" s="20">
        <f t="array" ref="K16">MAX(IF(C:C=I16,F:F))</f>
        <v>0.52</v>
      </c>
    </row>
    <row r="17" spans="1:11" x14ac:dyDescent="0.25">
      <c r="A17" s="10" t="s">
        <v>201</v>
      </c>
      <c r="B17" s="10" t="s">
        <v>157</v>
      </c>
      <c r="C17" s="17">
        <v>0</v>
      </c>
      <c r="D17" s="10">
        <v>10</v>
      </c>
      <c r="E17" s="10">
        <v>3.3000000000000003</v>
      </c>
      <c r="F17" s="10">
        <v>0.39</v>
      </c>
      <c r="G17" s="10">
        <v>0.21</v>
      </c>
      <c r="H17" s="12"/>
      <c r="I17" s="10">
        <v>9</v>
      </c>
      <c r="J17" s="10">
        <v>4.8</v>
      </c>
      <c r="K17" s="20">
        <f t="array" ref="K17">MAX(IF(C:C=I17,F:F))</f>
        <v>0.53</v>
      </c>
    </row>
    <row r="18" spans="1:11" x14ac:dyDescent="0.25">
      <c r="A18" s="10" t="s">
        <v>201</v>
      </c>
      <c r="B18" s="10" t="s">
        <v>157</v>
      </c>
      <c r="C18" s="17">
        <v>0</v>
      </c>
      <c r="D18" s="10">
        <v>11</v>
      </c>
      <c r="E18" s="10">
        <v>3.6500000000000004</v>
      </c>
      <c r="F18" s="10">
        <v>0.38</v>
      </c>
      <c r="G18" s="10">
        <v>0.06</v>
      </c>
      <c r="H18" s="12"/>
      <c r="I18" s="10">
        <v>10</v>
      </c>
      <c r="J18" s="10">
        <v>4.8</v>
      </c>
      <c r="K18" s="20">
        <f t="array" ref="K18">MAX(IF(C:C=I18,F:F))</f>
        <v>0.53</v>
      </c>
    </row>
    <row r="19" spans="1:11" x14ac:dyDescent="0.25">
      <c r="A19" s="10" t="s">
        <v>201</v>
      </c>
      <c r="B19" s="10" t="s">
        <v>157</v>
      </c>
      <c r="C19" s="17">
        <v>0</v>
      </c>
      <c r="D19" s="10">
        <v>12</v>
      </c>
      <c r="E19" s="10">
        <v>4</v>
      </c>
      <c r="F19" s="10">
        <v>0.31</v>
      </c>
      <c r="G19" s="10">
        <v>0.02</v>
      </c>
      <c r="H19" s="12"/>
    </row>
    <row r="20" spans="1:11" x14ac:dyDescent="0.25">
      <c r="A20" s="10" t="s">
        <v>201</v>
      </c>
      <c r="B20" s="10" t="s">
        <v>157</v>
      </c>
      <c r="C20" s="17">
        <v>0</v>
      </c>
      <c r="D20" s="10">
        <v>13</v>
      </c>
      <c r="E20" s="10">
        <v>4.3499999999999996</v>
      </c>
      <c r="F20" s="10">
        <v>0.6</v>
      </c>
      <c r="G20" s="10">
        <v>0</v>
      </c>
      <c r="H20" s="12"/>
      <c r="I20" s="56" t="s">
        <v>158</v>
      </c>
    </row>
    <row r="21" spans="1:11" x14ac:dyDescent="0.25">
      <c r="A21" s="10" t="s">
        <v>201</v>
      </c>
      <c r="B21" s="10" t="s">
        <v>157</v>
      </c>
      <c r="C21" s="17">
        <v>1</v>
      </c>
      <c r="D21" s="10">
        <v>1</v>
      </c>
      <c r="E21" s="10">
        <v>0.2</v>
      </c>
      <c r="F21" s="10">
        <v>0.17</v>
      </c>
      <c r="G21" s="10">
        <v>0.09</v>
      </c>
      <c r="H21" s="12"/>
      <c r="I21" s="98" t="s">
        <v>194</v>
      </c>
    </row>
    <row r="22" spans="1:11" x14ac:dyDescent="0.25">
      <c r="A22" s="10" t="s">
        <v>201</v>
      </c>
      <c r="B22" s="10" t="s">
        <v>157</v>
      </c>
      <c r="C22" s="17">
        <v>1</v>
      </c>
      <c r="D22" s="10">
        <v>2</v>
      </c>
      <c r="E22" s="10">
        <v>0.55000000000000004</v>
      </c>
      <c r="F22" s="10">
        <v>0.2</v>
      </c>
      <c r="G22" s="10">
        <v>0.31</v>
      </c>
      <c r="H22" s="19"/>
      <c r="I22" s="12"/>
    </row>
    <row r="23" spans="1:11" x14ac:dyDescent="0.25">
      <c r="A23" s="10" t="s">
        <v>201</v>
      </c>
      <c r="B23" s="10" t="s">
        <v>157</v>
      </c>
      <c r="C23" s="17">
        <v>1</v>
      </c>
      <c r="D23" s="10">
        <v>3</v>
      </c>
      <c r="E23" s="10">
        <v>0.9</v>
      </c>
      <c r="F23" s="10">
        <v>0.22</v>
      </c>
      <c r="G23" s="10">
        <v>0.37</v>
      </c>
      <c r="H23" s="19"/>
      <c r="I23" s="12"/>
    </row>
    <row r="24" spans="1:11" x14ac:dyDescent="0.25">
      <c r="A24" s="10" t="s">
        <v>201</v>
      </c>
      <c r="B24" s="10" t="s">
        <v>157</v>
      </c>
      <c r="C24" s="17">
        <v>1</v>
      </c>
      <c r="D24" s="10">
        <v>4</v>
      </c>
      <c r="E24" s="10">
        <v>1.25</v>
      </c>
      <c r="F24" s="10">
        <v>0.3</v>
      </c>
      <c r="G24" s="10">
        <v>0.39</v>
      </c>
      <c r="H24" s="19"/>
      <c r="I24" s="12"/>
    </row>
    <row r="25" spans="1:11" x14ac:dyDescent="0.25">
      <c r="A25" s="10" t="s">
        <v>201</v>
      </c>
      <c r="B25" s="10" t="s">
        <v>157</v>
      </c>
      <c r="C25" s="17">
        <v>1</v>
      </c>
      <c r="D25" s="10">
        <v>5</v>
      </c>
      <c r="E25" s="10">
        <v>1.6</v>
      </c>
      <c r="F25" s="10">
        <v>0.36</v>
      </c>
      <c r="G25" s="10">
        <v>0.4</v>
      </c>
      <c r="H25" s="19"/>
      <c r="I25" s="12"/>
    </row>
    <row r="26" spans="1:11" x14ac:dyDescent="0.25">
      <c r="A26" s="10" t="s">
        <v>201</v>
      </c>
      <c r="B26" s="10" t="s">
        <v>157</v>
      </c>
      <c r="C26" s="17">
        <v>1</v>
      </c>
      <c r="D26" s="10">
        <v>6</v>
      </c>
      <c r="E26" s="10">
        <v>1.9500000000000002</v>
      </c>
      <c r="F26" s="10">
        <v>0.37</v>
      </c>
      <c r="G26" s="10">
        <v>0.28999999999999998</v>
      </c>
      <c r="H26" s="12"/>
      <c r="I26" s="12"/>
    </row>
    <row r="27" spans="1:11" x14ac:dyDescent="0.25">
      <c r="A27" s="10" t="s">
        <v>201</v>
      </c>
      <c r="B27" s="10" t="s">
        <v>157</v>
      </c>
      <c r="C27" s="17">
        <v>1</v>
      </c>
      <c r="D27" s="10">
        <v>7</v>
      </c>
      <c r="E27" s="10">
        <v>2.3000000000000003</v>
      </c>
      <c r="F27" s="10">
        <v>0.37</v>
      </c>
      <c r="G27" s="10">
        <v>0.35</v>
      </c>
      <c r="H27" s="12"/>
      <c r="I27" s="12"/>
    </row>
    <row r="28" spans="1:11" x14ac:dyDescent="0.25">
      <c r="A28" s="10" t="s">
        <v>201</v>
      </c>
      <c r="B28" s="10" t="s">
        <v>157</v>
      </c>
      <c r="C28" s="17">
        <v>1</v>
      </c>
      <c r="D28" s="10">
        <v>8</v>
      </c>
      <c r="E28" s="10">
        <v>2.6500000000000004</v>
      </c>
      <c r="F28" s="10">
        <v>0.22</v>
      </c>
      <c r="G28" s="10">
        <v>0.37</v>
      </c>
      <c r="H28" s="12"/>
      <c r="I28" s="12"/>
      <c r="K28" s="18"/>
    </row>
    <row r="29" spans="1:11" x14ac:dyDescent="0.25">
      <c r="A29" s="10" t="s">
        <v>201</v>
      </c>
      <c r="B29" s="10" t="s">
        <v>157</v>
      </c>
      <c r="C29" s="17">
        <v>1</v>
      </c>
      <c r="D29" s="10">
        <v>9</v>
      </c>
      <c r="E29" s="10">
        <v>3.0000000000000004</v>
      </c>
      <c r="F29" s="10">
        <v>0.22</v>
      </c>
      <c r="G29" s="10">
        <v>0.36</v>
      </c>
      <c r="H29" s="12"/>
      <c r="I29" s="12"/>
      <c r="K29" s="18"/>
    </row>
    <row r="30" spans="1:11" x14ac:dyDescent="0.25">
      <c r="A30" s="10" t="s">
        <v>201</v>
      </c>
      <c r="B30" s="10" t="s">
        <v>157</v>
      </c>
      <c r="C30" s="17">
        <v>1</v>
      </c>
      <c r="D30" s="10">
        <v>10</v>
      </c>
      <c r="E30" s="10">
        <v>3.3500000000000005</v>
      </c>
      <c r="F30" s="10">
        <v>0.22</v>
      </c>
      <c r="G30" s="10">
        <v>0.4</v>
      </c>
      <c r="H30" s="12"/>
      <c r="I30" s="12"/>
      <c r="K30" s="18"/>
    </row>
    <row r="31" spans="1:11" x14ac:dyDescent="0.25">
      <c r="A31" s="10" t="s">
        <v>201</v>
      </c>
      <c r="B31" s="10" t="s">
        <v>157</v>
      </c>
      <c r="C31" s="17">
        <v>1</v>
      </c>
      <c r="D31" s="10">
        <v>11</v>
      </c>
      <c r="E31" s="10">
        <v>3.7000000000000006</v>
      </c>
      <c r="F31" s="10">
        <v>0.23</v>
      </c>
      <c r="G31" s="10">
        <v>0.47</v>
      </c>
      <c r="H31" s="12"/>
      <c r="I31" s="12"/>
      <c r="K31" s="18"/>
    </row>
    <row r="32" spans="1:11" x14ac:dyDescent="0.25">
      <c r="A32" s="10" t="s">
        <v>201</v>
      </c>
      <c r="B32" s="10" t="s">
        <v>157</v>
      </c>
      <c r="C32" s="17">
        <v>1</v>
      </c>
      <c r="D32" s="10">
        <v>12</v>
      </c>
      <c r="E32" s="10">
        <v>4.0500000000000007</v>
      </c>
      <c r="F32" s="10">
        <v>0.21</v>
      </c>
      <c r="G32" s="10">
        <v>0.32</v>
      </c>
      <c r="H32" s="12"/>
      <c r="K32" s="18"/>
    </row>
    <row r="33" spans="1:11" x14ac:dyDescent="0.25">
      <c r="A33" s="10" t="s">
        <v>201</v>
      </c>
      <c r="B33" s="10" t="s">
        <v>157</v>
      </c>
      <c r="C33" s="17">
        <v>1</v>
      </c>
      <c r="D33" s="10">
        <v>13</v>
      </c>
      <c r="E33" s="10">
        <v>4.4000000000000004</v>
      </c>
      <c r="F33" s="10">
        <v>0.04</v>
      </c>
      <c r="G33" s="10">
        <v>0</v>
      </c>
      <c r="H33" s="12"/>
      <c r="K33" s="18"/>
    </row>
    <row r="34" spans="1:11" x14ac:dyDescent="0.25">
      <c r="A34" s="10" t="s">
        <v>201</v>
      </c>
      <c r="B34" s="10" t="s">
        <v>157</v>
      </c>
      <c r="C34" s="17">
        <v>2</v>
      </c>
      <c r="D34" s="10">
        <v>1</v>
      </c>
      <c r="E34" s="10">
        <v>0.2</v>
      </c>
      <c r="F34" s="10">
        <v>0.1</v>
      </c>
      <c r="G34" s="10">
        <v>0.06</v>
      </c>
      <c r="H34" s="12"/>
    </row>
    <row r="35" spans="1:11" x14ac:dyDescent="0.25">
      <c r="A35" s="10" t="s">
        <v>201</v>
      </c>
      <c r="B35" s="10" t="s">
        <v>157</v>
      </c>
      <c r="C35" s="17">
        <v>2</v>
      </c>
      <c r="D35" s="10">
        <v>2</v>
      </c>
      <c r="E35" s="10">
        <v>0.55000000000000004</v>
      </c>
      <c r="F35" s="10">
        <v>0.16</v>
      </c>
      <c r="G35" s="10">
        <v>0.11</v>
      </c>
      <c r="H35" s="12"/>
    </row>
    <row r="36" spans="1:11" x14ac:dyDescent="0.25">
      <c r="A36" s="10" t="s">
        <v>201</v>
      </c>
      <c r="B36" s="10" t="s">
        <v>157</v>
      </c>
      <c r="C36" s="17">
        <v>2</v>
      </c>
      <c r="D36" s="10">
        <v>3</v>
      </c>
      <c r="E36" s="10">
        <v>0.9</v>
      </c>
      <c r="F36" s="10">
        <v>0.16</v>
      </c>
      <c r="G36" s="10">
        <v>0.56000000000000005</v>
      </c>
      <c r="H36" s="12"/>
    </row>
    <row r="37" spans="1:11" x14ac:dyDescent="0.25">
      <c r="A37" s="10" t="s">
        <v>201</v>
      </c>
      <c r="B37" s="10" t="s">
        <v>157</v>
      </c>
      <c r="C37" s="17">
        <v>2</v>
      </c>
      <c r="D37" s="10">
        <v>4</v>
      </c>
      <c r="E37" s="10">
        <v>1.25</v>
      </c>
      <c r="F37" s="10">
        <v>0.21</v>
      </c>
      <c r="G37" s="10">
        <v>0.84</v>
      </c>
      <c r="H37" s="12"/>
    </row>
    <row r="38" spans="1:11" x14ac:dyDescent="0.25">
      <c r="A38" s="10" t="s">
        <v>201</v>
      </c>
      <c r="B38" s="10" t="s">
        <v>157</v>
      </c>
      <c r="C38" s="17">
        <v>2</v>
      </c>
      <c r="D38" s="10">
        <v>5</v>
      </c>
      <c r="E38" s="10">
        <v>1.6</v>
      </c>
      <c r="F38" s="10">
        <v>0.21</v>
      </c>
      <c r="G38" s="10">
        <v>0.94</v>
      </c>
      <c r="H38" s="12"/>
    </row>
    <row r="39" spans="1:11" x14ac:dyDescent="0.25">
      <c r="A39" s="10" t="s">
        <v>201</v>
      </c>
      <c r="B39" s="10" t="s">
        <v>157</v>
      </c>
      <c r="C39" s="17">
        <v>2</v>
      </c>
      <c r="D39" s="10">
        <v>6</v>
      </c>
      <c r="E39" s="10">
        <v>1.9500000000000002</v>
      </c>
      <c r="F39" s="10">
        <v>0.23</v>
      </c>
      <c r="G39" s="10">
        <v>0.81</v>
      </c>
      <c r="H39" s="12"/>
    </row>
    <row r="40" spans="1:11" x14ac:dyDescent="0.25">
      <c r="A40" s="10" t="s">
        <v>201</v>
      </c>
      <c r="B40" s="10" t="s">
        <v>157</v>
      </c>
      <c r="C40" s="17">
        <v>2</v>
      </c>
      <c r="D40" s="10">
        <v>7</v>
      </c>
      <c r="E40" s="10">
        <v>2.3000000000000003</v>
      </c>
      <c r="F40" s="10">
        <v>0.2</v>
      </c>
      <c r="G40" s="10">
        <v>0.77</v>
      </c>
      <c r="H40" s="12"/>
    </row>
    <row r="41" spans="1:11" x14ac:dyDescent="0.25">
      <c r="A41" s="10" t="s">
        <v>201</v>
      </c>
      <c r="B41" s="10" t="s">
        <v>157</v>
      </c>
      <c r="C41" s="17">
        <v>2</v>
      </c>
      <c r="D41" s="10">
        <v>8</v>
      </c>
      <c r="E41" s="10">
        <v>2.6500000000000004</v>
      </c>
      <c r="F41" s="10">
        <v>0.13</v>
      </c>
      <c r="G41" s="10">
        <v>0.67</v>
      </c>
      <c r="H41" s="12"/>
    </row>
    <row r="42" spans="1:11" x14ac:dyDescent="0.25">
      <c r="A42" s="10" t="s">
        <v>201</v>
      </c>
      <c r="B42" s="10" t="s">
        <v>157</v>
      </c>
      <c r="C42" s="17">
        <v>2</v>
      </c>
      <c r="D42" s="10">
        <v>9</v>
      </c>
      <c r="E42" s="10">
        <v>3.0000000000000004</v>
      </c>
      <c r="F42" s="10">
        <v>0.14000000000000001</v>
      </c>
      <c r="G42" s="10">
        <v>0.56000000000000005</v>
      </c>
      <c r="H42" s="12"/>
    </row>
    <row r="43" spans="1:11" x14ac:dyDescent="0.25">
      <c r="A43" s="10" t="s">
        <v>201</v>
      </c>
      <c r="B43" s="10" t="s">
        <v>157</v>
      </c>
      <c r="C43" s="17">
        <v>2</v>
      </c>
      <c r="D43" s="10">
        <v>10</v>
      </c>
      <c r="E43" s="10">
        <v>3.3500000000000005</v>
      </c>
      <c r="F43" s="10">
        <v>0.11</v>
      </c>
      <c r="G43" s="10">
        <v>0.04</v>
      </c>
      <c r="H43" s="12"/>
    </row>
    <row r="44" spans="1:11" x14ac:dyDescent="0.25">
      <c r="A44" s="10" t="s">
        <v>201</v>
      </c>
      <c r="B44" s="10" t="s">
        <v>157</v>
      </c>
      <c r="C44" s="17">
        <v>2</v>
      </c>
      <c r="D44" s="10">
        <v>11</v>
      </c>
      <c r="E44" s="10">
        <v>3.7000000000000006</v>
      </c>
      <c r="F44" s="10">
        <v>0.04</v>
      </c>
      <c r="G44" s="10">
        <v>0</v>
      </c>
      <c r="H44" s="12"/>
    </row>
    <row r="45" spans="1:11" x14ac:dyDescent="0.25">
      <c r="A45" s="10" t="s">
        <v>201</v>
      </c>
      <c r="B45" s="10" t="s">
        <v>157</v>
      </c>
      <c r="C45" s="17">
        <v>3</v>
      </c>
      <c r="D45" s="10">
        <v>1</v>
      </c>
      <c r="E45" s="10">
        <v>0.2</v>
      </c>
      <c r="F45" s="10">
        <v>0.11</v>
      </c>
      <c r="G45" s="10">
        <v>0.04</v>
      </c>
      <c r="H45" s="12"/>
    </row>
    <row r="46" spans="1:11" x14ac:dyDescent="0.25">
      <c r="A46" s="10" t="s">
        <v>201</v>
      </c>
      <c r="B46" s="10" t="s">
        <v>157</v>
      </c>
      <c r="C46" s="17">
        <v>3</v>
      </c>
      <c r="D46" s="10">
        <v>2</v>
      </c>
      <c r="E46" s="10">
        <v>0.55000000000000004</v>
      </c>
      <c r="F46" s="10">
        <v>0.26</v>
      </c>
      <c r="G46" s="10">
        <v>0.01</v>
      </c>
      <c r="H46" s="12"/>
    </row>
    <row r="47" spans="1:11" x14ac:dyDescent="0.25">
      <c r="A47" s="10" t="s">
        <v>201</v>
      </c>
      <c r="B47" s="10" t="s">
        <v>157</v>
      </c>
      <c r="C47" s="17">
        <v>3</v>
      </c>
      <c r="D47" s="10">
        <v>3</v>
      </c>
      <c r="E47" s="10">
        <v>0.9</v>
      </c>
      <c r="F47" s="10">
        <v>0.32</v>
      </c>
      <c r="G47" s="10">
        <v>0.33</v>
      </c>
      <c r="H47" s="12"/>
    </row>
    <row r="48" spans="1:11" x14ac:dyDescent="0.25">
      <c r="A48" s="10" t="s">
        <v>201</v>
      </c>
      <c r="B48" s="10" t="s">
        <v>157</v>
      </c>
      <c r="C48" s="17">
        <v>3</v>
      </c>
      <c r="D48" s="10">
        <v>4</v>
      </c>
      <c r="E48" s="10">
        <v>1.25</v>
      </c>
      <c r="F48" s="10">
        <v>0.34</v>
      </c>
      <c r="G48" s="10">
        <v>0.15</v>
      </c>
      <c r="H48" s="12"/>
    </row>
    <row r="49" spans="1:8" x14ac:dyDescent="0.25">
      <c r="A49" s="10" t="s">
        <v>201</v>
      </c>
      <c r="B49" s="10" t="s">
        <v>157</v>
      </c>
      <c r="C49" s="17">
        <v>3</v>
      </c>
      <c r="D49" s="10">
        <v>5</v>
      </c>
      <c r="E49" s="10">
        <v>1.6</v>
      </c>
      <c r="F49" s="10">
        <v>0.49</v>
      </c>
      <c r="G49" s="10">
        <v>0.2</v>
      </c>
      <c r="H49" s="12"/>
    </row>
    <row r="50" spans="1:8" x14ac:dyDescent="0.25">
      <c r="A50" s="10" t="s">
        <v>201</v>
      </c>
      <c r="B50" s="10" t="s">
        <v>157</v>
      </c>
      <c r="C50" s="17">
        <v>3</v>
      </c>
      <c r="D50" s="10">
        <v>6</v>
      </c>
      <c r="E50" s="10">
        <v>1.9500000000000002</v>
      </c>
      <c r="F50" s="10">
        <v>0.56999999999999995</v>
      </c>
      <c r="G50" s="10">
        <v>0.24</v>
      </c>
      <c r="H50" s="12"/>
    </row>
    <row r="51" spans="1:8" x14ac:dyDescent="0.25">
      <c r="A51" s="10" t="s">
        <v>201</v>
      </c>
      <c r="B51" s="10" t="s">
        <v>157</v>
      </c>
      <c r="C51" s="17">
        <v>3</v>
      </c>
      <c r="D51" s="10">
        <v>7</v>
      </c>
      <c r="E51" s="10">
        <v>2.3000000000000003</v>
      </c>
      <c r="F51" s="10">
        <v>0.54</v>
      </c>
      <c r="G51" s="10">
        <v>0.23</v>
      </c>
      <c r="H51" s="12"/>
    </row>
    <row r="52" spans="1:8" x14ac:dyDescent="0.25">
      <c r="A52" s="10" t="s">
        <v>201</v>
      </c>
      <c r="B52" s="10" t="s">
        <v>157</v>
      </c>
      <c r="C52" s="17">
        <v>3</v>
      </c>
      <c r="D52" s="10">
        <v>8</v>
      </c>
      <c r="E52" s="10">
        <v>2.6500000000000004</v>
      </c>
      <c r="F52" s="10">
        <v>0.5</v>
      </c>
      <c r="G52" s="10">
        <v>0.17</v>
      </c>
      <c r="H52" s="12"/>
    </row>
    <row r="53" spans="1:8" x14ac:dyDescent="0.25">
      <c r="A53" s="10" t="s">
        <v>201</v>
      </c>
      <c r="B53" s="10" t="s">
        <v>157</v>
      </c>
      <c r="C53" s="17">
        <v>3</v>
      </c>
      <c r="D53" s="10">
        <v>9</v>
      </c>
      <c r="E53" s="10">
        <v>3.0000000000000004</v>
      </c>
      <c r="F53" s="10">
        <v>0.41</v>
      </c>
      <c r="G53" s="10">
        <v>0.27</v>
      </c>
      <c r="H53" s="12"/>
    </row>
    <row r="54" spans="1:8" x14ac:dyDescent="0.25">
      <c r="A54" s="10" t="s">
        <v>201</v>
      </c>
      <c r="B54" s="10" t="s">
        <v>157</v>
      </c>
      <c r="C54" s="17">
        <v>3</v>
      </c>
      <c r="D54" s="10">
        <v>10</v>
      </c>
      <c r="E54" s="10">
        <v>3.3500000000000005</v>
      </c>
      <c r="F54" s="10">
        <v>0.16</v>
      </c>
      <c r="G54" s="10">
        <v>0.1</v>
      </c>
      <c r="H54" s="12"/>
    </row>
    <row r="55" spans="1:8" x14ac:dyDescent="0.25">
      <c r="A55" s="10" t="s">
        <v>201</v>
      </c>
      <c r="B55" s="10" t="s">
        <v>157</v>
      </c>
      <c r="C55" s="17">
        <v>3</v>
      </c>
      <c r="D55" s="10">
        <v>11</v>
      </c>
      <c r="E55" s="10">
        <v>3.7000000000000006</v>
      </c>
      <c r="F55" s="10">
        <v>0.18</v>
      </c>
      <c r="G55" s="10">
        <v>0.03</v>
      </c>
      <c r="H55" s="12"/>
    </row>
    <row r="56" spans="1:8" x14ac:dyDescent="0.25">
      <c r="A56" s="10" t="s">
        <v>201</v>
      </c>
      <c r="B56" s="10" t="s">
        <v>157</v>
      </c>
      <c r="C56" s="17">
        <v>4</v>
      </c>
      <c r="D56" s="10">
        <v>1</v>
      </c>
      <c r="E56" s="10">
        <v>0.35</v>
      </c>
      <c r="F56" s="10">
        <v>0.3</v>
      </c>
      <c r="G56" s="10">
        <v>0</v>
      </c>
      <c r="H56" s="12"/>
    </row>
    <row r="57" spans="1:8" x14ac:dyDescent="0.25">
      <c r="A57" s="10" t="s">
        <v>201</v>
      </c>
      <c r="B57" s="10" t="s">
        <v>157</v>
      </c>
      <c r="C57" s="17">
        <v>4</v>
      </c>
      <c r="D57" s="10">
        <v>2</v>
      </c>
      <c r="E57" s="10">
        <v>0.7</v>
      </c>
      <c r="F57" s="10">
        <v>0.34</v>
      </c>
      <c r="G57" s="10">
        <v>0</v>
      </c>
      <c r="H57" s="12"/>
    </row>
    <row r="58" spans="1:8" x14ac:dyDescent="0.25">
      <c r="A58" s="10" t="s">
        <v>201</v>
      </c>
      <c r="B58" s="10" t="s">
        <v>157</v>
      </c>
      <c r="C58" s="17">
        <v>4</v>
      </c>
      <c r="D58" s="10">
        <v>3</v>
      </c>
      <c r="E58" s="10">
        <v>1.0499999999999998</v>
      </c>
      <c r="F58" s="10">
        <v>0.47</v>
      </c>
      <c r="G58" s="10">
        <v>0.24</v>
      </c>
      <c r="H58" s="12"/>
    </row>
    <row r="59" spans="1:8" x14ac:dyDescent="0.25">
      <c r="A59" s="10" t="s">
        <v>201</v>
      </c>
      <c r="B59" s="10" t="s">
        <v>157</v>
      </c>
      <c r="C59" s="17">
        <v>4</v>
      </c>
      <c r="D59" s="10">
        <v>4</v>
      </c>
      <c r="E59" s="10">
        <v>1.4</v>
      </c>
      <c r="F59" s="10">
        <v>0.48</v>
      </c>
      <c r="G59" s="10">
        <v>0.21</v>
      </c>
      <c r="H59" s="12"/>
    </row>
    <row r="60" spans="1:8" x14ac:dyDescent="0.25">
      <c r="A60" s="10" t="s">
        <v>201</v>
      </c>
      <c r="B60" s="10" t="s">
        <v>157</v>
      </c>
      <c r="C60" s="17">
        <v>4</v>
      </c>
      <c r="D60" s="10">
        <v>5</v>
      </c>
      <c r="E60" s="10">
        <v>1.75</v>
      </c>
      <c r="F60" s="10">
        <v>0.51</v>
      </c>
      <c r="G60" s="10">
        <v>0.22</v>
      </c>
      <c r="H60" s="12"/>
    </row>
    <row r="61" spans="1:8" x14ac:dyDescent="0.25">
      <c r="A61" s="10" t="s">
        <v>201</v>
      </c>
      <c r="B61" s="10" t="s">
        <v>157</v>
      </c>
      <c r="C61" s="17">
        <v>4</v>
      </c>
      <c r="D61" s="10">
        <v>6</v>
      </c>
      <c r="E61" s="10">
        <v>2.1</v>
      </c>
      <c r="F61" s="10">
        <v>0.52</v>
      </c>
      <c r="G61" s="10">
        <v>0.21</v>
      </c>
      <c r="H61" s="12"/>
    </row>
    <row r="62" spans="1:8" x14ac:dyDescent="0.25">
      <c r="A62" s="10" t="s">
        <v>201</v>
      </c>
      <c r="B62" s="10" t="s">
        <v>157</v>
      </c>
      <c r="C62" s="17">
        <v>4</v>
      </c>
      <c r="D62" s="10">
        <v>7</v>
      </c>
      <c r="E62" s="10">
        <v>2.4500000000000002</v>
      </c>
      <c r="F62" s="10">
        <v>0.49</v>
      </c>
      <c r="G62" s="10">
        <v>0.15</v>
      </c>
      <c r="H62" s="12"/>
    </row>
    <row r="63" spans="1:8" x14ac:dyDescent="0.25">
      <c r="A63" s="10" t="s">
        <v>201</v>
      </c>
      <c r="B63" s="10" t="s">
        <v>157</v>
      </c>
      <c r="C63" s="17">
        <v>4</v>
      </c>
      <c r="D63" s="10">
        <v>8</v>
      </c>
      <c r="E63" s="10">
        <v>2.8000000000000003</v>
      </c>
      <c r="F63" s="10">
        <v>0.38</v>
      </c>
      <c r="G63" s="10">
        <v>0.21</v>
      </c>
      <c r="H63" s="12"/>
    </row>
    <row r="64" spans="1:8" x14ac:dyDescent="0.25">
      <c r="A64" s="10" t="s">
        <v>201</v>
      </c>
      <c r="B64" s="10" t="s">
        <v>157</v>
      </c>
      <c r="C64" s="17">
        <v>4</v>
      </c>
      <c r="D64" s="10">
        <v>9</v>
      </c>
      <c r="E64" s="10">
        <v>3.1500000000000004</v>
      </c>
      <c r="F64" s="10">
        <v>0.35</v>
      </c>
      <c r="G64" s="10">
        <v>0.25</v>
      </c>
      <c r="H64" s="12"/>
    </row>
    <row r="65" spans="1:8" x14ac:dyDescent="0.25">
      <c r="A65" s="10" t="s">
        <v>201</v>
      </c>
      <c r="B65" s="10" t="s">
        <v>157</v>
      </c>
      <c r="C65" s="17">
        <v>4</v>
      </c>
      <c r="D65" s="10">
        <v>10</v>
      </c>
      <c r="E65" s="10">
        <v>3.5000000000000004</v>
      </c>
      <c r="F65" s="10">
        <v>0.3</v>
      </c>
      <c r="G65" s="10">
        <v>0.34</v>
      </c>
      <c r="H65" s="12"/>
    </row>
    <row r="66" spans="1:8" x14ac:dyDescent="0.25">
      <c r="A66" s="10" t="s">
        <v>201</v>
      </c>
      <c r="B66" s="10" t="s">
        <v>157</v>
      </c>
      <c r="C66" s="17">
        <v>4</v>
      </c>
      <c r="D66" s="10">
        <v>11</v>
      </c>
      <c r="E66" s="10">
        <v>3.8500000000000005</v>
      </c>
      <c r="F66" s="10">
        <v>0.23</v>
      </c>
      <c r="G66" s="10">
        <v>0.36</v>
      </c>
      <c r="H66" s="12"/>
    </row>
    <row r="67" spans="1:8" x14ac:dyDescent="0.25">
      <c r="A67" s="10" t="s">
        <v>201</v>
      </c>
      <c r="B67" s="10" t="s">
        <v>157</v>
      </c>
      <c r="C67" s="17">
        <v>4</v>
      </c>
      <c r="D67" s="10">
        <v>12</v>
      </c>
      <c r="E67" s="10">
        <v>4.2</v>
      </c>
      <c r="F67" s="10">
        <v>0.18</v>
      </c>
      <c r="G67" s="10">
        <v>0.35</v>
      </c>
      <c r="H67" s="12"/>
    </row>
    <row r="68" spans="1:8" x14ac:dyDescent="0.25">
      <c r="A68" s="10" t="s">
        <v>201</v>
      </c>
      <c r="B68" s="10" t="s">
        <v>157</v>
      </c>
      <c r="C68" s="17">
        <v>4</v>
      </c>
      <c r="D68" s="10">
        <v>13</v>
      </c>
      <c r="E68" s="10">
        <v>4.55</v>
      </c>
      <c r="F68" s="10">
        <v>0.16</v>
      </c>
      <c r="G68" s="10">
        <v>0.3</v>
      </c>
      <c r="H68" s="12"/>
    </row>
    <row r="69" spans="1:8" x14ac:dyDescent="0.25">
      <c r="A69" s="10" t="s">
        <v>201</v>
      </c>
      <c r="B69" s="10" t="s">
        <v>157</v>
      </c>
      <c r="C69" s="17">
        <v>4</v>
      </c>
      <c r="D69" s="10">
        <v>14</v>
      </c>
      <c r="E69" s="10">
        <v>4.8999999999999995</v>
      </c>
      <c r="F69" s="10">
        <v>0.12</v>
      </c>
      <c r="G69" s="10">
        <v>0.17</v>
      </c>
      <c r="H69" s="12"/>
    </row>
    <row r="70" spans="1:8" x14ac:dyDescent="0.25">
      <c r="A70" s="10" t="s">
        <v>201</v>
      </c>
      <c r="B70" s="10" t="s">
        <v>157</v>
      </c>
      <c r="C70" s="17">
        <v>4</v>
      </c>
      <c r="D70" s="10">
        <v>15</v>
      </c>
      <c r="E70" s="10">
        <v>5.2499999999999991</v>
      </c>
      <c r="F70" s="10">
        <v>0.1</v>
      </c>
      <c r="G70" s="10">
        <v>0.1</v>
      </c>
      <c r="H70" s="12"/>
    </row>
    <row r="71" spans="1:8" x14ac:dyDescent="0.25">
      <c r="A71" s="10" t="s">
        <v>201</v>
      </c>
      <c r="B71" s="10" t="s">
        <v>157</v>
      </c>
      <c r="C71" s="17">
        <v>5</v>
      </c>
      <c r="D71" s="10">
        <v>1</v>
      </c>
      <c r="E71" s="10">
        <v>0.2</v>
      </c>
      <c r="F71" s="10">
        <v>0.12</v>
      </c>
      <c r="G71" s="10">
        <v>0</v>
      </c>
      <c r="H71" s="12"/>
    </row>
    <row r="72" spans="1:8" x14ac:dyDescent="0.25">
      <c r="A72" s="10" t="s">
        <v>201</v>
      </c>
      <c r="B72" s="10" t="s">
        <v>157</v>
      </c>
      <c r="C72" s="17">
        <v>5</v>
      </c>
      <c r="D72" s="10">
        <v>2</v>
      </c>
      <c r="E72" s="10">
        <v>0.55000000000000004</v>
      </c>
      <c r="F72" s="10">
        <v>0.19</v>
      </c>
      <c r="G72" s="10">
        <v>0</v>
      </c>
      <c r="H72" s="12"/>
    </row>
    <row r="73" spans="1:8" x14ac:dyDescent="0.25">
      <c r="A73" s="10" t="s">
        <v>201</v>
      </c>
      <c r="B73" s="10" t="s">
        <v>157</v>
      </c>
      <c r="C73" s="17">
        <v>5</v>
      </c>
      <c r="D73" s="10">
        <v>3</v>
      </c>
      <c r="E73" s="10">
        <v>0.9</v>
      </c>
      <c r="F73" s="10">
        <v>0.27</v>
      </c>
      <c r="G73" s="10">
        <v>0.1</v>
      </c>
      <c r="H73" s="12"/>
    </row>
    <row r="74" spans="1:8" x14ac:dyDescent="0.25">
      <c r="A74" s="10" t="s">
        <v>201</v>
      </c>
      <c r="B74" s="10" t="s">
        <v>157</v>
      </c>
      <c r="C74" s="17">
        <v>5</v>
      </c>
      <c r="D74" s="10">
        <v>4</v>
      </c>
      <c r="E74" s="10">
        <v>1.25</v>
      </c>
      <c r="F74" s="10">
        <v>0.33</v>
      </c>
      <c r="G74" s="10">
        <v>0.22</v>
      </c>
      <c r="H74" s="12"/>
    </row>
    <row r="75" spans="1:8" x14ac:dyDescent="0.25">
      <c r="A75" s="10" t="s">
        <v>201</v>
      </c>
      <c r="B75" s="10" t="s">
        <v>157</v>
      </c>
      <c r="C75" s="17">
        <v>5</v>
      </c>
      <c r="D75" s="10">
        <v>5</v>
      </c>
      <c r="E75" s="10">
        <v>1.6</v>
      </c>
      <c r="F75" s="10">
        <v>0.41</v>
      </c>
      <c r="G75" s="10">
        <v>0.22</v>
      </c>
      <c r="H75" s="12"/>
    </row>
    <row r="76" spans="1:8" x14ac:dyDescent="0.25">
      <c r="A76" s="10" t="s">
        <v>201</v>
      </c>
      <c r="B76" s="10" t="s">
        <v>157</v>
      </c>
      <c r="C76" s="17">
        <v>5</v>
      </c>
      <c r="D76" s="10">
        <v>6</v>
      </c>
      <c r="E76" s="10">
        <v>1.9500000000000002</v>
      </c>
      <c r="F76" s="10">
        <v>0.5</v>
      </c>
      <c r="G76" s="10">
        <v>0.21</v>
      </c>
      <c r="H76" s="12"/>
    </row>
    <row r="77" spans="1:8" x14ac:dyDescent="0.25">
      <c r="A77" s="10" t="s">
        <v>201</v>
      </c>
      <c r="B77" s="10" t="s">
        <v>157</v>
      </c>
      <c r="C77" s="17">
        <v>5</v>
      </c>
      <c r="D77" s="10">
        <v>7</v>
      </c>
      <c r="E77" s="10">
        <v>2.3000000000000003</v>
      </c>
      <c r="F77" s="10">
        <v>0.57999999999999996</v>
      </c>
      <c r="G77" s="10">
        <v>0.05</v>
      </c>
      <c r="H77" s="12"/>
    </row>
    <row r="78" spans="1:8" x14ac:dyDescent="0.25">
      <c r="A78" s="10" t="s">
        <v>201</v>
      </c>
      <c r="B78" s="10" t="s">
        <v>157</v>
      </c>
      <c r="C78" s="17">
        <v>5</v>
      </c>
      <c r="D78" s="10">
        <v>8</v>
      </c>
      <c r="E78" s="10">
        <v>2.6500000000000004</v>
      </c>
      <c r="F78" s="10">
        <v>0.64</v>
      </c>
      <c r="G78" s="10">
        <v>0.2</v>
      </c>
      <c r="H78" s="12"/>
    </row>
    <row r="79" spans="1:8" x14ac:dyDescent="0.25">
      <c r="A79" s="10" t="s">
        <v>201</v>
      </c>
      <c r="B79" s="10" t="s">
        <v>157</v>
      </c>
      <c r="C79" s="17">
        <v>5</v>
      </c>
      <c r="D79" s="10">
        <v>9</v>
      </c>
      <c r="E79" s="10">
        <v>3.0000000000000004</v>
      </c>
      <c r="F79" s="10">
        <v>0.66</v>
      </c>
      <c r="G79" s="10">
        <v>0.15</v>
      </c>
      <c r="H79" s="12"/>
    </row>
    <row r="80" spans="1:8" x14ac:dyDescent="0.25">
      <c r="A80" s="10" t="s">
        <v>201</v>
      </c>
      <c r="B80" s="10" t="s">
        <v>157</v>
      </c>
      <c r="C80" s="17">
        <v>5</v>
      </c>
      <c r="D80" s="10">
        <v>10</v>
      </c>
      <c r="E80" s="10">
        <v>3.3500000000000005</v>
      </c>
      <c r="F80" s="10">
        <v>0.62</v>
      </c>
      <c r="G80" s="10">
        <v>0.18</v>
      </c>
      <c r="H80" s="12"/>
    </row>
    <row r="81" spans="1:8" x14ac:dyDescent="0.25">
      <c r="A81" s="10" t="s">
        <v>201</v>
      </c>
      <c r="B81" s="10" t="s">
        <v>157</v>
      </c>
      <c r="C81" s="17">
        <v>5</v>
      </c>
      <c r="D81" s="10">
        <v>11</v>
      </c>
      <c r="E81" s="10">
        <v>3.7000000000000006</v>
      </c>
      <c r="F81" s="10">
        <v>0.54</v>
      </c>
      <c r="G81" s="10">
        <v>0.15</v>
      </c>
      <c r="H81" s="12"/>
    </row>
    <row r="82" spans="1:8" x14ac:dyDescent="0.25">
      <c r="A82" s="10" t="s">
        <v>201</v>
      </c>
      <c r="B82" s="10" t="s">
        <v>157</v>
      </c>
      <c r="C82" s="17">
        <v>5</v>
      </c>
      <c r="D82" s="10">
        <v>12</v>
      </c>
      <c r="E82" s="10">
        <v>4.0500000000000007</v>
      </c>
      <c r="F82" s="10">
        <v>0.39</v>
      </c>
      <c r="G82" s="10">
        <v>0.28000000000000003</v>
      </c>
      <c r="H82" s="12"/>
    </row>
    <row r="83" spans="1:8" x14ac:dyDescent="0.25">
      <c r="A83" s="10" t="s">
        <v>201</v>
      </c>
      <c r="B83" s="10" t="s">
        <v>157</v>
      </c>
      <c r="C83" s="17">
        <v>5</v>
      </c>
      <c r="D83" s="10">
        <v>13</v>
      </c>
      <c r="E83" s="10">
        <v>4.4000000000000004</v>
      </c>
      <c r="F83" s="10">
        <v>0.33</v>
      </c>
      <c r="G83" s="10">
        <v>0.28000000000000003</v>
      </c>
      <c r="H83" s="12"/>
    </row>
    <row r="84" spans="1:8" x14ac:dyDescent="0.25">
      <c r="A84" s="10" t="s">
        <v>201</v>
      </c>
      <c r="B84" s="10" t="s">
        <v>157</v>
      </c>
      <c r="C84" s="17">
        <v>5</v>
      </c>
      <c r="D84" s="10">
        <v>14</v>
      </c>
      <c r="E84" s="10">
        <v>4.75</v>
      </c>
      <c r="F84" s="10">
        <v>0.26</v>
      </c>
      <c r="G84" s="10">
        <v>0.22</v>
      </c>
      <c r="H84" s="12"/>
    </row>
    <row r="85" spans="1:8" x14ac:dyDescent="0.25">
      <c r="A85" s="10" t="s">
        <v>201</v>
      </c>
      <c r="B85" s="10" t="s">
        <v>157</v>
      </c>
      <c r="C85" s="17">
        <v>5</v>
      </c>
      <c r="D85" s="10">
        <v>15</v>
      </c>
      <c r="E85" s="10">
        <v>5.0999999999999996</v>
      </c>
      <c r="F85" s="10">
        <v>0.22</v>
      </c>
      <c r="G85" s="10">
        <v>0</v>
      </c>
      <c r="H85" s="12"/>
    </row>
    <row r="86" spans="1:8" x14ac:dyDescent="0.25">
      <c r="A86" s="10" t="s">
        <v>201</v>
      </c>
      <c r="B86" s="10" t="s">
        <v>157</v>
      </c>
      <c r="C86" s="17">
        <v>5</v>
      </c>
      <c r="D86" s="10">
        <v>16</v>
      </c>
      <c r="E86" s="10">
        <v>5.4499999999999993</v>
      </c>
      <c r="F86" s="10">
        <v>0.17</v>
      </c>
      <c r="G86" s="10">
        <v>0</v>
      </c>
      <c r="H86" s="12"/>
    </row>
    <row r="87" spans="1:8" x14ac:dyDescent="0.25">
      <c r="A87" s="10" t="s">
        <v>201</v>
      </c>
      <c r="B87" s="10" t="s">
        <v>157</v>
      </c>
      <c r="C87" s="17">
        <v>6</v>
      </c>
      <c r="D87" s="10">
        <v>1</v>
      </c>
      <c r="E87" s="10">
        <v>0.35</v>
      </c>
      <c r="F87" s="10">
        <v>0.26</v>
      </c>
      <c r="G87" s="10">
        <v>0</v>
      </c>
      <c r="H87" s="12"/>
    </row>
    <row r="88" spans="1:8" x14ac:dyDescent="0.25">
      <c r="A88" s="10" t="s">
        <v>201</v>
      </c>
      <c r="B88" s="10" t="s">
        <v>157</v>
      </c>
      <c r="C88" s="17">
        <v>6</v>
      </c>
      <c r="D88" s="10">
        <v>2</v>
      </c>
      <c r="E88" s="10">
        <v>0.7</v>
      </c>
      <c r="F88" s="10">
        <v>0.37</v>
      </c>
      <c r="G88" s="10">
        <v>7.0000000000000007E-2</v>
      </c>
      <c r="H88" s="12"/>
    </row>
    <row r="89" spans="1:8" x14ac:dyDescent="0.25">
      <c r="A89" s="10" t="s">
        <v>201</v>
      </c>
      <c r="B89" s="10" t="s">
        <v>157</v>
      </c>
      <c r="C89" s="17">
        <v>6</v>
      </c>
      <c r="D89" s="10">
        <v>3</v>
      </c>
      <c r="E89" s="10">
        <v>1.0499999999999998</v>
      </c>
      <c r="F89" s="10">
        <v>0.48</v>
      </c>
      <c r="G89" s="10">
        <v>0.22</v>
      </c>
      <c r="H89" s="12"/>
    </row>
    <row r="90" spans="1:8" x14ac:dyDescent="0.25">
      <c r="A90" s="10" t="s">
        <v>201</v>
      </c>
      <c r="B90" s="10" t="s">
        <v>157</v>
      </c>
      <c r="C90" s="17">
        <v>6</v>
      </c>
      <c r="D90" s="10">
        <v>4</v>
      </c>
      <c r="E90" s="10">
        <v>1.4</v>
      </c>
      <c r="F90" s="10">
        <v>0.56000000000000005</v>
      </c>
      <c r="G90" s="10">
        <v>0.16</v>
      </c>
      <c r="H90" s="12"/>
    </row>
    <row r="91" spans="1:8" x14ac:dyDescent="0.25">
      <c r="A91" s="10" t="s">
        <v>201</v>
      </c>
      <c r="B91" s="10" t="s">
        <v>157</v>
      </c>
      <c r="C91" s="17">
        <v>6</v>
      </c>
      <c r="D91" s="10">
        <v>5</v>
      </c>
      <c r="E91" s="10">
        <v>1.75</v>
      </c>
      <c r="F91" s="10">
        <v>0.59</v>
      </c>
      <c r="G91" s="10">
        <v>0.11</v>
      </c>
      <c r="H91" s="12"/>
    </row>
    <row r="92" spans="1:8" x14ac:dyDescent="0.25">
      <c r="A92" s="10" t="s">
        <v>201</v>
      </c>
      <c r="B92" s="10" t="s">
        <v>157</v>
      </c>
      <c r="C92" s="17">
        <v>6</v>
      </c>
      <c r="D92" s="10">
        <v>6</v>
      </c>
      <c r="E92" s="10">
        <v>2.1</v>
      </c>
      <c r="F92" s="10">
        <v>0.62</v>
      </c>
      <c r="G92" s="10">
        <v>0.2</v>
      </c>
      <c r="H92" s="12"/>
    </row>
    <row r="93" spans="1:8" x14ac:dyDescent="0.25">
      <c r="A93" s="10" t="s">
        <v>201</v>
      </c>
      <c r="B93" s="10" t="s">
        <v>157</v>
      </c>
      <c r="C93" s="17">
        <v>6</v>
      </c>
      <c r="D93" s="10">
        <v>7</v>
      </c>
      <c r="E93" s="10">
        <v>2.4500000000000002</v>
      </c>
      <c r="F93" s="10">
        <v>0.53</v>
      </c>
      <c r="G93" s="10">
        <v>0.19</v>
      </c>
      <c r="H93" s="12"/>
    </row>
    <row r="94" spans="1:8" x14ac:dyDescent="0.25">
      <c r="A94" s="10" t="s">
        <v>201</v>
      </c>
      <c r="B94" s="10" t="s">
        <v>157</v>
      </c>
      <c r="C94" s="17">
        <v>6</v>
      </c>
      <c r="D94" s="10">
        <v>8</v>
      </c>
      <c r="E94" s="10">
        <v>2.8000000000000003</v>
      </c>
      <c r="F94" s="10">
        <v>0.49</v>
      </c>
      <c r="G94" s="10">
        <v>0.21</v>
      </c>
      <c r="H94" s="12"/>
    </row>
    <row r="95" spans="1:8" x14ac:dyDescent="0.25">
      <c r="A95" s="10" t="s">
        <v>201</v>
      </c>
      <c r="B95" s="10" t="s">
        <v>157</v>
      </c>
      <c r="C95" s="17">
        <v>6</v>
      </c>
      <c r="D95" s="10">
        <v>9</v>
      </c>
      <c r="E95" s="10">
        <v>3.1500000000000004</v>
      </c>
      <c r="F95" s="10">
        <v>0.4</v>
      </c>
      <c r="G95" s="10">
        <v>0.26</v>
      </c>
      <c r="H95" s="12"/>
    </row>
    <row r="96" spans="1:8" x14ac:dyDescent="0.25">
      <c r="A96" s="10" t="s">
        <v>201</v>
      </c>
      <c r="B96" s="10" t="s">
        <v>157</v>
      </c>
      <c r="C96" s="17">
        <v>6</v>
      </c>
      <c r="D96" s="10">
        <v>10</v>
      </c>
      <c r="E96" s="10">
        <v>3.5000000000000004</v>
      </c>
      <c r="F96" s="10">
        <v>0.34</v>
      </c>
      <c r="G96" s="10">
        <v>0.27</v>
      </c>
      <c r="H96" s="12"/>
    </row>
    <row r="97" spans="1:8" x14ac:dyDescent="0.25">
      <c r="A97" s="10" t="s">
        <v>201</v>
      </c>
      <c r="B97" s="10" t="s">
        <v>157</v>
      </c>
      <c r="C97" s="17">
        <v>6</v>
      </c>
      <c r="D97" s="10">
        <v>11</v>
      </c>
      <c r="E97" s="10">
        <v>3.8500000000000005</v>
      </c>
      <c r="F97" s="10">
        <v>0.27</v>
      </c>
      <c r="G97" s="10">
        <v>0.28000000000000003</v>
      </c>
      <c r="H97" s="12"/>
    </row>
    <row r="98" spans="1:8" x14ac:dyDescent="0.25">
      <c r="A98" s="10" t="s">
        <v>201</v>
      </c>
      <c r="B98" s="10" t="s">
        <v>157</v>
      </c>
      <c r="C98" s="17">
        <v>6</v>
      </c>
      <c r="D98" s="10">
        <v>12</v>
      </c>
      <c r="E98" s="10">
        <v>4.2</v>
      </c>
      <c r="F98" s="10">
        <v>0.19</v>
      </c>
      <c r="G98" s="10">
        <v>0.21</v>
      </c>
      <c r="H98" s="12"/>
    </row>
    <row r="99" spans="1:8" x14ac:dyDescent="0.25">
      <c r="A99" s="10" t="s">
        <v>201</v>
      </c>
      <c r="B99" s="10" t="s">
        <v>157</v>
      </c>
      <c r="C99" s="17">
        <v>6</v>
      </c>
      <c r="D99" s="10">
        <v>13</v>
      </c>
      <c r="E99" s="10">
        <v>4.55</v>
      </c>
      <c r="F99" s="10">
        <v>0.1</v>
      </c>
      <c r="G99" s="10">
        <v>0.04</v>
      </c>
      <c r="H99" s="12"/>
    </row>
    <row r="100" spans="1:8" x14ac:dyDescent="0.25">
      <c r="A100" s="10" t="s">
        <v>201</v>
      </c>
      <c r="B100" s="10" t="s">
        <v>157</v>
      </c>
      <c r="C100" s="17">
        <v>7</v>
      </c>
      <c r="D100" s="10">
        <v>1</v>
      </c>
      <c r="E100" s="10">
        <v>0.3</v>
      </c>
      <c r="F100" s="10">
        <v>0.16</v>
      </c>
      <c r="G100" s="10">
        <v>0</v>
      </c>
      <c r="H100" s="12"/>
    </row>
    <row r="101" spans="1:8" x14ac:dyDescent="0.25">
      <c r="A101" s="10" t="s">
        <v>201</v>
      </c>
      <c r="B101" s="10" t="s">
        <v>157</v>
      </c>
      <c r="C101" s="17">
        <v>7</v>
      </c>
      <c r="D101" s="10">
        <v>2</v>
      </c>
      <c r="E101" s="10">
        <v>0.64999999999999991</v>
      </c>
      <c r="F101" s="10">
        <v>0.24</v>
      </c>
      <c r="G101" s="10">
        <v>0.03</v>
      </c>
      <c r="H101" s="12"/>
    </row>
    <row r="102" spans="1:8" x14ac:dyDescent="0.25">
      <c r="A102" s="10" t="s">
        <v>201</v>
      </c>
      <c r="B102" s="10" t="s">
        <v>157</v>
      </c>
      <c r="C102" s="17">
        <v>7</v>
      </c>
      <c r="D102" s="10">
        <v>3</v>
      </c>
      <c r="E102" s="10">
        <v>0.99999999999999989</v>
      </c>
      <c r="F102" s="10">
        <v>0.3</v>
      </c>
      <c r="G102" s="10">
        <v>0.35</v>
      </c>
      <c r="H102" s="12"/>
    </row>
    <row r="103" spans="1:8" x14ac:dyDescent="0.25">
      <c r="A103" s="10" t="s">
        <v>201</v>
      </c>
      <c r="B103" s="10" t="s">
        <v>157</v>
      </c>
      <c r="C103" s="17">
        <v>7</v>
      </c>
      <c r="D103" s="10">
        <v>4</v>
      </c>
      <c r="E103" s="10">
        <v>1.3499999999999999</v>
      </c>
      <c r="F103" s="10">
        <v>0.33</v>
      </c>
      <c r="G103" s="10">
        <v>0.36</v>
      </c>
      <c r="H103" s="12"/>
    </row>
    <row r="104" spans="1:8" x14ac:dyDescent="0.25">
      <c r="A104" s="10" t="s">
        <v>201</v>
      </c>
      <c r="B104" s="10" t="s">
        <v>157</v>
      </c>
      <c r="C104" s="17">
        <v>7</v>
      </c>
      <c r="D104" s="10">
        <v>5</v>
      </c>
      <c r="E104" s="10">
        <v>1.6999999999999997</v>
      </c>
      <c r="F104" s="10">
        <v>0.39</v>
      </c>
      <c r="G104" s="10">
        <v>0.36</v>
      </c>
      <c r="H104" s="12"/>
    </row>
    <row r="105" spans="1:8" x14ac:dyDescent="0.25">
      <c r="A105" s="10" t="s">
        <v>201</v>
      </c>
      <c r="B105" s="10" t="s">
        <v>157</v>
      </c>
      <c r="C105" s="17">
        <v>7</v>
      </c>
      <c r="D105" s="10">
        <v>6</v>
      </c>
      <c r="E105" s="10">
        <v>2.0499999999999998</v>
      </c>
      <c r="F105" s="10">
        <v>0.45</v>
      </c>
      <c r="G105" s="10">
        <v>0.3</v>
      </c>
      <c r="H105" s="12"/>
    </row>
    <row r="106" spans="1:8" x14ac:dyDescent="0.25">
      <c r="A106" s="10" t="s">
        <v>201</v>
      </c>
      <c r="B106" s="10" t="s">
        <v>157</v>
      </c>
      <c r="C106" s="17">
        <v>7</v>
      </c>
      <c r="D106" s="10">
        <v>7</v>
      </c>
      <c r="E106" s="10">
        <v>2.4</v>
      </c>
      <c r="F106" s="10">
        <v>0.56999999999999995</v>
      </c>
      <c r="G106" s="10">
        <v>0.17</v>
      </c>
      <c r="H106" s="12"/>
    </row>
    <row r="107" spans="1:8" x14ac:dyDescent="0.25">
      <c r="A107" s="10" t="s">
        <v>201</v>
      </c>
      <c r="B107" s="10" t="s">
        <v>157</v>
      </c>
      <c r="C107" s="17">
        <v>7</v>
      </c>
      <c r="D107" s="10">
        <v>8</v>
      </c>
      <c r="E107" s="10">
        <v>2.75</v>
      </c>
      <c r="F107" s="10">
        <v>0.61</v>
      </c>
      <c r="G107" s="10">
        <v>0.2</v>
      </c>
      <c r="H107" s="12"/>
    </row>
    <row r="108" spans="1:8" x14ac:dyDescent="0.25">
      <c r="A108" s="10" t="s">
        <v>201</v>
      </c>
      <c r="B108" s="10" t="s">
        <v>157</v>
      </c>
      <c r="C108" s="17">
        <v>7</v>
      </c>
      <c r="D108" s="10">
        <v>9</v>
      </c>
      <c r="E108" s="10">
        <v>3.1</v>
      </c>
      <c r="F108" s="10">
        <v>0.56999999999999995</v>
      </c>
      <c r="G108" s="10">
        <v>0.22</v>
      </c>
      <c r="H108" s="12"/>
    </row>
    <row r="109" spans="1:8" x14ac:dyDescent="0.25">
      <c r="A109" s="10" t="s">
        <v>201</v>
      </c>
      <c r="B109" s="10" t="s">
        <v>157</v>
      </c>
      <c r="C109" s="17">
        <v>7</v>
      </c>
      <c r="D109" s="10">
        <v>10</v>
      </c>
      <c r="E109" s="10">
        <v>3.45</v>
      </c>
      <c r="F109" s="10">
        <v>0.52</v>
      </c>
      <c r="G109" s="10">
        <v>0.12</v>
      </c>
      <c r="H109" s="12"/>
    </row>
    <row r="110" spans="1:8" x14ac:dyDescent="0.25">
      <c r="A110" s="10" t="s">
        <v>201</v>
      </c>
      <c r="B110" s="10" t="s">
        <v>157</v>
      </c>
      <c r="C110" s="17">
        <v>7</v>
      </c>
      <c r="D110" s="10">
        <v>11</v>
      </c>
      <c r="E110" s="10">
        <v>3.8000000000000003</v>
      </c>
      <c r="F110" s="10">
        <v>0.49</v>
      </c>
      <c r="G110" s="10">
        <v>0.2</v>
      </c>
      <c r="H110" s="12"/>
    </row>
    <row r="111" spans="1:8" x14ac:dyDescent="0.25">
      <c r="A111" s="10" t="s">
        <v>201</v>
      </c>
      <c r="B111" s="10" t="s">
        <v>157</v>
      </c>
      <c r="C111" s="17">
        <v>7</v>
      </c>
      <c r="D111" s="10">
        <v>12</v>
      </c>
      <c r="E111" s="10">
        <v>4.1500000000000004</v>
      </c>
      <c r="F111" s="10">
        <v>0.43</v>
      </c>
      <c r="G111" s="10">
        <v>0.15</v>
      </c>
      <c r="H111" s="12"/>
    </row>
    <row r="112" spans="1:8" x14ac:dyDescent="0.25">
      <c r="A112" s="10" t="s">
        <v>201</v>
      </c>
      <c r="B112" s="10" t="s">
        <v>157</v>
      </c>
      <c r="C112" s="17">
        <v>7</v>
      </c>
      <c r="D112" s="10">
        <v>13</v>
      </c>
      <c r="E112" s="10">
        <v>4.5</v>
      </c>
      <c r="F112" s="10">
        <v>0.37</v>
      </c>
      <c r="G112" s="10">
        <v>0.08</v>
      </c>
      <c r="H112" s="12"/>
    </row>
    <row r="113" spans="1:8" x14ac:dyDescent="0.25">
      <c r="A113" s="10" t="s">
        <v>201</v>
      </c>
      <c r="B113" s="10" t="s">
        <v>157</v>
      </c>
      <c r="C113" s="17">
        <v>7</v>
      </c>
      <c r="D113" s="10">
        <v>14</v>
      </c>
      <c r="E113" s="10">
        <v>4.8499999999999996</v>
      </c>
      <c r="F113" s="10">
        <v>0.3</v>
      </c>
      <c r="G113" s="10">
        <v>0</v>
      </c>
      <c r="H113" s="12"/>
    </row>
    <row r="114" spans="1:8" x14ac:dyDescent="0.25">
      <c r="A114" s="10" t="s">
        <v>201</v>
      </c>
      <c r="B114" s="10" t="s">
        <v>157</v>
      </c>
      <c r="C114" s="17">
        <v>7</v>
      </c>
      <c r="D114" s="10">
        <v>15</v>
      </c>
      <c r="E114" s="10">
        <v>5.1999999999999993</v>
      </c>
      <c r="F114" s="10">
        <v>0.26</v>
      </c>
      <c r="G114" s="10">
        <v>0</v>
      </c>
      <c r="H114" s="12"/>
    </row>
    <row r="115" spans="1:8" x14ac:dyDescent="0.25">
      <c r="A115" s="10" t="s">
        <v>201</v>
      </c>
      <c r="B115" s="10" t="s">
        <v>157</v>
      </c>
      <c r="C115" s="17">
        <v>8</v>
      </c>
      <c r="D115" s="10">
        <v>1</v>
      </c>
      <c r="E115" s="10">
        <v>0.2</v>
      </c>
      <c r="F115" s="10">
        <v>0.19</v>
      </c>
      <c r="G115" s="10">
        <v>0</v>
      </c>
      <c r="H115" s="12"/>
    </row>
    <row r="116" spans="1:8" x14ac:dyDescent="0.25">
      <c r="A116" s="10" t="s">
        <v>201</v>
      </c>
      <c r="B116" s="10" t="s">
        <v>157</v>
      </c>
      <c r="C116" s="17">
        <v>8</v>
      </c>
      <c r="D116" s="10">
        <v>2</v>
      </c>
      <c r="E116" s="10">
        <v>0.55000000000000004</v>
      </c>
      <c r="F116" s="10">
        <v>0.25</v>
      </c>
      <c r="G116" s="10">
        <v>0</v>
      </c>
      <c r="H116" s="12"/>
    </row>
    <row r="117" spans="1:8" x14ac:dyDescent="0.25">
      <c r="A117" s="10" t="s">
        <v>201</v>
      </c>
      <c r="B117" s="10" t="s">
        <v>157</v>
      </c>
      <c r="C117" s="17">
        <v>8</v>
      </c>
      <c r="D117" s="10">
        <v>3</v>
      </c>
      <c r="E117" s="10">
        <v>0.9</v>
      </c>
      <c r="F117" s="10">
        <v>0.27</v>
      </c>
      <c r="G117" s="10">
        <v>0</v>
      </c>
      <c r="H117" s="12"/>
    </row>
    <row r="118" spans="1:8" x14ac:dyDescent="0.25">
      <c r="A118" s="10" t="s">
        <v>201</v>
      </c>
      <c r="B118" s="10" t="s">
        <v>157</v>
      </c>
      <c r="C118" s="17">
        <v>8</v>
      </c>
      <c r="D118" s="10">
        <v>4</v>
      </c>
      <c r="E118" s="10">
        <v>1.25</v>
      </c>
      <c r="F118" s="10">
        <v>0.31</v>
      </c>
      <c r="G118" s="10">
        <v>0.31</v>
      </c>
      <c r="H118" s="12"/>
    </row>
    <row r="119" spans="1:8" x14ac:dyDescent="0.25">
      <c r="A119" s="10" t="s">
        <v>201</v>
      </c>
      <c r="B119" s="10" t="s">
        <v>157</v>
      </c>
      <c r="C119" s="17">
        <v>8</v>
      </c>
      <c r="D119" s="10">
        <v>5</v>
      </c>
      <c r="E119" s="10">
        <v>1.6</v>
      </c>
      <c r="F119" s="10">
        <v>0.37</v>
      </c>
      <c r="G119" s="10">
        <v>0.28000000000000003</v>
      </c>
      <c r="H119" s="12"/>
    </row>
    <row r="120" spans="1:8" x14ac:dyDescent="0.25">
      <c r="A120" s="10" t="s">
        <v>201</v>
      </c>
      <c r="B120" s="10" t="s">
        <v>157</v>
      </c>
      <c r="C120" s="17">
        <v>8</v>
      </c>
      <c r="D120" s="10">
        <v>6</v>
      </c>
      <c r="E120" s="10">
        <v>1.9500000000000002</v>
      </c>
      <c r="F120" s="10">
        <v>0.44</v>
      </c>
      <c r="G120" s="10">
        <v>0.18</v>
      </c>
      <c r="H120" s="12"/>
    </row>
    <row r="121" spans="1:8" x14ac:dyDescent="0.25">
      <c r="A121" s="10" t="s">
        <v>201</v>
      </c>
      <c r="B121" s="10" t="s">
        <v>157</v>
      </c>
      <c r="C121" s="17">
        <v>8</v>
      </c>
      <c r="D121" s="10">
        <v>7</v>
      </c>
      <c r="E121" s="10">
        <v>2.3000000000000003</v>
      </c>
      <c r="F121" s="10">
        <v>0.51</v>
      </c>
      <c r="G121" s="10">
        <v>0.19</v>
      </c>
      <c r="H121" s="12"/>
    </row>
    <row r="122" spans="1:8" x14ac:dyDescent="0.25">
      <c r="A122" s="10" t="s">
        <v>201</v>
      </c>
      <c r="B122" s="10" t="s">
        <v>157</v>
      </c>
      <c r="C122" s="17">
        <v>8</v>
      </c>
      <c r="D122" s="10">
        <v>8</v>
      </c>
      <c r="E122" s="10">
        <v>2.6500000000000004</v>
      </c>
      <c r="F122" s="10">
        <v>0.52</v>
      </c>
      <c r="G122" s="10">
        <v>0.24</v>
      </c>
      <c r="H122" s="12"/>
    </row>
    <row r="123" spans="1:8" x14ac:dyDescent="0.25">
      <c r="A123" s="10" t="s">
        <v>201</v>
      </c>
      <c r="B123" s="10" t="s">
        <v>157</v>
      </c>
      <c r="C123" s="17">
        <v>8</v>
      </c>
      <c r="D123" s="10">
        <v>9</v>
      </c>
      <c r="E123" s="10">
        <v>3.0000000000000004</v>
      </c>
      <c r="F123" s="10">
        <v>0.5</v>
      </c>
      <c r="G123" s="10">
        <v>0.2</v>
      </c>
      <c r="H123" s="12"/>
    </row>
    <row r="124" spans="1:8" x14ac:dyDescent="0.25">
      <c r="A124" s="10" t="s">
        <v>201</v>
      </c>
      <c r="B124" s="10" t="s">
        <v>157</v>
      </c>
      <c r="C124" s="17">
        <v>8</v>
      </c>
      <c r="D124" s="10">
        <v>10</v>
      </c>
      <c r="E124" s="10">
        <v>3.3500000000000005</v>
      </c>
      <c r="F124" s="10">
        <v>0.46</v>
      </c>
      <c r="G124" s="10">
        <v>0.28999999999999998</v>
      </c>
      <c r="H124" s="12"/>
    </row>
    <row r="125" spans="1:8" x14ac:dyDescent="0.25">
      <c r="A125" s="10" t="s">
        <v>201</v>
      </c>
      <c r="B125" s="10" t="s">
        <v>157</v>
      </c>
      <c r="C125" s="17">
        <v>8</v>
      </c>
      <c r="D125" s="10">
        <v>11</v>
      </c>
      <c r="E125" s="10">
        <v>3.7000000000000006</v>
      </c>
      <c r="F125" s="10">
        <v>0.35</v>
      </c>
      <c r="G125" s="10">
        <v>0.31</v>
      </c>
      <c r="H125" s="12"/>
    </row>
    <row r="126" spans="1:8" x14ac:dyDescent="0.25">
      <c r="A126" s="10" t="s">
        <v>201</v>
      </c>
      <c r="B126" s="10" t="s">
        <v>157</v>
      </c>
      <c r="C126" s="17">
        <v>8</v>
      </c>
      <c r="D126" s="10">
        <v>12</v>
      </c>
      <c r="E126" s="10">
        <v>4.0500000000000007</v>
      </c>
      <c r="F126" s="10">
        <v>0.27</v>
      </c>
      <c r="G126" s="10">
        <v>0.3</v>
      </c>
      <c r="H126" s="12"/>
    </row>
    <row r="127" spans="1:8" x14ac:dyDescent="0.25">
      <c r="A127" s="10" t="s">
        <v>201</v>
      </c>
      <c r="B127" s="10" t="s">
        <v>157</v>
      </c>
      <c r="C127" s="17">
        <v>8</v>
      </c>
      <c r="D127" s="10">
        <v>13</v>
      </c>
      <c r="E127" s="10">
        <v>4.4000000000000004</v>
      </c>
      <c r="F127" s="10">
        <v>0.22</v>
      </c>
      <c r="G127" s="10">
        <v>0.34</v>
      </c>
      <c r="H127" s="12"/>
    </row>
    <row r="128" spans="1:8" x14ac:dyDescent="0.25">
      <c r="A128" s="10" t="s">
        <v>201</v>
      </c>
      <c r="B128" s="10" t="s">
        <v>157</v>
      </c>
      <c r="C128" s="17">
        <v>8</v>
      </c>
      <c r="D128" s="10">
        <v>14</v>
      </c>
      <c r="E128" s="10">
        <v>4.75</v>
      </c>
      <c r="F128" s="10">
        <v>0.17</v>
      </c>
      <c r="G128" s="10">
        <v>0.26</v>
      </c>
      <c r="H128" s="12"/>
    </row>
    <row r="129" spans="1:8" x14ac:dyDescent="0.25">
      <c r="A129" s="10" t="s">
        <v>201</v>
      </c>
      <c r="B129" s="10" t="s">
        <v>157</v>
      </c>
      <c r="C129" s="17">
        <v>8</v>
      </c>
      <c r="D129" s="10">
        <v>15</v>
      </c>
      <c r="E129" s="10">
        <v>5.0999999999999996</v>
      </c>
      <c r="F129" s="10">
        <v>0.15</v>
      </c>
      <c r="G129" s="10">
        <v>0.18</v>
      </c>
      <c r="H129" s="12"/>
    </row>
    <row r="130" spans="1:8" x14ac:dyDescent="0.25">
      <c r="A130" s="10" t="s">
        <v>201</v>
      </c>
      <c r="B130" s="10" t="s">
        <v>157</v>
      </c>
      <c r="C130" s="17">
        <v>9</v>
      </c>
      <c r="D130" s="10">
        <v>1</v>
      </c>
      <c r="E130" s="10">
        <v>0.2</v>
      </c>
      <c r="F130" s="10">
        <v>0.43</v>
      </c>
      <c r="G130" s="10">
        <v>0</v>
      </c>
      <c r="H130" s="12"/>
    </row>
    <row r="131" spans="1:8" x14ac:dyDescent="0.25">
      <c r="A131" s="10" t="s">
        <v>201</v>
      </c>
      <c r="B131" s="10" t="s">
        <v>157</v>
      </c>
      <c r="C131" s="17">
        <v>9</v>
      </c>
      <c r="D131" s="10">
        <v>2</v>
      </c>
      <c r="E131" s="10">
        <v>0.55000000000000004</v>
      </c>
      <c r="F131" s="10">
        <v>0.48</v>
      </c>
      <c r="G131" s="10">
        <v>0</v>
      </c>
      <c r="H131" s="12"/>
    </row>
    <row r="132" spans="1:8" x14ac:dyDescent="0.25">
      <c r="A132" s="10" t="s">
        <v>201</v>
      </c>
      <c r="B132" s="10" t="s">
        <v>157</v>
      </c>
      <c r="C132" s="17">
        <v>9</v>
      </c>
      <c r="D132" s="10">
        <v>3</v>
      </c>
      <c r="E132" s="10">
        <v>0.9</v>
      </c>
      <c r="F132" s="10">
        <v>0.53</v>
      </c>
      <c r="G132" s="10">
        <v>0.06</v>
      </c>
      <c r="H132" s="12"/>
    </row>
    <row r="133" spans="1:8" x14ac:dyDescent="0.25">
      <c r="A133" s="10" t="s">
        <v>201</v>
      </c>
      <c r="B133" s="10" t="s">
        <v>157</v>
      </c>
      <c r="C133" s="17">
        <v>9</v>
      </c>
      <c r="D133" s="10">
        <v>4</v>
      </c>
      <c r="E133" s="10">
        <v>1.25</v>
      </c>
      <c r="F133" s="10">
        <v>0.53</v>
      </c>
      <c r="G133" s="10">
        <v>0.38</v>
      </c>
      <c r="H133" s="12"/>
    </row>
    <row r="134" spans="1:8" x14ac:dyDescent="0.25">
      <c r="A134" s="10" t="s">
        <v>201</v>
      </c>
      <c r="B134" s="10" t="s">
        <v>157</v>
      </c>
      <c r="C134" s="17">
        <v>9</v>
      </c>
      <c r="D134" s="10">
        <v>5</v>
      </c>
      <c r="E134" s="10">
        <v>1.6</v>
      </c>
      <c r="F134" s="10">
        <v>0.49</v>
      </c>
      <c r="G134" s="10">
        <v>0.18</v>
      </c>
      <c r="H134" s="12"/>
    </row>
    <row r="135" spans="1:8" x14ac:dyDescent="0.25">
      <c r="A135" s="10" t="s">
        <v>201</v>
      </c>
      <c r="B135" s="10" t="s">
        <v>157</v>
      </c>
      <c r="C135" s="17">
        <v>9</v>
      </c>
      <c r="D135" s="10">
        <v>6</v>
      </c>
      <c r="E135" s="10">
        <v>1.9500000000000002</v>
      </c>
      <c r="F135" s="10">
        <v>0.42</v>
      </c>
      <c r="G135" s="10">
        <v>0.27</v>
      </c>
      <c r="H135" s="12"/>
    </row>
    <row r="136" spans="1:8" x14ac:dyDescent="0.25">
      <c r="A136" s="10" t="s">
        <v>201</v>
      </c>
      <c r="B136" s="10" t="s">
        <v>157</v>
      </c>
      <c r="C136" s="17">
        <v>9</v>
      </c>
      <c r="D136" s="10">
        <v>7</v>
      </c>
      <c r="E136" s="10">
        <v>2.3000000000000003</v>
      </c>
      <c r="F136" s="10">
        <v>0.31</v>
      </c>
      <c r="G136" s="10">
        <v>0.4</v>
      </c>
      <c r="H136" s="12"/>
    </row>
    <row r="137" spans="1:8" x14ac:dyDescent="0.25">
      <c r="A137" s="10" t="s">
        <v>201</v>
      </c>
      <c r="B137" s="10" t="s">
        <v>157</v>
      </c>
      <c r="C137" s="17">
        <v>9</v>
      </c>
      <c r="D137" s="10">
        <v>8</v>
      </c>
      <c r="E137" s="10">
        <v>2.6500000000000004</v>
      </c>
      <c r="F137" s="10">
        <v>0.23</v>
      </c>
      <c r="G137" s="10">
        <v>0.4</v>
      </c>
      <c r="H137" s="12"/>
    </row>
    <row r="138" spans="1:8" x14ac:dyDescent="0.25">
      <c r="A138" s="10" t="s">
        <v>201</v>
      </c>
      <c r="B138" s="10" t="s">
        <v>157</v>
      </c>
      <c r="C138" s="17">
        <v>9</v>
      </c>
      <c r="D138" s="10">
        <v>9</v>
      </c>
      <c r="E138" s="10">
        <v>3.0000000000000004</v>
      </c>
      <c r="F138" s="10">
        <v>0.24</v>
      </c>
      <c r="G138" s="10">
        <v>0.31</v>
      </c>
      <c r="H138" s="12"/>
    </row>
    <row r="139" spans="1:8" x14ac:dyDescent="0.25">
      <c r="A139" s="10" t="s">
        <v>201</v>
      </c>
      <c r="B139" s="10" t="s">
        <v>157</v>
      </c>
      <c r="C139" s="17">
        <v>9</v>
      </c>
      <c r="D139" s="10">
        <v>10</v>
      </c>
      <c r="E139" s="10">
        <v>3.3500000000000005</v>
      </c>
      <c r="F139" s="10">
        <v>0.24</v>
      </c>
      <c r="G139" s="10">
        <v>0.27</v>
      </c>
      <c r="H139" s="12"/>
    </row>
    <row r="140" spans="1:8" x14ac:dyDescent="0.25">
      <c r="A140" s="10" t="s">
        <v>201</v>
      </c>
      <c r="B140" s="10" t="s">
        <v>157</v>
      </c>
      <c r="C140" s="17">
        <v>9</v>
      </c>
      <c r="D140" s="10">
        <v>11</v>
      </c>
      <c r="E140" s="10">
        <v>3.7000000000000006</v>
      </c>
      <c r="F140" s="10">
        <v>0.22</v>
      </c>
      <c r="G140" s="10">
        <v>0.26</v>
      </c>
      <c r="H140" s="12"/>
    </row>
    <row r="141" spans="1:8" x14ac:dyDescent="0.25">
      <c r="A141" s="10" t="s">
        <v>201</v>
      </c>
      <c r="B141" s="10" t="s">
        <v>157</v>
      </c>
      <c r="C141" s="17">
        <v>9</v>
      </c>
      <c r="D141" s="10">
        <v>12</v>
      </c>
      <c r="E141" s="10">
        <v>4.0500000000000007</v>
      </c>
      <c r="F141" s="10">
        <v>0.13</v>
      </c>
      <c r="G141" s="10">
        <v>0.18</v>
      </c>
      <c r="H141" s="12"/>
    </row>
    <row r="142" spans="1:8" x14ac:dyDescent="0.25">
      <c r="A142" s="10" t="s">
        <v>201</v>
      </c>
      <c r="B142" s="10" t="s">
        <v>157</v>
      </c>
      <c r="C142" s="17">
        <v>9</v>
      </c>
      <c r="D142" s="10">
        <v>13</v>
      </c>
      <c r="E142" s="10">
        <v>4.4000000000000004</v>
      </c>
      <c r="F142" s="10">
        <v>0.12</v>
      </c>
      <c r="G142" s="10">
        <v>0</v>
      </c>
      <c r="H142" s="12"/>
    </row>
    <row r="143" spans="1:8" x14ac:dyDescent="0.25">
      <c r="A143" s="10" t="s">
        <v>201</v>
      </c>
      <c r="B143" s="10" t="s">
        <v>157</v>
      </c>
      <c r="C143" s="17">
        <v>9</v>
      </c>
      <c r="D143" s="10">
        <v>14</v>
      </c>
      <c r="E143" s="10">
        <v>4.75</v>
      </c>
      <c r="F143" s="10">
        <v>0.1</v>
      </c>
      <c r="G143" s="10">
        <v>0</v>
      </c>
      <c r="H143" s="12"/>
    </row>
    <row r="144" spans="1:8" x14ac:dyDescent="0.25">
      <c r="A144" s="10" t="s">
        <v>201</v>
      </c>
      <c r="B144" s="10" t="s">
        <v>157</v>
      </c>
      <c r="C144" s="17">
        <v>10</v>
      </c>
      <c r="D144" s="10">
        <v>1</v>
      </c>
      <c r="E144" s="10">
        <v>0.2</v>
      </c>
      <c r="F144" s="10">
        <v>0.12</v>
      </c>
      <c r="G144" s="10">
        <v>0</v>
      </c>
      <c r="H144" s="12"/>
    </row>
    <row r="145" spans="1:8" x14ac:dyDescent="0.25">
      <c r="A145" s="10" t="s">
        <v>201</v>
      </c>
      <c r="B145" s="10" t="s">
        <v>157</v>
      </c>
      <c r="C145" s="17">
        <v>10</v>
      </c>
      <c r="D145" s="10">
        <v>2</v>
      </c>
      <c r="E145" s="10">
        <v>0.55000000000000004</v>
      </c>
      <c r="F145" s="10">
        <v>0.19</v>
      </c>
      <c r="G145" s="10">
        <v>0.19</v>
      </c>
      <c r="H145" s="12"/>
    </row>
    <row r="146" spans="1:8" x14ac:dyDescent="0.25">
      <c r="A146" s="10" t="s">
        <v>201</v>
      </c>
      <c r="B146" s="10" t="s">
        <v>157</v>
      </c>
      <c r="C146" s="17">
        <v>10</v>
      </c>
      <c r="D146" s="10">
        <v>3</v>
      </c>
      <c r="E146" s="10">
        <v>0.9</v>
      </c>
      <c r="F146" s="10">
        <v>0.23</v>
      </c>
      <c r="G146" s="10">
        <v>0.25</v>
      </c>
      <c r="H146" s="12"/>
    </row>
    <row r="147" spans="1:8" x14ac:dyDescent="0.25">
      <c r="A147" s="10" t="s">
        <v>201</v>
      </c>
      <c r="B147" s="10" t="s">
        <v>157</v>
      </c>
      <c r="C147" s="17">
        <v>10</v>
      </c>
      <c r="D147" s="10">
        <v>4</v>
      </c>
      <c r="E147" s="10">
        <v>1.25</v>
      </c>
      <c r="F147" s="10">
        <v>0.26</v>
      </c>
      <c r="G147" s="10">
        <v>0.15</v>
      </c>
      <c r="H147" s="12"/>
    </row>
    <row r="148" spans="1:8" x14ac:dyDescent="0.25">
      <c r="A148" s="10" t="s">
        <v>201</v>
      </c>
      <c r="B148" s="10" t="s">
        <v>157</v>
      </c>
      <c r="C148" s="17">
        <v>10</v>
      </c>
      <c r="D148" s="10">
        <v>5</v>
      </c>
      <c r="E148" s="10">
        <v>1.6</v>
      </c>
      <c r="F148" s="10">
        <v>0.4</v>
      </c>
      <c r="G148" s="10">
        <v>0.31</v>
      </c>
      <c r="H148" s="12"/>
    </row>
    <row r="149" spans="1:8" x14ac:dyDescent="0.25">
      <c r="A149" s="10" t="s">
        <v>201</v>
      </c>
      <c r="B149" s="10" t="s">
        <v>157</v>
      </c>
      <c r="C149" s="17">
        <v>10</v>
      </c>
      <c r="D149" s="10">
        <v>6</v>
      </c>
      <c r="E149" s="10">
        <v>1.9500000000000002</v>
      </c>
      <c r="F149" s="10">
        <v>0.53</v>
      </c>
      <c r="G149" s="10">
        <v>0.27</v>
      </c>
      <c r="H149" s="12"/>
    </row>
    <row r="150" spans="1:8" x14ac:dyDescent="0.25">
      <c r="A150" s="10" t="s">
        <v>201</v>
      </c>
      <c r="B150" s="10" t="s">
        <v>157</v>
      </c>
      <c r="C150" s="17">
        <v>10</v>
      </c>
      <c r="D150" s="10">
        <v>7</v>
      </c>
      <c r="E150" s="10">
        <v>2.3000000000000003</v>
      </c>
      <c r="F150" s="10">
        <v>0.5</v>
      </c>
      <c r="G150" s="10">
        <v>0.18</v>
      </c>
      <c r="H150" s="12"/>
    </row>
    <row r="151" spans="1:8" x14ac:dyDescent="0.25">
      <c r="A151" s="10" t="s">
        <v>201</v>
      </c>
      <c r="B151" s="10" t="s">
        <v>157</v>
      </c>
      <c r="C151" s="17">
        <v>10</v>
      </c>
      <c r="D151" s="10">
        <v>8</v>
      </c>
      <c r="E151" s="10">
        <v>2.6500000000000004</v>
      </c>
      <c r="F151" s="10">
        <v>0.48</v>
      </c>
      <c r="G151" s="10">
        <v>0.25</v>
      </c>
      <c r="H151" s="12"/>
    </row>
    <row r="152" spans="1:8" x14ac:dyDescent="0.25">
      <c r="A152" s="10" t="s">
        <v>201</v>
      </c>
      <c r="B152" s="10" t="s">
        <v>157</v>
      </c>
      <c r="C152" s="17">
        <v>10</v>
      </c>
      <c r="D152" s="10">
        <v>9</v>
      </c>
      <c r="E152" s="10">
        <v>3.0000000000000004</v>
      </c>
      <c r="F152" s="10">
        <v>0.37</v>
      </c>
      <c r="G152" s="10">
        <v>0.3</v>
      </c>
      <c r="H152" s="12"/>
    </row>
    <row r="153" spans="1:8" x14ac:dyDescent="0.25">
      <c r="A153" s="10" t="s">
        <v>201</v>
      </c>
      <c r="B153" s="10" t="s">
        <v>157</v>
      </c>
      <c r="C153" s="17">
        <v>10</v>
      </c>
      <c r="D153" s="10">
        <v>10</v>
      </c>
      <c r="E153" s="10">
        <v>3.3500000000000005</v>
      </c>
      <c r="F153" s="10">
        <v>0.24</v>
      </c>
      <c r="G153" s="10">
        <v>0.22</v>
      </c>
      <c r="H153" s="12"/>
    </row>
    <row r="154" spans="1:8" x14ac:dyDescent="0.25">
      <c r="A154" s="10" t="s">
        <v>201</v>
      </c>
      <c r="B154" s="10" t="s">
        <v>157</v>
      </c>
      <c r="C154" s="17">
        <v>10</v>
      </c>
      <c r="D154" s="10">
        <v>11</v>
      </c>
      <c r="E154" s="10">
        <v>3.7000000000000006</v>
      </c>
      <c r="F154" s="10">
        <v>0.26</v>
      </c>
      <c r="G154" s="10">
        <v>0.25</v>
      </c>
      <c r="H154" s="12"/>
    </row>
    <row r="155" spans="1:8" x14ac:dyDescent="0.25">
      <c r="A155" s="10" t="s">
        <v>201</v>
      </c>
      <c r="B155" s="10" t="s">
        <v>157</v>
      </c>
      <c r="C155" s="17">
        <v>10</v>
      </c>
      <c r="D155" s="10">
        <v>12</v>
      </c>
      <c r="E155" s="10">
        <v>4.0500000000000007</v>
      </c>
      <c r="F155" s="10">
        <v>0.23</v>
      </c>
      <c r="G155" s="10">
        <v>0.16</v>
      </c>
      <c r="H155" s="12"/>
    </row>
    <row r="156" spans="1:8" x14ac:dyDescent="0.25">
      <c r="A156" s="10" t="s">
        <v>201</v>
      </c>
      <c r="B156" s="10" t="s">
        <v>157</v>
      </c>
      <c r="C156" s="17">
        <v>10</v>
      </c>
      <c r="D156" s="10">
        <v>13</v>
      </c>
      <c r="E156" s="10">
        <v>4.4000000000000004</v>
      </c>
      <c r="F156" s="10">
        <v>0.14000000000000001</v>
      </c>
      <c r="G156" s="10">
        <v>0.02</v>
      </c>
      <c r="H156" s="12"/>
    </row>
    <row r="157" spans="1:8" x14ac:dyDescent="0.25">
      <c r="A157" s="10" t="s">
        <v>201</v>
      </c>
      <c r="B157" s="10" t="s">
        <v>157</v>
      </c>
      <c r="C157" s="17">
        <v>10</v>
      </c>
      <c r="D157" s="10">
        <v>14</v>
      </c>
      <c r="E157" s="10">
        <v>4.75</v>
      </c>
      <c r="F157" s="10">
        <v>0.09</v>
      </c>
      <c r="G157" s="10">
        <v>0</v>
      </c>
      <c r="H157" s="12"/>
    </row>
    <row r="158" spans="1:8" x14ac:dyDescent="0.25">
      <c r="C158" s="104"/>
      <c r="F158" s="12"/>
      <c r="G158" s="12"/>
      <c r="H158" s="12"/>
    </row>
    <row r="159" spans="1:8" x14ac:dyDescent="0.25">
      <c r="C159" s="104"/>
      <c r="F159" s="12"/>
      <c r="G159" s="12"/>
      <c r="H159" s="12"/>
    </row>
    <row r="160" spans="1:8" x14ac:dyDescent="0.25">
      <c r="C160" s="104"/>
      <c r="F160" s="12"/>
      <c r="G160" s="12"/>
      <c r="H160" s="12"/>
    </row>
    <row r="161" spans="3:8" x14ac:dyDescent="0.25">
      <c r="C161" s="104"/>
      <c r="F161" s="12"/>
      <c r="G161" s="12"/>
      <c r="H161" s="12"/>
    </row>
    <row r="162" spans="3:8" x14ac:dyDescent="0.25">
      <c r="C162" s="104"/>
      <c r="F162" s="12"/>
      <c r="G162" s="12"/>
      <c r="H162" s="12"/>
    </row>
    <row r="163" spans="3:8" x14ac:dyDescent="0.25">
      <c r="C163" s="104"/>
      <c r="F163" s="12"/>
      <c r="G163" s="12"/>
      <c r="H163" s="12"/>
    </row>
    <row r="164" spans="3:8" x14ac:dyDescent="0.25">
      <c r="C164" s="104"/>
      <c r="F164" s="12"/>
      <c r="G164" s="12"/>
      <c r="H164" s="12"/>
    </row>
    <row r="165" spans="3:8" x14ac:dyDescent="0.25">
      <c r="C165" s="104"/>
      <c r="F165" s="12"/>
      <c r="G165" s="12"/>
      <c r="H165" s="12"/>
    </row>
    <row r="166" spans="3:8" x14ac:dyDescent="0.25">
      <c r="C166" s="104"/>
      <c r="F166" s="12"/>
      <c r="G166" s="12"/>
      <c r="H166" s="12"/>
    </row>
    <row r="167" spans="3:8" x14ac:dyDescent="0.25">
      <c r="C167" s="104"/>
      <c r="F167" s="12"/>
      <c r="G167" s="12"/>
      <c r="H167" s="12"/>
    </row>
    <row r="168" spans="3:8" x14ac:dyDescent="0.25">
      <c r="C168" s="104"/>
      <c r="F168" s="12"/>
      <c r="G168" s="12"/>
      <c r="H168" s="12"/>
    </row>
    <row r="169" spans="3:8" x14ac:dyDescent="0.25">
      <c r="C169" s="104"/>
      <c r="F169" s="12"/>
      <c r="G169" s="12"/>
      <c r="H169" s="12"/>
    </row>
    <row r="170" spans="3:8" x14ac:dyDescent="0.25">
      <c r="C170" s="104"/>
      <c r="F170" s="12"/>
      <c r="G170" s="12"/>
      <c r="H170" s="12"/>
    </row>
    <row r="171" spans="3:8" x14ac:dyDescent="0.25">
      <c r="C171" s="104"/>
      <c r="F171" s="12"/>
      <c r="G171" s="12"/>
      <c r="H171" s="12"/>
    </row>
    <row r="172" spans="3:8" x14ac:dyDescent="0.25">
      <c r="C172" s="104"/>
      <c r="F172" s="12"/>
      <c r="G172" s="12"/>
      <c r="H172" s="12"/>
    </row>
    <row r="173" spans="3:8" x14ac:dyDescent="0.25">
      <c r="C173" s="104"/>
      <c r="F173" s="12"/>
      <c r="G173" s="12"/>
      <c r="H173" s="12"/>
    </row>
    <row r="174" spans="3:8" x14ac:dyDescent="0.25">
      <c r="C174" s="104"/>
      <c r="F174" s="12"/>
      <c r="G174" s="12"/>
      <c r="H174" s="12"/>
    </row>
    <row r="175" spans="3:8" x14ac:dyDescent="0.25">
      <c r="C175" s="104"/>
      <c r="F175" s="12"/>
      <c r="G175" s="12"/>
      <c r="H175" s="12"/>
    </row>
    <row r="176" spans="3:8" x14ac:dyDescent="0.25">
      <c r="C176" s="104"/>
      <c r="F176" s="12"/>
      <c r="G176" s="12"/>
      <c r="H176" s="12"/>
    </row>
    <row r="177" spans="3:8" x14ac:dyDescent="0.25">
      <c r="C177" s="104"/>
      <c r="F177" s="12"/>
      <c r="G177" s="12"/>
      <c r="H177" s="12"/>
    </row>
    <row r="178" spans="3:8" x14ac:dyDescent="0.25">
      <c r="C178" s="104"/>
      <c r="F178" s="12"/>
      <c r="G178" s="12"/>
      <c r="H178" s="12"/>
    </row>
    <row r="179" spans="3:8" x14ac:dyDescent="0.25">
      <c r="C179" s="104"/>
      <c r="F179" s="12"/>
      <c r="G179" s="12"/>
      <c r="H179" s="12"/>
    </row>
    <row r="180" spans="3:8" x14ac:dyDescent="0.25">
      <c r="C180" s="104"/>
      <c r="F180" s="12"/>
      <c r="G180" s="12"/>
      <c r="H180" s="12"/>
    </row>
    <row r="181" spans="3:8" x14ac:dyDescent="0.25">
      <c r="C181" s="104"/>
      <c r="F181" s="12"/>
      <c r="G181" s="12"/>
      <c r="H181" s="12"/>
    </row>
    <row r="182" spans="3:8" x14ac:dyDescent="0.25">
      <c r="C182" s="104"/>
      <c r="F182" s="12"/>
      <c r="G182" s="12"/>
      <c r="H182" s="12"/>
    </row>
    <row r="183" spans="3:8" x14ac:dyDescent="0.25">
      <c r="C183" s="104"/>
      <c r="F183" s="12"/>
      <c r="G183" s="12"/>
      <c r="H183" s="12"/>
    </row>
    <row r="184" spans="3:8" x14ac:dyDescent="0.25">
      <c r="C184" s="104"/>
      <c r="F184" s="12"/>
      <c r="G184" s="12"/>
      <c r="H184" s="12"/>
    </row>
    <row r="185" spans="3:8" x14ac:dyDescent="0.25">
      <c r="C185" s="104"/>
      <c r="F185" s="12"/>
      <c r="G185" s="12"/>
      <c r="H185" s="12"/>
    </row>
    <row r="186" spans="3:8" x14ac:dyDescent="0.25">
      <c r="C186" s="104"/>
      <c r="F186" s="12"/>
      <c r="G186" s="12"/>
      <c r="H186" s="12"/>
    </row>
    <row r="187" spans="3:8" x14ac:dyDescent="0.25">
      <c r="C187" s="104"/>
      <c r="F187" s="12"/>
      <c r="G187" s="12"/>
      <c r="H187" s="12"/>
    </row>
    <row r="188" spans="3:8" x14ac:dyDescent="0.25">
      <c r="C188" s="104"/>
      <c r="F188" s="12"/>
      <c r="G188" s="12"/>
      <c r="H188" s="12"/>
    </row>
    <row r="189" spans="3:8" x14ac:dyDescent="0.25">
      <c r="C189" s="104"/>
      <c r="F189" s="12"/>
      <c r="G189" s="12"/>
      <c r="H189" s="12"/>
    </row>
    <row r="190" spans="3:8" x14ac:dyDescent="0.25">
      <c r="C190" s="104"/>
      <c r="F190" s="12"/>
      <c r="G190" s="12"/>
      <c r="H190" s="12"/>
    </row>
    <row r="191" spans="3:8" x14ac:dyDescent="0.25">
      <c r="C191" s="104"/>
      <c r="F191" s="12"/>
      <c r="G191" s="12"/>
      <c r="H191" s="12"/>
    </row>
    <row r="192" spans="3:8" x14ac:dyDescent="0.25">
      <c r="C192" s="104"/>
      <c r="F192" s="12"/>
      <c r="G192" s="12"/>
      <c r="H192" s="12"/>
    </row>
    <row r="193" spans="3:8" x14ac:dyDescent="0.25">
      <c r="C193" s="104"/>
      <c r="F193" s="12"/>
      <c r="G193" s="12"/>
      <c r="H193" s="12"/>
    </row>
    <row r="194" spans="3:8" x14ac:dyDescent="0.25">
      <c r="C194" s="104"/>
      <c r="F194" s="12"/>
      <c r="G194" s="12"/>
      <c r="H194" s="12"/>
    </row>
    <row r="195" spans="3:8" x14ac:dyDescent="0.25">
      <c r="C195" s="104"/>
      <c r="F195" s="12"/>
      <c r="G195" s="12"/>
      <c r="H195" s="12"/>
    </row>
    <row r="196" spans="3:8" x14ac:dyDescent="0.25">
      <c r="C196" s="104"/>
      <c r="F196" s="12"/>
      <c r="G196" s="12"/>
      <c r="H196" s="12"/>
    </row>
    <row r="197" spans="3:8" x14ac:dyDescent="0.25">
      <c r="C197" s="104"/>
      <c r="F197" s="12"/>
      <c r="G197" s="12"/>
      <c r="H197" s="12"/>
    </row>
    <row r="198" spans="3:8" x14ac:dyDescent="0.25">
      <c r="C198" s="104"/>
      <c r="F198" s="12"/>
      <c r="G198" s="12"/>
      <c r="H198" s="12"/>
    </row>
    <row r="199" spans="3:8" x14ac:dyDescent="0.25">
      <c r="C199" s="104"/>
      <c r="F199" s="12"/>
      <c r="G199" s="12"/>
      <c r="H199" s="12"/>
    </row>
    <row r="200" spans="3:8" x14ac:dyDescent="0.25">
      <c r="C200" s="104"/>
      <c r="F200" s="12"/>
      <c r="G200" s="12"/>
      <c r="H200" s="12"/>
    </row>
    <row r="201" spans="3:8" x14ac:dyDescent="0.25">
      <c r="C201" s="104"/>
      <c r="F201" s="12"/>
      <c r="G201" s="12"/>
      <c r="H201" s="12"/>
    </row>
    <row r="202" spans="3:8" x14ac:dyDescent="0.25">
      <c r="C202" s="104"/>
      <c r="F202" s="12"/>
      <c r="G202" s="12"/>
      <c r="H202" s="12"/>
    </row>
    <row r="203" spans="3:8" x14ac:dyDescent="0.25">
      <c r="C203" s="104"/>
      <c r="F203" s="12"/>
      <c r="G203" s="12"/>
      <c r="H203" s="12"/>
    </row>
    <row r="204" spans="3:8" x14ac:dyDescent="0.25">
      <c r="C204" s="104"/>
      <c r="F204" s="12"/>
      <c r="G204" s="12"/>
      <c r="H204" s="12"/>
    </row>
    <row r="205" spans="3:8" x14ac:dyDescent="0.25">
      <c r="C205" s="104"/>
      <c r="F205" s="12"/>
      <c r="G205" s="12"/>
      <c r="H205" s="12"/>
    </row>
    <row r="206" spans="3:8" x14ac:dyDescent="0.25">
      <c r="C206" s="104"/>
      <c r="F206" s="12"/>
      <c r="G206" s="12"/>
      <c r="H206" s="12"/>
    </row>
    <row r="207" spans="3:8" x14ac:dyDescent="0.25">
      <c r="C207" s="104"/>
      <c r="F207" s="12"/>
      <c r="G207" s="12"/>
      <c r="H207" s="12"/>
    </row>
    <row r="208" spans="3:8" x14ac:dyDescent="0.25">
      <c r="C208" s="104"/>
      <c r="F208" s="12"/>
      <c r="G208" s="12"/>
      <c r="H208" s="12"/>
    </row>
    <row r="209" spans="3:8" x14ac:dyDescent="0.25">
      <c r="C209" s="104"/>
      <c r="F209" s="12"/>
      <c r="G209" s="12"/>
      <c r="H209" s="12"/>
    </row>
    <row r="210" spans="3:8" x14ac:dyDescent="0.25">
      <c r="C210" s="104"/>
      <c r="F210" s="12"/>
      <c r="G210" s="12"/>
      <c r="H210" s="12"/>
    </row>
    <row r="211" spans="3:8" x14ac:dyDescent="0.25">
      <c r="C211" s="104"/>
      <c r="F211" s="12"/>
      <c r="G211" s="12"/>
      <c r="H211" s="12"/>
    </row>
    <row r="212" spans="3:8" x14ac:dyDescent="0.25">
      <c r="C212" s="104"/>
      <c r="F212" s="12"/>
      <c r="G212" s="12"/>
      <c r="H212" s="12"/>
    </row>
    <row r="213" spans="3:8" x14ac:dyDescent="0.25">
      <c r="C213" s="104"/>
      <c r="F213" s="12"/>
      <c r="G213" s="12"/>
      <c r="H213" s="12"/>
    </row>
    <row r="214" spans="3:8" x14ac:dyDescent="0.25">
      <c r="C214" s="104"/>
      <c r="F214" s="12"/>
      <c r="G214" s="12"/>
      <c r="H214" s="12"/>
    </row>
    <row r="215" spans="3:8" x14ac:dyDescent="0.25">
      <c r="C215" s="104"/>
      <c r="F215" s="12"/>
      <c r="G215" s="12"/>
      <c r="H215" s="12"/>
    </row>
    <row r="216" spans="3:8" x14ac:dyDescent="0.25">
      <c r="C216" s="104"/>
      <c r="F216" s="12"/>
      <c r="G216" s="12"/>
      <c r="H216" s="12"/>
    </row>
    <row r="217" spans="3:8" x14ac:dyDescent="0.25">
      <c r="C217" s="104"/>
      <c r="F217" s="12"/>
      <c r="G217" s="12"/>
      <c r="H217" s="12"/>
    </row>
    <row r="218" spans="3:8" x14ac:dyDescent="0.25">
      <c r="C218" s="104"/>
      <c r="F218" s="12"/>
      <c r="G218" s="12"/>
      <c r="H218" s="12"/>
    </row>
    <row r="219" spans="3:8" x14ac:dyDescent="0.25">
      <c r="C219" s="104"/>
      <c r="F219" s="12"/>
      <c r="G219" s="12"/>
      <c r="H219" s="12"/>
    </row>
    <row r="220" spans="3:8" x14ac:dyDescent="0.25">
      <c r="C220" s="104"/>
      <c r="F220" s="12"/>
      <c r="G220" s="12"/>
      <c r="H220" s="12"/>
    </row>
    <row r="221" spans="3:8" x14ac:dyDescent="0.25">
      <c r="C221" s="104"/>
      <c r="F221" s="12"/>
      <c r="G221" s="12"/>
      <c r="H221" s="12"/>
    </row>
    <row r="222" spans="3:8" x14ac:dyDescent="0.25">
      <c r="C222" s="104"/>
      <c r="F222" s="12"/>
      <c r="G222" s="12"/>
      <c r="H222" s="12"/>
    </row>
    <row r="223" spans="3:8" x14ac:dyDescent="0.25">
      <c r="C223" s="104"/>
      <c r="F223" s="12"/>
      <c r="G223" s="12"/>
      <c r="H223" s="12"/>
    </row>
    <row r="224" spans="3:8" x14ac:dyDescent="0.25">
      <c r="C224" s="104"/>
      <c r="F224" s="12"/>
      <c r="G224" s="12"/>
      <c r="H224" s="12"/>
    </row>
    <row r="225" spans="3:8" x14ac:dyDescent="0.25">
      <c r="C225" s="104"/>
      <c r="F225" s="12"/>
      <c r="G225" s="12"/>
      <c r="H225" s="12"/>
    </row>
    <row r="226" spans="3:8" x14ac:dyDescent="0.25">
      <c r="C226" s="104"/>
      <c r="F226" s="12"/>
      <c r="G226" s="12"/>
      <c r="H226" s="12"/>
    </row>
    <row r="227" spans="3:8" x14ac:dyDescent="0.25">
      <c r="C227" s="104"/>
      <c r="F227" s="12"/>
      <c r="G227" s="12"/>
      <c r="H227" s="12"/>
    </row>
    <row r="228" spans="3:8" x14ac:dyDescent="0.25">
      <c r="C228" s="104"/>
      <c r="F228" s="12"/>
      <c r="G228" s="12"/>
      <c r="H228" s="12"/>
    </row>
    <row r="229" spans="3:8" x14ac:dyDescent="0.25">
      <c r="C229" s="104"/>
      <c r="F229" s="12"/>
      <c r="G229" s="12"/>
      <c r="H229" s="12"/>
    </row>
    <row r="230" spans="3:8" x14ac:dyDescent="0.25">
      <c r="C230" s="104"/>
      <c r="F230" s="12"/>
      <c r="G230" s="12"/>
      <c r="H230" s="12"/>
    </row>
    <row r="231" spans="3:8" x14ac:dyDescent="0.25">
      <c r="C231" s="104"/>
      <c r="F231" s="12"/>
      <c r="G231" s="12"/>
      <c r="H231" s="12"/>
    </row>
    <row r="232" spans="3:8" x14ac:dyDescent="0.25">
      <c r="C232" s="104"/>
      <c r="F232" s="12"/>
      <c r="G232" s="12"/>
      <c r="H232" s="12"/>
    </row>
    <row r="233" spans="3:8" x14ac:dyDescent="0.25">
      <c r="C233" s="104"/>
      <c r="F233" s="12"/>
      <c r="G233" s="12"/>
      <c r="H233" s="12"/>
    </row>
    <row r="234" spans="3:8" x14ac:dyDescent="0.25">
      <c r="C234" s="104"/>
      <c r="F234" s="12"/>
      <c r="G234" s="12"/>
      <c r="H234" s="12"/>
    </row>
    <row r="235" spans="3:8" x14ac:dyDescent="0.25">
      <c r="C235" s="104"/>
      <c r="F235" s="12"/>
      <c r="G235" s="12"/>
      <c r="H235" s="12"/>
    </row>
    <row r="236" spans="3:8" x14ac:dyDescent="0.25">
      <c r="C236" s="104"/>
      <c r="F236" s="12"/>
      <c r="G236" s="12"/>
      <c r="H236" s="12"/>
    </row>
    <row r="237" spans="3:8" x14ac:dyDescent="0.25">
      <c r="C237" s="104"/>
      <c r="F237" s="12"/>
      <c r="G237" s="12"/>
      <c r="H237" s="12"/>
    </row>
    <row r="238" spans="3:8" x14ac:dyDescent="0.25">
      <c r="C238" s="104"/>
      <c r="F238" s="12"/>
      <c r="G238" s="12"/>
      <c r="H238" s="12"/>
    </row>
    <row r="239" spans="3:8" x14ac:dyDescent="0.25">
      <c r="C239" s="104"/>
      <c r="F239" s="12"/>
      <c r="G239" s="12"/>
      <c r="H239" s="12"/>
    </row>
    <row r="240" spans="3:8" x14ac:dyDescent="0.25">
      <c r="C240" s="104"/>
      <c r="F240" s="12"/>
      <c r="G240" s="12"/>
      <c r="H240" s="12"/>
    </row>
    <row r="241" spans="3:8" x14ac:dyDescent="0.25">
      <c r="C241" s="104"/>
      <c r="F241" s="12"/>
      <c r="G241" s="12"/>
      <c r="H241" s="12"/>
    </row>
    <row r="242" spans="3:8" x14ac:dyDescent="0.25">
      <c r="F242" s="12"/>
      <c r="G242" s="12"/>
      <c r="H242" s="12"/>
    </row>
  </sheetData>
  <dataValidations count="1">
    <dataValidation type="decimal" operator="greaterThan" allowBlank="1" showInputMessage="1" showErrorMessage="1" errorTitle="Achtung Eingabebereich" error="&gt;0 [Dezimalzahl]" sqref="J8:J18 O6" xr:uid="{00000000-0002-0000-0200-000000000000}">
      <formula1>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50"/>
  <sheetViews>
    <sheetView zoomScaleNormal="100" workbookViewId="0">
      <selection activeCell="I8" sqref="I8"/>
    </sheetView>
  </sheetViews>
  <sheetFormatPr defaultColWidth="11.42578125" defaultRowHeight="15" x14ac:dyDescent="0.25"/>
  <cols>
    <col min="1" max="1" width="12.140625" style="14" customWidth="1"/>
    <col min="2" max="2" width="12.42578125" style="14" bestFit="1" customWidth="1"/>
    <col min="3" max="3" width="29.5703125" style="14" customWidth="1"/>
    <col min="4" max="4" width="12.85546875" style="14" customWidth="1"/>
    <col min="5" max="5" width="11.5703125" style="14" bestFit="1" customWidth="1"/>
    <col min="6" max="6" width="19" style="14" customWidth="1"/>
    <col min="7" max="7" width="10" style="14" customWidth="1"/>
    <col min="8" max="8" width="81.42578125" style="14" bestFit="1" customWidth="1"/>
    <col min="9" max="9" width="32.140625" style="14" customWidth="1"/>
    <col min="10" max="10" width="67.5703125" style="14" bestFit="1" customWidth="1"/>
    <col min="11" max="16384" width="11.42578125" style="14"/>
  </cols>
  <sheetData>
    <row r="1" spans="1:9" ht="26.25" x14ac:dyDescent="0.25">
      <c r="A1" s="16" t="s">
        <v>48</v>
      </c>
      <c r="G1" s="16" t="s">
        <v>73</v>
      </c>
    </row>
    <row r="2" spans="1:9" x14ac:dyDescent="0.25">
      <c r="A2" s="78" t="s">
        <v>245</v>
      </c>
      <c r="G2" s="8"/>
    </row>
    <row r="4" spans="1:9" x14ac:dyDescent="0.25">
      <c r="A4" s="8" t="s">
        <v>53</v>
      </c>
      <c r="G4" s="8" t="s">
        <v>144</v>
      </c>
    </row>
    <row r="5" spans="1:9" x14ac:dyDescent="0.25">
      <c r="A5" s="14" t="s">
        <v>55</v>
      </c>
      <c r="D5" s="14" t="s">
        <v>54</v>
      </c>
    </row>
    <row r="7" spans="1:9" x14ac:dyDescent="0.25">
      <c r="A7" s="5" t="s">
        <v>146</v>
      </c>
      <c r="B7" s="5" t="s">
        <v>147</v>
      </c>
      <c r="D7" s="5" t="s">
        <v>146</v>
      </c>
      <c r="E7" s="5" t="s">
        <v>147</v>
      </c>
      <c r="G7" s="6" t="s">
        <v>105</v>
      </c>
      <c r="H7" s="6" t="s">
        <v>106</v>
      </c>
      <c r="I7" s="118">
        <v>100</v>
      </c>
    </row>
    <row r="8" spans="1:9" x14ac:dyDescent="0.25">
      <c r="A8" s="29">
        <v>11</v>
      </c>
      <c r="B8" s="90">
        <v>0.21349000000000001</v>
      </c>
      <c r="D8" s="6">
        <v>5</v>
      </c>
      <c r="E8" s="27">
        <v>0.695102</v>
      </c>
      <c r="G8" s="6" t="s">
        <v>0</v>
      </c>
      <c r="H8" s="6" t="s">
        <v>56</v>
      </c>
      <c r="I8" s="20">
        <f>'Indikatoren 1.3 + 1.4'!O6</f>
        <v>4.7963636363636359</v>
      </c>
    </row>
    <row r="9" spans="1:9" x14ac:dyDescent="0.25">
      <c r="A9" s="29">
        <v>11</v>
      </c>
      <c r="B9" s="90">
        <v>0.26189200000000001</v>
      </c>
      <c r="D9" s="6">
        <v>5</v>
      </c>
      <c r="E9" s="27">
        <v>0.84504000000000001</v>
      </c>
      <c r="G9" s="6" t="s">
        <v>71</v>
      </c>
      <c r="H9" s="6" t="s">
        <v>72</v>
      </c>
      <c r="I9" s="119">
        <f>I8*I7</f>
        <v>479.63636363636357</v>
      </c>
    </row>
    <row r="10" spans="1:9" x14ac:dyDescent="0.25">
      <c r="A10" s="29">
        <v>1</v>
      </c>
      <c r="B10" s="90">
        <v>0.40399200000000002</v>
      </c>
      <c r="D10" s="6">
        <v>7</v>
      </c>
      <c r="E10" s="27">
        <v>1.1414599999999999</v>
      </c>
      <c r="G10" s="25"/>
      <c r="H10" s="25" t="s">
        <v>65</v>
      </c>
      <c r="I10" s="119">
        <f>I9+SUM(E8:E12)</f>
        <v>484.16819563636358</v>
      </c>
    </row>
    <row r="11" spans="1:9" x14ac:dyDescent="0.25">
      <c r="A11" s="29">
        <v>1</v>
      </c>
      <c r="B11" s="90">
        <v>0.244313</v>
      </c>
      <c r="D11" s="6">
        <v>7</v>
      </c>
      <c r="E11" s="27">
        <v>1.85023</v>
      </c>
      <c r="G11" s="25"/>
      <c r="H11" s="25" t="s">
        <v>104</v>
      </c>
      <c r="I11" s="119">
        <f>SUM(B:B,E:E)</f>
        <v>291.84589999999992</v>
      </c>
    </row>
    <row r="12" spans="1:9" x14ac:dyDescent="0.25">
      <c r="A12" s="29">
        <v>11</v>
      </c>
      <c r="B12" s="90">
        <v>2.6715</v>
      </c>
      <c r="E12" s="105"/>
      <c r="G12" s="25" t="s">
        <v>1</v>
      </c>
      <c r="H12" s="25" t="s">
        <v>66</v>
      </c>
      <c r="I12" s="20">
        <f>I11/I10*100</f>
        <v>60.277792434592691</v>
      </c>
    </row>
    <row r="13" spans="1:9" x14ac:dyDescent="0.25">
      <c r="A13" s="29">
        <v>11</v>
      </c>
      <c r="B13" s="90">
        <v>2.6716700000000002</v>
      </c>
      <c r="E13" s="105"/>
      <c r="G13" s="25" t="s">
        <v>2</v>
      </c>
      <c r="H13" s="30" t="s">
        <v>199</v>
      </c>
      <c r="I13" s="27">
        <v>70</v>
      </c>
    </row>
    <row r="14" spans="1:9" x14ac:dyDescent="0.25">
      <c r="A14" s="29">
        <v>1</v>
      </c>
      <c r="B14" s="90">
        <v>0.29110000000000003</v>
      </c>
      <c r="G14" s="25" t="s">
        <v>3</v>
      </c>
      <c r="H14" s="25" t="s">
        <v>69</v>
      </c>
      <c r="I14" s="29" t="s">
        <v>4</v>
      </c>
    </row>
    <row r="15" spans="1:9" x14ac:dyDescent="0.25">
      <c r="A15" s="29">
        <v>1</v>
      </c>
      <c r="B15" s="90">
        <v>0.71029900000000001</v>
      </c>
      <c r="G15" s="25" t="s">
        <v>5</v>
      </c>
      <c r="H15" s="25" t="s">
        <v>67</v>
      </c>
      <c r="I15" s="31">
        <f>((I12/I13)*100)</f>
        <v>86.111132049418131</v>
      </c>
    </row>
    <row r="16" spans="1:9" x14ac:dyDescent="0.25">
      <c r="A16" s="29">
        <v>1</v>
      </c>
      <c r="B16" s="90">
        <v>0.829874</v>
      </c>
      <c r="D16" s="32"/>
      <c r="G16" s="25"/>
      <c r="H16" s="6" t="s">
        <v>68</v>
      </c>
      <c r="I16" s="20">
        <f>100-I15</f>
        <v>13.888867950581869</v>
      </c>
    </row>
    <row r="17" spans="1:9" x14ac:dyDescent="0.25">
      <c r="A17" s="29">
        <v>11</v>
      </c>
      <c r="B17" s="90">
        <v>0.58112600000000003</v>
      </c>
      <c r="D17" s="32"/>
      <c r="G17" s="25" t="s">
        <v>6</v>
      </c>
      <c r="H17" s="6" t="s">
        <v>70</v>
      </c>
      <c r="I17" s="110">
        <f>IF((ABS(I16))&gt;80,0,IF(AND((ABS(I16))&lt;80,(ABS(I16))&gt;50),0.25,IF(AND((ABS(I16))&lt;50,(ABS(I16))&gt;30),0.5,IF(AND((ABS(I16))&lt;30,(ABS(I16))&gt;10),0.75,1))))</f>
        <v>0.75</v>
      </c>
    </row>
    <row r="18" spans="1:9" x14ac:dyDescent="0.25">
      <c r="A18" s="29">
        <v>1</v>
      </c>
      <c r="B18" s="90">
        <v>10.401899999999999</v>
      </c>
      <c r="D18" s="32"/>
    </row>
    <row r="19" spans="1:9" x14ac:dyDescent="0.25">
      <c r="A19" s="29">
        <v>1</v>
      </c>
      <c r="B19" s="90">
        <v>1.2334499999999999</v>
      </c>
      <c r="C19" s="26"/>
      <c r="D19" s="32"/>
      <c r="E19" s="26"/>
      <c r="F19" s="26"/>
    </row>
    <row r="20" spans="1:9" x14ac:dyDescent="0.25">
      <c r="A20" s="29">
        <v>11</v>
      </c>
      <c r="B20" s="90">
        <v>5.6161199999999996</v>
      </c>
      <c r="D20" s="32"/>
      <c r="G20" s="7"/>
      <c r="H20" s="8"/>
    </row>
    <row r="21" spans="1:9" x14ac:dyDescent="0.25">
      <c r="A21" s="29">
        <v>1</v>
      </c>
      <c r="B21" s="90">
        <v>0.49803399999999998</v>
      </c>
    </row>
    <row r="22" spans="1:9" x14ac:dyDescent="0.25">
      <c r="A22" s="29">
        <v>5</v>
      </c>
      <c r="B22" s="90">
        <v>0.49718600000000002</v>
      </c>
    </row>
    <row r="23" spans="1:9" x14ac:dyDescent="0.25">
      <c r="A23" s="29">
        <v>1</v>
      </c>
      <c r="B23" s="90">
        <v>1.6430800000000001</v>
      </c>
    </row>
    <row r="24" spans="1:9" x14ac:dyDescent="0.25">
      <c r="A24" s="29">
        <v>11</v>
      </c>
      <c r="B24" s="90">
        <v>7.46</v>
      </c>
    </row>
    <row r="25" spans="1:9" x14ac:dyDescent="0.25">
      <c r="A25" s="29">
        <v>1</v>
      </c>
      <c r="B25" s="90">
        <v>0.54662299999999997</v>
      </c>
    </row>
    <row r="26" spans="1:9" x14ac:dyDescent="0.25">
      <c r="A26" s="29">
        <v>1</v>
      </c>
      <c r="B26" s="90">
        <v>0.77589900000000001</v>
      </c>
    </row>
    <row r="27" spans="1:9" x14ac:dyDescent="0.25">
      <c r="A27" s="29">
        <v>11</v>
      </c>
      <c r="B27" s="90">
        <v>2.47567</v>
      </c>
    </row>
    <row r="28" spans="1:9" x14ac:dyDescent="0.25">
      <c r="A28" s="29">
        <v>7</v>
      </c>
      <c r="B28" s="90">
        <v>5.16967</v>
      </c>
    </row>
    <row r="29" spans="1:9" x14ac:dyDescent="0.25">
      <c r="A29" s="29">
        <v>11</v>
      </c>
      <c r="B29" s="90">
        <v>3.8359200000000002</v>
      </c>
    </row>
    <row r="30" spans="1:9" x14ac:dyDescent="0.25">
      <c r="A30" s="29">
        <v>11</v>
      </c>
      <c r="B30" s="90">
        <v>1.3345</v>
      </c>
    </row>
    <row r="31" spans="1:9" x14ac:dyDescent="0.25">
      <c r="A31" s="29">
        <v>13</v>
      </c>
      <c r="B31" s="90">
        <v>3.5737700000000001</v>
      </c>
    </row>
    <row r="32" spans="1:9" x14ac:dyDescent="0.25">
      <c r="A32" s="29">
        <v>10</v>
      </c>
      <c r="B32" s="90">
        <v>204.55699999999999</v>
      </c>
    </row>
    <row r="33" spans="1:2" x14ac:dyDescent="0.25">
      <c r="A33" s="29">
        <v>11</v>
      </c>
      <c r="B33" s="90">
        <v>8.4757099999999994</v>
      </c>
    </row>
    <row r="34" spans="1:2" x14ac:dyDescent="0.25">
      <c r="A34" s="29">
        <v>11</v>
      </c>
      <c r="B34" s="90">
        <v>8.1284100000000006</v>
      </c>
    </row>
    <row r="35" spans="1:2" x14ac:dyDescent="0.25">
      <c r="A35" s="29">
        <v>11</v>
      </c>
      <c r="B35" s="90">
        <v>2.7338900000000002</v>
      </c>
    </row>
    <row r="36" spans="1:2" x14ac:dyDescent="0.25">
      <c r="A36" s="29">
        <v>10</v>
      </c>
      <c r="B36" s="90">
        <v>9.4779800000000005</v>
      </c>
    </row>
    <row r="37" spans="1:2" x14ac:dyDescent="0.25">
      <c r="A37" s="29"/>
      <c r="B37" s="29"/>
    </row>
    <row r="38" spans="1:2" x14ac:dyDescent="0.25">
      <c r="A38" s="29"/>
      <c r="B38" s="29"/>
    </row>
    <row r="39" spans="1:2" x14ac:dyDescent="0.25">
      <c r="A39" s="29"/>
      <c r="B39" s="29"/>
    </row>
    <row r="40" spans="1:2" x14ac:dyDescent="0.25">
      <c r="A40" s="29"/>
      <c r="B40" s="29"/>
    </row>
    <row r="41" spans="1:2" x14ac:dyDescent="0.25">
      <c r="A41" s="28"/>
      <c r="B41" s="28"/>
    </row>
    <row r="42" spans="1:2" x14ac:dyDescent="0.25">
      <c r="A42" s="28"/>
      <c r="B42" s="28"/>
    </row>
    <row r="43" spans="1:2" x14ac:dyDescent="0.25">
      <c r="A43" s="28"/>
      <c r="B43" s="28"/>
    </row>
    <row r="44" spans="1:2" x14ac:dyDescent="0.25">
      <c r="A44" s="28"/>
      <c r="B44" s="28"/>
    </row>
    <row r="45" spans="1:2" x14ac:dyDescent="0.25">
      <c r="A45" s="28"/>
      <c r="B45" s="28"/>
    </row>
    <row r="46" spans="1:2" x14ac:dyDescent="0.25">
      <c r="A46" s="28"/>
      <c r="B46" s="28"/>
    </row>
    <row r="47" spans="1:2" x14ac:dyDescent="0.25">
      <c r="A47" s="28"/>
      <c r="B47" s="28"/>
    </row>
    <row r="48" spans="1:2" x14ac:dyDescent="0.25">
      <c r="A48" s="28"/>
      <c r="B48" s="28"/>
    </row>
    <row r="49" spans="1:2" x14ac:dyDescent="0.25">
      <c r="A49" s="28"/>
      <c r="B49" s="28"/>
    </row>
    <row r="50" spans="1:2" x14ac:dyDescent="0.25">
      <c r="A50" s="28"/>
      <c r="B50" s="28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80"/>
  <sheetViews>
    <sheetView zoomScaleNormal="100" workbookViewId="0">
      <selection sqref="A1:A2"/>
    </sheetView>
  </sheetViews>
  <sheetFormatPr defaultColWidth="11.42578125" defaultRowHeight="15" x14ac:dyDescent="0.25"/>
  <cols>
    <col min="1" max="1" width="12.140625" customWidth="1"/>
    <col min="2" max="2" width="12.42578125" customWidth="1"/>
    <col min="3" max="3" width="11.42578125" customWidth="1"/>
    <col min="5" max="5" width="34.85546875" customWidth="1"/>
    <col min="6" max="6" width="44.85546875" bestFit="1" customWidth="1"/>
    <col min="7" max="7" width="15.140625" customWidth="1"/>
    <col min="8" max="8" width="19.5703125" bestFit="1" customWidth="1"/>
    <col min="11" max="11" width="48.85546875" bestFit="1" customWidth="1"/>
  </cols>
  <sheetData>
    <row r="1" spans="1:12" ht="26.25" x14ac:dyDescent="0.4">
      <c r="A1" s="1" t="s">
        <v>75</v>
      </c>
      <c r="E1" s="1" t="s">
        <v>86</v>
      </c>
    </row>
    <row r="2" spans="1:12" x14ac:dyDescent="0.25">
      <c r="A2" s="78" t="s">
        <v>245</v>
      </c>
      <c r="E2" s="2"/>
    </row>
    <row r="4" spans="1:12" x14ac:dyDescent="0.25">
      <c r="A4" s="2" t="s">
        <v>74</v>
      </c>
      <c r="E4" s="2" t="s">
        <v>145</v>
      </c>
      <c r="J4" s="2" t="s">
        <v>84</v>
      </c>
    </row>
    <row r="6" spans="1:12" x14ac:dyDescent="0.25">
      <c r="A6" s="83" t="s">
        <v>148</v>
      </c>
      <c r="B6" s="83" t="s">
        <v>149</v>
      </c>
      <c r="C6" s="83" t="s">
        <v>150</v>
      </c>
      <c r="D6" s="33"/>
      <c r="E6" s="84" t="s">
        <v>78</v>
      </c>
      <c r="F6" s="84" t="s">
        <v>77</v>
      </c>
      <c r="G6" s="85" t="s">
        <v>76</v>
      </c>
      <c r="H6" s="85" t="s">
        <v>85</v>
      </c>
      <c r="J6" s="42" t="s">
        <v>7</v>
      </c>
      <c r="K6" s="4" t="s">
        <v>103</v>
      </c>
      <c r="L6" s="84">
        <v>0</v>
      </c>
    </row>
    <row r="7" spans="1:12" x14ac:dyDescent="0.25">
      <c r="A7" s="3">
        <v>8</v>
      </c>
      <c r="B7" s="3">
        <v>4</v>
      </c>
      <c r="C7" s="89">
        <v>0.46809499999999998</v>
      </c>
      <c r="D7" s="33"/>
      <c r="E7" s="36">
        <v>1</v>
      </c>
      <c r="F7" s="35" t="s">
        <v>79</v>
      </c>
      <c r="G7" s="37">
        <f>SUMIF(B:B,E7,C:C)</f>
        <v>4.3983349999999994</v>
      </c>
      <c r="H7" s="38">
        <f>G7/G$12*100</f>
        <v>0.93353076351832054</v>
      </c>
    </row>
    <row r="8" spans="1:12" x14ac:dyDescent="0.25">
      <c r="A8" s="3">
        <v>8</v>
      </c>
      <c r="B8" s="3">
        <v>5</v>
      </c>
      <c r="C8" s="89">
        <v>0.72567199999999998</v>
      </c>
      <c r="D8" s="33"/>
      <c r="E8" s="36">
        <v>2</v>
      </c>
      <c r="F8" s="35" t="s">
        <v>80</v>
      </c>
      <c r="G8" s="37">
        <f>SUMIF(B:B,E8,C:C)</f>
        <v>0</v>
      </c>
      <c r="H8" s="38">
        <f>G8/G$12*100</f>
        <v>0</v>
      </c>
    </row>
    <row r="9" spans="1:12" x14ac:dyDescent="0.25">
      <c r="A9" s="3">
        <v>6</v>
      </c>
      <c r="B9" s="3">
        <v>5</v>
      </c>
      <c r="C9" s="89">
        <v>0.47800399999999998</v>
      </c>
      <c r="D9" s="33"/>
      <c r="E9" s="36">
        <v>3</v>
      </c>
      <c r="F9" s="35" t="s">
        <v>81</v>
      </c>
      <c r="G9" s="37">
        <f>SUMIF(B:B,E9,C:C)</f>
        <v>15.402566999999999</v>
      </c>
      <c r="H9" s="38">
        <f>G9/G$12*100</f>
        <v>3.2691393747070405</v>
      </c>
    </row>
    <row r="10" spans="1:12" x14ac:dyDescent="0.25">
      <c r="A10" s="3">
        <v>5</v>
      </c>
      <c r="B10" s="3">
        <v>5</v>
      </c>
      <c r="C10" s="89">
        <v>0.88297199999999998</v>
      </c>
      <c r="D10" s="33"/>
      <c r="E10" s="36">
        <v>4</v>
      </c>
      <c r="F10" s="35" t="s">
        <v>83</v>
      </c>
      <c r="G10" s="37">
        <f>SUMIF(B:B,E10,C:C)</f>
        <v>96.633040000000008</v>
      </c>
      <c r="H10" s="38">
        <f t="shared" ref="H10:H11" si="0">G10/G$12*100</f>
        <v>20.510014724275536</v>
      </c>
    </row>
    <row r="11" spans="1:12" ht="15.75" thickBot="1" x14ac:dyDescent="0.3">
      <c r="A11" s="3">
        <v>8</v>
      </c>
      <c r="B11" s="3">
        <v>4</v>
      </c>
      <c r="C11" s="89">
        <v>1.41231</v>
      </c>
      <c r="D11" s="33"/>
      <c r="E11" s="36">
        <v>5</v>
      </c>
      <c r="F11" s="35" t="s">
        <v>82</v>
      </c>
      <c r="G11" s="39">
        <f>SUMIF(B:B,E11,C:C)</f>
        <v>354.71657299999998</v>
      </c>
      <c r="H11" s="38">
        <f t="shared" si="0"/>
        <v>75.287315137499107</v>
      </c>
    </row>
    <row r="12" spans="1:12" x14ac:dyDescent="0.25">
      <c r="A12" s="3">
        <v>1</v>
      </c>
      <c r="B12" s="3">
        <v>1</v>
      </c>
      <c r="C12" s="89">
        <v>0.59331199999999995</v>
      </c>
      <c r="D12" s="33"/>
      <c r="G12" s="40">
        <f>SUM(G7:G11)</f>
        <v>471.15051499999998</v>
      </c>
      <c r="H12" s="41">
        <f>SUM(H7:H11)</f>
        <v>100</v>
      </c>
    </row>
    <row r="13" spans="1:12" x14ac:dyDescent="0.25">
      <c r="A13" s="3">
        <v>8</v>
      </c>
      <c r="B13" s="3">
        <v>4</v>
      </c>
      <c r="C13" s="89">
        <v>1.87832</v>
      </c>
      <c r="D13" s="33"/>
    </row>
    <row r="14" spans="1:12" x14ac:dyDescent="0.25">
      <c r="A14" s="3">
        <v>6</v>
      </c>
      <c r="B14" s="3">
        <v>5</v>
      </c>
      <c r="C14" s="89">
        <v>0.39355099999999998</v>
      </c>
      <c r="D14" s="33"/>
      <c r="E14" s="34"/>
      <c r="F14" s="33"/>
      <c r="G14" s="33"/>
    </row>
    <row r="15" spans="1:12" x14ac:dyDescent="0.25">
      <c r="A15" s="3">
        <v>8</v>
      </c>
      <c r="B15" s="3">
        <v>3</v>
      </c>
      <c r="C15" s="89">
        <v>0.16415099999999999</v>
      </c>
      <c r="D15" s="33"/>
    </row>
    <row r="16" spans="1:12" x14ac:dyDescent="0.25">
      <c r="A16" s="3">
        <v>8</v>
      </c>
      <c r="B16" s="3">
        <v>4</v>
      </c>
      <c r="C16" s="89">
        <v>0.75768100000000005</v>
      </c>
      <c r="D16" s="33"/>
      <c r="E16" s="34"/>
      <c r="F16" s="33"/>
      <c r="G16" s="33"/>
    </row>
    <row r="17" spans="1:7" x14ac:dyDescent="0.25">
      <c r="A17" s="3">
        <v>8</v>
      </c>
      <c r="B17" s="3">
        <v>5</v>
      </c>
      <c r="C17" s="89">
        <v>0.51325900000000002</v>
      </c>
      <c r="D17" s="33"/>
      <c r="E17" s="34"/>
      <c r="F17" s="33"/>
      <c r="G17" s="33"/>
    </row>
    <row r="18" spans="1:7" x14ac:dyDescent="0.25">
      <c r="A18" s="3">
        <v>8</v>
      </c>
      <c r="B18" s="3">
        <v>4</v>
      </c>
      <c r="C18" s="89">
        <v>1.0384</v>
      </c>
      <c r="D18" s="33"/>
      <c r="E18" s="34"/>
      <c r="F18" s="33"/>
      <c r="G18" s="33"/>
    </row>
    <row r="19" spans="1:7" x14ac:dyDescent="0.25">
      <c r="A19" s="3">
        <v>4</v>
      </c>
      <c r="B19" s="3">
        <v>4</v>
      </c>
      <c r="C19" s="89">
        <v>1.83561</v>
      </c>
      <c r="D19" s="33"/>
      <c r="E19" s="34"/>
      <c r="F19" s="33"/>
      <c r="G19" s="33"/>
    </row>
    <row r="20" spans="1:7" x14ac:dyDescent="0.25">
      <c r="A20" s="3">
        <v>5</v>
      </c>
      <c r="B20" s="3">
        <v>5</v>
      </c>
      <c r="C20" s="89">
        <v>1.32877</v>
      </c>
      <c r="D20" s="33"/>
      <c r="E20" s="34"/>
      <c r="F20" s="33"/>
      <c r="G20" s="33"/>
    </row>
    <row r="21" spans="1:7" x14ac:dyDescent="0.25">
      <c r="A21" s="3">
        <v>6</v>
      </c>
      <c r="B21" s="3">
        <v>5</v>
      </c>
      <c r="C21" s="89">
        <v>0.34972700000000001</v>
      </c>
      <c r="D21" s="33"/>
      <c r="F21" s="33"/>
      <c r="G21" s="33"/>
    </row>
    <row r="22" spans="1:7" x14ac:dyDescent="0.25">
      <c r="A22" s="3">
        <v>8</v>
      </c>
      <c r="B22" s="3">
        <v>5</v>
      </c>
      <c r="C22" s="89">
        <v>0.74718300000000004</v>
      </c>
      <c r="D22" s="33"/>
      <c r="E22" s="34"/>
      <c r="F22" s="33"/>
      <c r="G22" s="33"/>
    </row>
    <row r="23" spans="1:7" x14ac:dyDescent="0.25">
      <c r="A23" s="3">
        <v>4</v>
      </c>
      <c r="B23" s="3">
        <v>4</v>
      </c>
      <c r="C23" s="89">
        <v>0.422958</v>
      </c>
      <c r="D23" s="33"/>
      <c r="E23" s="34"/>
      <c r="F23" s="33"/>
      <c r="G23" s="33"/>
    </row>
    <row r="24" spans="1:7" x14ac:dyDescent="0.25">
      <c r="A24" s="3">
        <v>5</v>
      </c>
      <c r="B24" s="3">
        <v>5</v>
      </c>
      <c r="C24" s="89">
        <v>8.8446200000000008</v>
      </c>
      <c r="D24" s="33"/>
      <c r="E24" s="34"/>
      <c r="F24" s="33"/>
      <c r="G24" s="33"/>
    </row>
    <row r="25" spans="1:7" x14ac:dyDescent="0.25">
      <c r="A25" s="3">
        <v>8</v>
      </c>
      <c r="B25" s="3">
        <v>4</v>
      </c>
      <c r="C25" s="89">
        <v>0.13172600000000001</v>
      </c>
      <c r="D25" s="33"/>
      <c r="F25" s="33"/>
      <c r="G25" s="33"/>
    </row>
    <row r="26" spans="1:7" x14ac:dyDescent="0.25">
      <c r="A26" s="3">
        <v>3</v>
      </c>
      <c r="B26" s="3">
        <v>3</v>
      </c>
      <c r="C26" s="89">
        <v>2.40482</v>
      </c>
      <c r="D26" s="33"/>
      <c r="F26" s="33"/>
      <c r="G26" s="33"/>
    </row>
    <row r="27" spans="1:7" x14ac:dyDescent="0.25">
      <c r="A27" s="3">
        <v>4</v>
      </c>
      <c r="B27" s="3">
        <v>3</v>
      </c>
      <c r="C27" s="89">
        <v>8.9419299999999993</v>
      </c>
      <c r="D27" s="33"/>
      <c r="F27" s="33"/>
      <c r="G27" s="33"/>
    </row>
    <row r="28" spans="1:7" x14ac:dyDescent="0.25">
      <c r="A28" s="3">
        <v>8</v>
      </c>
      <c r="B28" s="3">
        <v>3</v>
      </c>
      <c r="C28" s="89">
        <v>0.53923600000000005</v>
      </c>
      <c r="D28" s="33"/>
      <c r="F28" s="33"/>
      <c r="G28" s="33"/>
    </row>
    <row r="29" spans="1:7" x14ac:dyDescent="0.25">
      <c r="A29" s="3">
        <v>8</v>
      </c>
      <c r="B29" s="3">
        <v>5</v>
      </c>
      <c r="C29" s="89">
        <v>0.90671900000000005</v>
      </c>
      <c r="D29" s="33"/>
      <c r="F29" s="33"/>
      <c r="G29" s="33"/>
    </row>
    <row r="30" spans="1:7" x14ac:dyDescent="0.25">
      <c r="A30" s="3">
        <v>1</v>
      </c>
      <c r="B30" s="3">
        <v>1</v>
      </c>
      <c r="C30" s="89">
        <v>1.6612899999999999</v>
      </c>
      <c r="D30" s="33"/>
      <c r="F30" s="33"/>
      <c r="G30" s="33"/>
    </row>
    <row r="31" spans="1:7" x14ac:dyDescent="0.25">
      <c r="A31" s="3">
        <v>8</v>
      </c>
      <c r="B31" s="3">
        <v>4</v>
      </c>
      <c r="C31" s="89">
        <v>7.0242899999999997</v>
      </c>
      <c r="D31" s="33"/>
      <c r="F31" s="33"/>
      <c r="G31" s="33"/>
    </row>
    <row r="32" spans="1:7" x14ac:dyDescent="0.25">
      <c r="A32" s="3">
        <v>4</v>
      </c>
      <c r="B32" s="3">
        <v>4</v>
      </c>
      <c r="C32" s="89">
        <v>12.485200000000001</v>
      </c>
      <c r="D32" s="33"/>
      <c r="E32" s="34"/>
      <c r="F32" s="33"/>
      <c r="G32" s="33"/>
    </row>
    <row r="33" spans="1:7" x14ac:dyDescent="0.25">
      <c r="A33" s="3">
        <v>6</v>
      </c>
      <c r="B33" s="3">
        <v>5</v>
      </c>
      <c r="C33" s="89">
        <v>0.69723199999999996</v>
      </c>
      <c r="D33" s="33"/>
      <c r="E33" s="34"/>
      <c r="F33" s="33"/>
      <c r="G33" s="33"/>
    </row>
    <row r="34" spans="1:7" x14ac:dyDescent="0.25">
      <c r="A34" s="3">
        <v>8</v>
      </c>
      <c r="B34" s="3">
        <v>5</v>
      </c>
      <c r="C34" s="89">
        <v>0.51580800000000004</v>
      </c>
      <c r="D34" s="33"/>
      <c r="F34" s="33"/>
      <c r="G34" s="33"/>
    </row>
    <row r="35" spans="1:7" x14ac:dyDescent="0.25">
      <c r="A35" s="3">
        <v>5</v>
      </c>
      <c r="B35" s="3">
        <v>5</v>
      </c>
      <c r="C35" s="89">
        <v>1.0029600000000001</v>
      </c>
      <c r="D35" s="33"/>
      <c r="E35" s="34"/>
      <c r="F35" s="33"/>
      <c r="G35" s="33"/>
    </row>
    <row r="36" spans="1:7" x14ac:dyDescent="0.25">
      <c r="A36" s="3">
        <v>6</v>
      </c>
      <c r="B36" s="3">
        <v>5</v>
      </c>
      <c r="C36" s="89">
        <v>0.74472499999999997</v>
      </c>
      <c r="D36" s="33"/>
      <c r="E36" s="34"/>
      <c r="F36" s="33"/>
      <c r="G36" s="33"/>
    </row>
    <row r="37" spans="1:7" x14ac:dyDescent="0.25">
      <c r="A37" s="3">
        <v>8</v>
      </c>
      <c r="B37" s="3">
        <v>4</v>
      </c>
      <c r="C37" s="89">
        <v>12.775600000000001</v>
      </c>
      <c r="D37" s="33"/>
      <c r="E37" s="34"/>
      <c r="F37" s="33"/>
      <c r="G37" s="33"/>
    </row>
    <row r="38" spans="1:7" x14ac:dyDescent="0.25">
      <c r="A38" s="3">
        <v>5</v>
      </c>
      <c r="B38" s="3">
        <v>5</v>
      </c>
      <c r="C38" s="89">
        <v>3.5342199999999999</v>
      </c>
      <c r="D38" s="33"/>
      <c r="E38" s="34"/>
      <c r="F38" s="33"/>
      <c r="G38" s="33"/>
    </row>
    <row r="39" spans="1:7" x14ac:dyDescent="0.25">
      <c r="A39" s="3">
        <v>4</v>
      </c>
      <c r="B39" s="3">
        <v>4</v>
      </c>
      <c r="C39" s="89">
        <v>24.8735</v>
      </c>
      <c r="D39" s="33"/>
      <c r="E39" s="34"/>
      <c r="F39" s="33"/>
      <c r="G39" s="33"/>
    </row>
    <row r="40" spans="1:7" x14ac:dyDescent="0.25">
      <c r="A40" s="3">
        <v>3</v>
      </c>
      <c r="B40" s="3">
        <v>3</v>
      </c>
      <c r="C40" s="89">
        <v>3.35243</v>
      </c>
      <c r="D40" s="33"/>
      <c r="E40" s="34"/>
      <c r="F40" s="33"/>
      <c r="G40" s="33"/>
    </row>
    <row r="41" spans="1:7" x14ac:dyDescent="0.25">
      <c r="A41" s="3">
        <v>4</v>
      </c>
      <c r="B41" s="3">
        <v>4</v>
      </c>
      <c r="C41" s="89">
        <v>6.5394899999999998</v>
      </c>
      <c r="D41" s="33"/>
      <c r="E41" s="34"/>
      <c r="F41" s="33"/>
      <c r="G41" s="33"/>
    </row>
    <row r="42" spans="1:7" x14ac:dyDescent="0.25">
      <c r="A42" s="3">
        <v>8</v>
      </c>
      <c r="B42" s="3">
        <v>5</v>
      </c>
      <c r="C42" s="89">
        <v>0.67529399999999995</v>
      </c>
      <c r="D42" s="33"/>
      <c r="E42" s="34"/>
      <c r="F42" s="33"/>
      <c r="G42" s="33"/>
    </row>
    <row r="43" spans="1:7" x14ac:dyDescent="0.25">
      <c r="A43" s="3">
        <v>8</v>
      </c>
      <c r="B43" s="3">
        <v>4</v>
      </c>
      <c r="C43" s="89">
        <v>1.5015499999999999</v>
      </c>
      <c r="D43" s="33"/>
      <c r="E43" s="34"/>
      <c r="F43" s="33"/>
      <c r="G43" s="33"/>
    </row>
    <row r="44" spans="1:7" x14ac:dyDescent="0.25">
      <c r="A44" s="3">
        <v>6</v>
      </c>
      <c r="B44" s="3">
        <v>5</v>
      </c>
      <c r="C44" s="89">
        <v>0.69537700000000002</v>
      </c>
      <c r="D44" s="33"/>
      <c r="E44" s="34"/>
      <c r="F44" s="33"/>
      <c r="G44" s="33"/>
    </row>
    <row r="45" spans="1:7" x14ac:dyDescent="0.25">
      <c r="A45" s="3">
        <v>1</v>
      </c>
      <c r="B45" s="3">
        <v>1</v>
      </c>
      <c r="C45" s="89">
        <v>0.41325299999999998</v>
      </c>
      <c r="D45" s="33"/>
      <c r="E45" s="34"/>
      <c r="F45" s="33"/>
      <c r="G45" s="33"/>
    </row>
    <row r="46" spans="1:7" x14ac:dyDescent="0.25">
      <c r="A46" s="3">
        <v>1</v>
      </c>
      <c r="B46" s="3">
        <v>1</v>
      </c>
      <c r="C46" s="89">
        <v>1.73048</v>
      </c>
      <c r="D46" s="33"/>
      <c r="E46" s="34"/>
      <c r="F46" s="33"/>
      <c r="G46" s="33"/>
    </row>
    <row r="47" spans="1:7" x14ac:dyDescent="0.25">
      <c r="A47" s="3">
        <v>8</v>
      </c>
      <c r="B47" s="3">
        <v>4</v>
      </c>
      <c r="C47" s="89">
        <v>6.3632400000000002</v>
      </c>
      <c r="D47" s="33"/>
      <c r="E47" s="34"/>
      <c r="F47" s="33"/>
      <c r="G47" s="33"/>
    </row>
    <row r="48" spans="1:7" x14ac:dyDescent="0.25">
      <c r="A48" s="3">
        <v>8</v>
      </c>
      <c r="B48" s="3">
        <v>5</v>
      </c>
      <c r="C48" s="89">
        <v>4.5234800000000002</v>
      </c>
      <c r="D48" s="33"/>
      <c r="E48" s="34"/>
      <c r="F48" s="33"/>
      <c r="G48" s="33"/>
    </row>
    <row r="49" spans="1:7" x14ac:dyDescent="0.25">
      <c r="A49" s="3">
        <v>4</v>
      </c>
      <c r="B49" s="3">
        <v>4</v>
      </c>
      <c r="C49" s="89">
        <v>12.4114</v>
      </c>
      <c r="D49" s="33"/>
      <c r="E49" s="34"/>
      <c r="F49" s="33"/>
      <c r="G49" s="33"/>
    </row>
    <row r="50" spans="1:7" x14ac:dyDescent="0.25">
      <c r="A50" s="3">
        <v>8</v>
      </c>
      <c r="B50" s="3">
        <v>4</v>
      </c>
      <c r="C50" s="89">
        <v>2.0042800000000001</v>
      </c>
      <c r="D50" s="33"/>
      <c r="E50" s="34"/>
      <c r="F50" s="33"/>
      <c r="G50" s="33"/>
    </row>
    <row r="51" spans="1:7" x14ac:dyDescent="0.25">
      <c r="A51" s="3">
        <v>8</v>
      </c>
      <c r="B51" s="3">
        <v>4</v>
      </c>
      <c r="C51" s="89">
        <v>1.31158</v>
      </c>
      <c r="D51" s="33"/>
      <c r="E51" s="34"/>
      <c r="F51" s="33"/>
      <c r="G51" s="33"/>
    </row>
    <row r="52" spans="1:7" x14ac:dyDescent="0.25">
      <c r="A52" s="100">
        <v>8</v>
      </c>
      <c r="B52" s="100">
        <v>4</v>
      </c>
      <c r="C52" s="101">
        <v>1.39781</v>
      </c>
      <c r="D52" s="33"/>
      <c r="E52" s="34"/>
      <c r="F52" s="33"/>
      <c r="G52" s="33"/>
    </row>
    <row r="53" spans="1:7" x14ac:dyDescent="0.25">
      <c r="A53" s="102">
        <v>4</v>
      </c>
      <c r="B53" s="102">
        <v>5</v>
      </c>
      <c r="C53" s="103">
        <v>327.15699999999998</v>
      </c>
      <c r="D53" s="33"/>
      <c r="E53" s="34"/>
      <c r="F53" s="33"/>
      <c r="G53" s="33"/>
    </row>
    <row r="54" spans="1:7" x14ac:dyDescent="0.25">
      <c r="A54" s="33"/>
      <c r="B54" s="33"/>
      <c r="C54" s="33"/>
      <c r="D54" s="33"/>
      <c r="E54" s="34"/>
      <c r="F54" s="33"/>
      <c r="G54" s="33"/>
    </row>
    <row r="55" spans="1:7" x14ac:dyDescent="0.25">
      <c r="A55" s="33"/>
      <c r="B55" s="33"/>
      <c r="C55" s="33"/>
      <c r="D55" s="33"/>
      <c r="E55" s="34"/>
      <c r="F55" s="33"/>
      <c r="G55" s="33"/>
    </row>
    <row r="56" spans="1:7" x14ac:dyDescent="0.25">
      <c r="A56" s="33"/>
      <c r="B56" s="33"/>
      <c r="C56" s="33"/>
      <c r="D56" s="33"/>
      <c r="E56" s="34"/>
      <c r="F56" s="33"/>
      <c r="G56" s="33"/>
    </row>
    <row r="57" spans="1:7" x14ac:dyDescent="0.25">
      <c r="A57" s="33"/>
      <c r="B57" s="33"/>
      <c r="C57" s="33"/>
      <c r="D57" s="33"/>
      <c r="E57" s="34"/>
      <c r="F57" s="33"/>
      <c r="G57" s="33"/>
    </row>
    <row r="58" spans="1:7" x14ac:dyDescent="0.25">
      <c r="A58" s="33"/>
      <c r="B58" s="33"/>
      <c r="C58" s="33"/>
      <c r="D58" s="33"/>
      <c r="E58" s="34"/>
      <c r="F58" s="33"/>
      <c r="G58" s="33"/>
    </row>
    <row r="59" spans="1:7" x14ac:dyDescent="0.25">
      <c r="A59" s="33"/>
      <c r="B59" s="33"/>
      <c r="C59" s="33"/>
      <c r="D59" s="33"/>
      <c r="E59" s="34"/>
      <c r="F59" s="33"/>
      <c r="G59" s="33"/>
    </row>
    <row r="60" spans="1:7" x14ac:dyDescent="0.25">
      <c r="A60" s="33"/>
      <c r="B60" s="33"/>
      <c r="C60" s="33"/>
      <c r="D60" s="33"/>
      <c r="E60" s="34"/>
      <c r="F60" s="33"/>
      <c r="G60" s="33"/>
    </row>
    <row r="61" spans="1:7" x14ac:dyDescent="0.25">
      <c r="A61" s="33"/>
      <c r="B61" s="33"/>
      <c r="C61" s="33"/>
      <c r="D61" s="33"/>
      <c r="E61" s="34"/>
      <c r="F61" s="33"/>
      <c r="G61" s="33"/>
    </row>
    <row r="62" spans="1:7" x14ac:dyDescent="0.25">
      <c r="A62" s="33"/>
      <c r="B62" s="33"/>
      <c r="C62" s="33"/>
      <c r="D62" s="33"/>
      <c r="E62" s="34"/>
      <c r="F62" s="33"/>
      <c r="G62" s="33"/>
    </row>
    <row r="63" spans="1:7" x14ac:dyDescent="0.25">
      <c r="A63" s="33"/>
      <c r="B63" s="33"/>
      <c r="C63" s="33"/>
      <c r="D63" s="33"/>
      <c r="E63" s="34"/>
      <c r="F63" s="33"/>
      <c r="G63" s="33"/>
    </row>
    <row r="64" spans="1:7" x14ac:dyDescent="0.25">
      <c r="A64" s="33"/>
      <c r="B64" s="33"/>
      <c r="C64" s="33"/>
      <c r="D64" s="33"/>
      <c r="E64" s="34"/>
      <c r="F64" s="33"/>
      <c r="G64" s="33"/>
    </row>
    <row r="65" spans="1:7" x14ac:dyDescent="0.25">
      <c r="A65" s="33"/>
      <c r="B65" s="33"/>
      <c r="C65" s="33"/>
      <c r="D65" s="33"/>
      <c r="E65" s="34"/>
      <c r="F65" s="33"/>
      <c r="G65" s="33"/>
    </row>
    <row r="66" spans="1:7" x14ac:dyDescent="0.25">
      <c r="A66" s="33"/>
      <c r="B66" s="33"/>
      <c r="C66" s="33"/>
      <c r="D66" s="33"/>
      <c r="E66" s="34"/>
      <c r="F66" s="33"/>
      <c r="G66" s="33"/>
    </row>
    <row r="67" spans="1:7" x14ac:dyDescent="0.25">
      <c r="A67" s="33"/>
      <c r="B67" s="33"/>
      <c r="C67" s="33"/>
      <c r="D67" s="33"/>
      <c r="E67" s="34"/>
      <c r="F67" s="33"/>
      <c r="G67" s="33"/>
    </row>
    <row r="68" spans="1:7" x14ac:dyDescent="0.25">
      <c r="A68" s="33"/>
      <c r="B68" s="33"/>
      <c r="C68" s="33"/>
      <c r="D68" s="33"/>
      <c r="E68" s="34"/>
      <c r="F68" s="33"/>
      <c r="G68" s="33"/>
    </row>
    <row r="69" spans="1:7" x14ac:dyDescent="0.25">
      <c r="A69" s="33"/>
      <c r="B69" s="33"/>
      <c r="C69" s="33"/>
      <c r="D69" s="33"/>
      <c r="E69" s="34"/>
      <c r="F69" s="33"/>
      <c r="G69" s="33"/>
    </row>
    <row r="70" spans="1:7" x14ac:dyDescent="0.25">
      <c r="A70" s="33"/>
      <c r="B70" s="33"/>
      <c r="C70" s="33"/>
      <c r="D70" s="33"/>
      <c r="E70" s="34"/>
      <c r="F70" s="33"/>
      <c r="G70" s="33"/>
    </row>
    <row r="71" spans="1:7" x14ac:dyDescent="0.25">
      <c r="A71" s="33"/>
      <c r="B71" s="33"/>
      <c r="C71" s="33"/>
      <c r="D71" s="33"/>
      <c r="E71" s="34"/>
      <c r="F71" s="33"/>
      <c r="G71" s="33"/>
    </row>
    <row r="72" spans="1:7" x14ac:dyDescent="0.25">
      <c r="A72" s="33"/>
      <c r="B72" s="33"/>
      <c r="C72" s="33"/>
      <c r="D72" s="33"/>
      <c r="E72" s="34"/>
      <c r="F72" s="33"/>
      <c r="G72" s="33"/>
    </row>
    <row r="73" spans="1:7" x14ac:dyDescent="0.25">
      <c r="A73" s="33"/>
      <c r="B73" s="33"/>
      <c r="C73" s="33"/>
      <c r="D73" s="33"/>
      <c r="E73" s="34"/>
      <c r="F73" s="33"/>
      <c r="G73" s="33"/>
    </row>
    <row r="74" spans="1:7" x14ac:dyDescent="0.25">
      <c r="A74" s="33"/>
      <c r="B74" s="33"/>
      <c r="C74" s="33"/>
      <c r="D74" s="33"/>
      <c r="E74" s="34"/>
      <c r="F74" s="33"/>
      <c r="G74" s="33"/>
    </row>
    <row r="75" spans="1:7" x14ac:dyDescent="0.25">
      <c r="A75" s="33"/>
      <c r="B75" s="33"/>
      <c r="C75" s="33"/>
      <c r="D75" s="33"/>
      <c r="E75" s="34"/>
      <c r="F75" s="33"/>
      <c r="G75" s="33"/>
    </row>
    <row r="76" spans="1:7" x14ac:dyDescent="0.25">
      <c r="A76" s="33"/>
      <c r="B76" s="33"/>
      <c r="C76" s="33"/>
      <c r="D76" s="33"/>
      <c r="E76" s="34"/>
      <c r="F76" s="33"/>
      <c r="G76" s="33"/>
    </row>
    <row r="77" spans="1:7" x14ac:dyDescent="0.25">
      <c r="A77" s="33"/>
      <c r="B77" s="33"/>
      <c r="C77" s="33"/>
      <c r="D77" s="33"/>
      <c r="E77" s="34"/>
      <c r="F77" s="33"/>
      <c r="G77" s="33"/>
    </row>
    <row r="78" spans="1:7" x14ac:dyDescent="0.25">
      <c r="A78" s="33"/>
      <c r="B78" s="33"/>
      <c r="C78" s="33"/>
      <c r="D78" s="33"/>
      <c r="E78" s="34"/>
      <c r="F78" s="33"/>
      <c r="G78" s="33"/>
    </row>
    <row r="79" spans="1:7" x14ac:dyDescent="0.25">
      <c r="A79" s="33"/>
      <c r="B79" s="33"/>
      <c r="C79" s="33"/>
      <c r="D79" s="33"/>
      <c r="E79" s="34"/>
      <c r="F79" s="33"/>
      <c r="G79" s="33"/>
    </row>
    <row r="80" spans="1:7" x14ac:dyDescent="0.25">
      <c r="A80" s="33"/>
      <c r="B80" s="33"/>
      <c r="C80" s="33"/>
      <c r="D80" s="33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44"/>
  <sheetViews>
    <sheetView zoomScaleNormal="100" workbookViewId="0">
      <selection activeCell="A42" sqref="A42:B42"/>
    </sheetView>
  </sheetViews>
  <sheetFormatPr defaultColWidth="11.42578125" defaultRowHeight="15" x14ac:dyDescent="0.25"/>
  <cols>
    <col min="1" max="1" width="55.85546875" customWidth="1"/>
    <col min="2" max="2" width="19.85546875" bestFit="1" customWidth="1"/>
    <col min="3" max="3" width="17.85546875" bestFit="1" customWidth="1"/>
    <col min="4" max="4" width="18.140625" bestFit="1" customWidth="1"/>
    <col min="5" max="6" width="22.140625" bestFit="1" customWidth="1"/>
    <col min="7" max="7" width="29.140625" customWidth="1"/>
    <col min="8" max="8" width="32.85546875" bestFit="1" customWidth="1"/>
    <col min="9" max="9" width="20.5703125" customWidth="1"/>
    <col min="10" max="10" width="3.85546875" customWidth="1"/>
    <col min="11" max="11" width="12.42578125" customWidth="1"/>
  </cols>
  <sheetData>
    <row r="1" spans="1:15" ht="26.25" x14ac:dyDescent="0.4">
      <c r="A1" s="1" t="s">
        <v>209</v>
      </c>
    </row>
    <row r="2" spans="1:15" x14ac:dyDescent="0.25">
      <c r="A2" s="78" t="s">
        <v>243</v>
      </c>
      <c r="G2" s="2"/>
    </row>
    <row r="3" spans="1:15" x14ac:dyDescent="0.25">
      <c r="A3" s="78"/>
      <c r="C3" s="146"/>
      <c r="D3" s="146"/>
      <c r="E3" s="146"/>
      <c r="G3" s="2"/>
    </row>
    <row r="4" spans="1:15" x14ac:dyDescent="0.25">
      <c r="A4" s="145" t="s">
        <v>247</v>
      </c>
    </row>
    <row r="5" spans="1:15" x14ac:dyDescent="0.25">
      <c r="A5" s="145"/>
    </row>
    <row r="7" spans="1:15" x14ac:dyDescent="0.25">
      <c r="A7" s="22" t="s">
        <v>261</v>
      </c>
      <c r="M7" s="120"/>
    </row>
    <row r="8" spans="1:15" x14ac:dyDescent="0.25">
      <c r="A8" s="4" t="s">
        <v>244</v>
      </c>
      <c r="B8" s="4">
        <v>251</v>
      </c>
      <c r="C8" s="146"/>
      <c r="D8" s="146"/>
      <c r="E8" s="146"/>
      <c r="M8" s="120"/>
    </row>
    <row r="9" spans="1:15" x14ac:dyDescent="0.25">
      <c r="E9" s="146"/>
      <c r="G9" s="146"/>
      <c r="I9" s="146"/>
      <c r="M9" s="120"/>
    </row>
    <row r="10" spans="1:15" x14ac:dyDescent="0.25">
      <c r="E10" s="146"/>
      <c r="G10" s="146"/>
    </row>
    <row r="11" spans="1:15" x14ac:dyDescent="0.25">
      <c r="A11" s="22" t="s">
        <v>210</v>
      </c>
      <c r="D11" s="146"/>
    </row>
    <row r="12" spans="1:15" x14ac:dyDescent="0.25">
      <c r="A12" t="s">
        <v>262</v>
      </c>
      <c r="C12" s="121"/>
      <c r="D12" s="146"/>
      <c r="G12" s="121"/>
    </row>
    <row r="13" spans="1:15" x14ac:dyDescent="0.25">
      <c r="A13" t="s">
        <v>260</v>
      </c>
      <c r="C13" s="121"/>
      <c r="D13" s="146"/>
      <c r="G13" s="121"/>
    </row>
    <row r="14" spans="1:15" x14ac:dyDescent="0.25">
      <c r="C14" s="121"/>
      <c r="D14" s="146"/>
      <c r="G14" s="121"/>
    </row>
    <row r="15" spans="1:15" x14ac:dyDescent="0.25">
      <c r="A15" s="158" t="s">
        <v>264</v>
      </c>
      <c r="B15" s="159"/>
      <c r="C15" s="160"/>
      <c r="D15" s="161"/>
      <c r="E15" s="159"/>
      <c r="F15" s="159"/>
      <c r="G15" s="160"/>
      <c r="H15" s="159"/>
      <c r="I15" s="159"/>
      <c r="J15" s="159"/>
      <c r="K15" s="159"/>
      <c r="L15" s="159"/>
      <c r="M15" s="159"/>
      <c r="N15" s="159"/>
      <c r="O15" s="159"/>
    </row>
    <row r="16" spans="1:15" x14ac:dyDescent="0.25">
      <c r="A16" s="22"/>
      <c r="C16" s="121"/>
      <c r="D16" s="146"/>
      <c r="G16" s="121"/>
    </row>
    <row r="17" spans="1:18" x14ac:dyDescent="0.25">
      <c r="A17" s="122" t="s">
        <v>211</v>
      </c>
      <c r="B17" s="123" t="s">
        <v>212</v>
      </c>
      <c r="C17" s="123" t="s">
        <v>213</v>
      </c>
      <c r="D17" s="123" t="s">
        <v>214</v>
      </c>
      <c r="E17" s="123" t="s">
        <v>215</v>
      </c>
      <c r="F17" s="123" t="s">
        <v>216</v>
      </c>
      <c r="G17" s="123" t="s">
        <v>255</v>
      </c>
      <c r="H17" s="123" t="s">
        <v>256</v>
      </c>
      <c r="I17" s="123" t="s">
        <v>217</v>
      </c>
    </row>
    <row r="18" spans="1:18" ht="32.25" customHeight="1" x14ac:dyDescent="0.25">
      <c r="A18" s="124" t="s">
        <v>218</v>
      </c>
      <c r="B18" s="125" t="s">
        <v>219</v>
      </c>
      <c r="C18" s="151" t="s">
        <v>257</v>
      </c>
      <c r="D18" s="151" t="s">
        <v>258</v>
      </c>
      <c r="E18" s="125" t="s">
        <v>266</v>
      </c>
      <c r="F18" s="130" t="s">
        <v>259</v>
      </c>
      <c r="G18" s="125" t="s">
        <v>263</v>
      </c>
      <c r="H18" s="125" t="s">
        <v>267</v>
      </c>
      <c r="I18" s="125" t="s">
        <v>220</v>
      </c>
      <c r="O18" s="7"/>
      <c r="R18" s="8"/>
    </row>
    <row r="19" spans="1:18" x14ac:dyDescent="0.25">
      <c r="A19" s="4" t="s">
        <v>221</v>
      </c>
      <c r="B19" s="4" t="s">
        <v>222</v>
      </c>
      <c r="C19" s="4">
        <v>400</v>
      </c>
      <c r="D19" s="4"/>
      <c r="E19" s="126">
        <v>50</v>
      </c>
      <c r="F19" s="131">
        <v>1000</v>
      </c>
      <c r="G19" s="147">
        <f>IF(C19="","",$C19*1000/$B$8)</f>
        <v>1593.6254980079682</v>
      </c>
      <c r="H19" s="157" t="str">
        <f>IF(D19="","",$D19*1000/$B$8)</f>
        <v/>
      </c>
      <c r="I19" s="157">
        <f>IF(G19="",(IF(H19&lt;E19,0,IF(H19&lt;F19,1/(F19-E19)*H19+E19/(E19-F19),1))),(IF(G19&lt;E19,0,IF(G19&lt;F19,1/(F19-E19)*G19+E19/(E19-F19),1))))</f>
        <v>1</v>
      </c>
    </row>
    <row r="20" spans="1:18" x14ac:dyDescent="0.25">
      <c r="A20" s="4" t="s">
        <v>221</v>
      </c>
      <c r="B20" s="4" t="s">
        <v>222</v>
      </c>
      <c r="C20" s="4"/>
      <c r="D20" s="4">
        <v>23</v>
      </c>
      <c r="E20" s="126">
        <v>0</v>
      </c>
      <c r="F20" s="131">
        <v>200</v>
      </c>
      <c r="G20" s="147" t="str">
        <f>IF(C20="","",$C20*1000/$B$8)</f>
        <v/>
      </c>
      <c r="H20" s="157">
        <f>IF(D20="","",$D20*1000/$B$8)</f>
        <v>91.633466135458164</v>
      </c>
      <c r="I20" s="157">
        <f>IF(G20="",(IF(H20&lt;E20,0,IF(H20&lt;F20,1/(F20-E20)*H20+E20/(E20-F20),1))),(IF(G20&lt;E20,0,IF(G20&lt;F20,1/(F20-E20)*G20+E20/(E20-F20),1))))</f>
        <v>0.45816733067729082</v>
      </c>
    </row>
    <row r="21" spans="1:18" x14ac:dyDescent="0.25">
      <c r="A21" s="4" t="s">
        <v>221</v>
      </c>
      <c r="B21" s="4" t="s">
        <v>222</v>
      </c>
      <c r="C21" s="4">
        <v>254</v>
      </c>
      <c r="D21" s="4"/>
      <c r="E21" s="126">
        <v>50</v>
      </c>
      <c r="F21" s="131">
        <v>2000</v>
      </c>
      <c r="G21" s="147">
        <f>IF(C21="","",$C21*1000/$B$8)</f>
        <v>1011.9521912350598</v>
      </c>
      <c r="H21" s="157" t="str">
        <f>IF(D21="","",$D21*1000/$B$8)</f>
        <v/>
      </c>
      <c r="I21" s="157">
        <f>IF(G21="",(IF(H21&lt;E21,0,IF(H21&lt;F21,1/(F21-E21)*H21+E21/(E21-F21),1))),(IF(G21&lt;E21,0,IF(G21&lt;F21,1/(F21-E21)*G21+E21/(E21-F21),1))))</f>
        <v>0.49330881601797938</v>
      </c>
    </row>
    <row r="22" spans="1:18" x14ac:dyDescent="0.25">
      <c r="A22" s="4" t="s">
        <v>221</v>
      </c>
      <c r="B22" s="4" t="s">
        <v>222</v>
      </c>
      <c r="C22" s="4"/>
      <c r="D22" s="4">
        <v>64</v>
      </c>
      <c r="E22" s="126">
        <v>20</v>
      </c>
      <c r="F22" s="131">
        <v>300</v>
      </c>
      <c r="G22" s="147" t="str">
        <f>IF(C22="","",$C22*1000/$B$8)</f>
        <v/>
      </c>
      <c r="H22" s="157">
        <f>IF(D22="","",$D22*1000/$B$8)</f>
        <v>254.9800796812749</v>
      </c>
      <c r="I22" s="157">
        <f>IF(G22="",(IF(H22&lt;E22,0,IF(H22&lt;F22,1/(F22-E22)*H22+E22/(E22-F22),1))),(IF(G22&lt;E22,0,IF(G22&lt;F22,1/(F22-E22)*G22+E22/(E22-F22),1))))</f>
        <v>0.83921457029026747</v>
      </c>
    </row>
    <row r="23" spans="1:18" x14ac:dyDescent="0.25">
      <c r="A23" s="4" t="s">
        <v>221</v>
      </c>
      <c r="B23" s="4" t="s">
        <v>222</v>
      </c>
      <c r="C23" s="4">
        <v>5</v>
      </c>
      <c r="D23" s="4"/>
      <c r="E23" s="126">
        <v>0</v>
      </c>
      <c r="F23" s="131">
        <v>100</v>
      </c>
      <c r="G23" s="147">
        <f>IF(C23="","",$C23*1000/$B$8)</f>
        <v>19.920318725099602</v>
      </c>
      <c r="H23" s="157" t="str">
        <f>IF(D23="","",$D23*1000/$B$8)</f>
        <v/>
      </c>
      <c r="I23" s="157">
        <f>IF(G23="",(IF(H23&lt;E23,0,IF(H23&lt;F23,1/(F23-E23)*H23+E23/(E23-F23),1))),(IF(G23&lt;E23,0,IF(G23&lt;F23,1/(F23-E23)*G23+E23/(E23-F23),1))))</f>
        <v>0.19920318725099603</v>
      </c>
    </row>
    <row r="30" spans="1:18" x14ac:dyDescent="0.25">
      <c r="A30" s="158" t="s">
        <v>265</v>
      </c>
      <c r="B30" s="159"/>
      <c r="C30" s="160"/>
      <c r="D30" s="161"/>
      <c r="E30" s="159"/>
      <c r="F30" s="159"/>
      <c r="G30" s="160"/>
      <c r="H30" s="159"/>
      <c r="I30" s="159"/>
      <c r="J30" s="159"/>
      <c r="K30" s="159"/>
      <c r="L30" s="159"/>
      <c r="M30" s="159"/>
      <c r="N30" s="159"/>
      <c r="O30" s="159"/>
    </row>
    <row r="32" spans="1:18" x14ac:dyDescent="0.25">
      <c r="A32" s="122" t="s">
        <v>211</v>
      </c>
      <c r="B32" s="123" t="s">
        <v>212</v>
      </c>
      <c r="C32" s="123" t="s">
        <v>213</v>
      </c>
      <c r="D32" s="123" t="s">
        <v>214</v>
      </c>
      <c r="E32" s="123" t="s">
        <v>215</v>
      </c>
      <c r="F32" s="123" t="s">
        <v>216</v>
      </c>
      <c r="G32" s="123" t="s">
        <v>255</v>
      </c>
      <c r="H32" s="123" t="s">
        <v>256</v>
      </c>
      <c r="I32" s="123" t="s">
        <v>217</v>
      </c>
    </row>
    <row r="33" spans="1:10" ht="33.75" customHeight="1" x14ac:dyDescent="0.25">
      <c r="A33" s="124" t="s">
        <v>218</v>
      </c>
      <c r="B33" s="125" t="s">
        <v>219</v>
      </c>
      <c r="C33" s="151" t="s">
        <v>257</v>
      </c>
      <c r="D33" s="151" t="s">
        <v>258</v>
      </c>
      <c r="E33" s="125" t="s">
        <v>266</v>
      </c>
      <c r="F33" s="130" t="s">
        <v>259</v>
      </c>
      <c r="G33" s="125" t="s">
        <v>263</v>
      </c>
      <c r="H33" s="125" t="s">
        <v>267</v>
      </c>
      <c r="I33" s="125" t="s">
        <v>220</v>
      </c>
    </row>
    <row r="34" spans="1:10" x14ac:dyDescent="0.25">
      <c r="A34" s="4" t="s">
        <v>221</v>
      </c>
      <c r="B34" s="4" t="s">
        <v>223</v>
      </c>
      <c r="C34" s="4"/>
      <c r="D34" s="4">
        <v>357</v>
      </c>
      <c r="E34" s="126">
        <v>5000</v>
      </c>
      <c r="F34" s="131">
        <v>100</v>
      </c>
      <c r="G34" s="147" t="str">
        <f>IF(C34="","",$C34*1000/$B$8)</f>
        <v/>
      </c>
      <c r="H34" s="147">
        <f>IF(D34="","",$D34*1000/$B$8)</f>
        <v>1422.3107569721114</v>
      </c>
      <c r="I34" s="157">
        <f>IF(G34="",(IF(H34&lt;F34,1,IF(H34&lt;E34,1/(F34-E34)*H34+E34/(E34-F34),0))),(IF(G34&lt;F34,1,IF(G34&lt;E34,1/(F34-E34)*G34+E34/(E34-F34),0))))</f>
        <v>0.73014066184242621</v>
      </c>
      <c r="J34" s="156"/>
    </row>
    <row r="35" spans="1:10" x14ac:dyDescent="0.25">
      <c r="A35" s="4" t="s">
        <v>221</v>
      </c>
      <c r="B35" s="4" t="s">
        <v>223</v>
      </c>
      <c r="C35" s="4"/>
      <c r="D35" s="4">
        <v>5</v>
      </c>
      <c r="E35" s="126">
        <v>5000</v>
      </c>
      <c r="F35" s="131">
        <v>100</v>
      </c>
      <c r="G35" s="147" t="str">
        <f t="shared" ref="G35:G38" si="0">IF(C35="","",$C35*1000/$B$8)</f>
        <v/>
      </c>
      <c r="H35" s="147">
        <f t="shared" ref="H35:H38" si="1">IF(D35="","",$D35*1000/$B$8)</f>
        <v>19.920318725099602</v>
      </c>
      <c r="I35" s="157">
        <f t="shared" ref="I35:I38" si="2">IF(G35="",(IF(H35&lt;F35,1,IF(H35&lt;E35,1/(F35-E35)*H35+E35/(E35-F35),0))),(IF(G35&lt;F35,1,IF(G35&lt;E35,1/(F35-E35)*G35+E35/(E35-F35),0))))</f>
        <v>1</v>
      </c>
      <c r="J35" s="156"/>
    </row>
    <row r="36" spans="1:10" x14ac:dyDescent="0.25">
      <c r="A36" s="4" t="s">
        <v>221</v>
      </c>
      <c r="B36" s="4" t="s">
        <v>223</v>
      </c>
      <c r="C36" s="4">
        <v>38</v>
      </c>
      <c r="D36" s="4"/>
      <c r="E36" s="126">
        <v>1000</v>
      </c>
      <c r="F36" s="131">
        <v>0</v>
      </c>
      <c r="G36" s="147">
        <f t="shared" si="0"/>
        <v>151.39442231075697</v>
      </c>
      <c r="H36" s="147" t="str">
        <f t="shared" si="1"/>
        <v/>
      </c>
      <c r="I36" s="157">
        <f t="shared" si="2"/>
        <v>0.84860557768924305</v>
      </c>
      <c r="J36" s="156"/>
    </row>
    <row r="37" spans="1:10" x14ac:dyDescent="0.25">
      <c r="A37" s="4" t="s">
        <v>221</v>
      </c>
      <c r="B37" s="4" t="s">
        <v>223</v>
      </c>
      <c r="C37" s="4">
        <v>129</v>
      </c>
      <c r="D37" s="4"/>
      <c r="E37" s="126">
        <v>500</v>
      </c>
      <c r="F37" s="131">
        <v>0</v>
      </c>
      <c r="G37" s="147">
        <f t="shared" si="0"/>
        <v>513.94422310756977</v>
      </c>
      <c r="H37" s="147" t="str">
        <f t="shared" si="1"/>
        <v/>
      </c>
      <c r="I37" s="157">
        <f t="shared" si="2"/>
        <v>0</v>
      </c>
      <c r="J37" s="156"/>
    </row>
    <row r="38" spans="1:10" x14ac:dyDescent="0.25">
      <c r="A38" s="4" t="s">
        <v>221</v>
      </c>
      <c r="B38" s="4" t="s">
        <v>223</v>
      </c>
      <c r="C38" s="4"/>
      <c r="D38" s="4">
        <v>64</v>
      </c>
      <c r="E38" s="126">
        <v>3000</v>
      </c>
      <c r="F38" s="131">
        <v>150</v>
      </c>
      <c r="G38" s="147" t="str">
        <f t="shared" si="0"/>
        <v/>
      </c>
      <c r="H38" s="147">
        <f t="shared" si="1"/>
        <v>254.9800796812749</v>
      </c>
      <c r="I38" s="157">
        <f t="shared" si="2"/>
        <v>0.96316488432235969</v>
      </c>
      <c r="J38" s="156"/>
    </row>
    <row r="39" spans="1:10" x14ac:dyDescent="0.25">
      <c r="E39" s="152"/>
      <c r="F39" s="152"/>
      <c r="G39" s="153"/>
      <c r="I39" s="154"/>
    </row>
    <row r="43" spans="1:10" x14ac:dyDescent="0.25">
      <c r="D43" s="162"/>
    </row>
    <row r="44" spans="1:10" x14ac:dyDescent="0.25">
      <c r="D44" s="162"/>
    </row>
  </sheetData>
  <dataValidations count="2">
    <dataValidation type="decimal" allowBlank="1" showInputMessage="1" showErrorMessage="1" errorTitle="Achtung Eingabebereich" error="0 bis 1" sqref="I39" xr:uid="{00000000-0002-0000-0500-000000000000}">
      <formula1>0</formula1>
      <formula2>1</formula2>
    </dataValidation>
    <dataValidation type="whole" allowBlank="1" showInputMessage="1" showErrorMessage="1" errorTitle="Attention plage de valeurs" error="0-999999 [m2 ou nombre d'individus]" sqref="E19:F23 E34:F39" xr:uid="{00000000-0002-0000-0500-000001000000}">
      <formula1>0</formula1>
      <formula2>999999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10"/>
  <sheetViews>
    <sheetView zoomScaleNormal="100" workbookViewId="0">
      <selection activeCell="B7" sqref="B7"/>
    </sheetView>
  </sheetViews>
  <sheetFormatPr defaultColWidth="11.42578125" defaultRowHeight="15" x14ac:dyDescent="0.25"/>
  <cols>
    <col min="1" max="1" width="6.140625" customWidth="1"/>
    <col min="2" max="2" width="44.28515625" customWidth="1"/>
    <col min="3" max="3" width="15" customWidth="1"/>
  </cols>
  <sheetData>
    <row r="1" spans="1:12" ht="26.25" x14ac:dyDescent="0.4">
      <c r="A1" s="1" t="s">
        <v>224</v>
      </c>
      <c r="L1" s="1"/>
    </row>
    <row r="2" spans="1:12" x14ac:dyDescent="0.25">
      <c r="A2" s="78" t="s">
        <v>323</v>
      </c>
    </row>
    <row r="4" spans="1:12" x14ac:dyDescent="0.25">
      <c r="A4" t="s">
        <v>324</v>
      </c>
    </row>
    <row r="5" spans="1:12" x14ac:dyDescent="0.25">
      <c r="A5" s="145" t="s">
        <v>247</v>
      </c>
    </row>
    <row r="7" spans="1:12" x14ac:dyDescent="0.25">
      <c r="A7" s="2" t="s">
        <v>349</v>
      </c>
    </row>
    <row r="9" spans="1:12" ht="15" customHeight="1" x14ac:dyDescent="0.25">
      <c r="A9" s="186" t="s">
        <v>325</v>
      </c>
      <c r="B9" s="187" t="s">
        <v>326</v>
      </c>
      <c r="C9" s="188"/>
    </row>
    <row r="10" spans="1:12" x14ac:dyDescent="0.25">
      <c r="A10" s="186" t="s">
        <v>327</v>
      </c>
      <c r="B10" s="189" t="s">
        <v>328</v>
      </c>
      <c r="C10" s="190">
        <f>IF(C9&lt;0.100001,0,IF(C9&lt;0.51,(C9-0.1)*2.5,1))</f>
        <v>0</v>
      </c>
    </row>
  </sheetData>
  <dataValidations count="1">
    <dataValidation type="decimal" allowBlank="1" showInputMessage="1" showErrorMessage="1" errorTitle="Achtung Eingabebereich" error="0-1 [Dezimalzahl]" sqref="C9:C10" xr:uid="{7E0FC443-2BCD-4849-AE4C-AABCE14B7D03}">
      <formula1>0</formula1>
      <formula2>1</formula2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27"/>
  <sheetViews>
    <sheetView zoomScaleNormal="100" workbookViewId="0">
      <selection activeCell="A4" sqref="A4"/>
    </sheetView>
  </sheetViews>
  <sheetFormatPr defaultColWidth="11.42578125" defaultRowHeight="15" x14ac:dyDescent="0.25"/>
  <cols>
    <col min="1" max="1" width="11.42578125" style="14"/>
    <col min="2" max="2" width="61.140625" style="14" bestFit="1" customWidth="1"/>
    <col min="3" max="6" width="11.42578125" style="14"/>
    <col min="7" max="7" width="41" style="14" bestFit="1" customWidth="1"/>
    <col min="8" max="10" width="11.42578125" style="14"/>
    <col min="11" max="11" width="10.85546875" style="14" customWidth="1"/>
    <col min="12" max="12" width="45.85546875" style="14" customWidth="1"/>
    <col min="13" max="16384" width="11.42578125" style="14"/>
  </cols>
  <sheetData>
    <row r="1" spans="1:15" ht="26.25" x14ac:dyDescent="0.25">
      <c r="A1" s="16" t="s">
        <v>278</v>
      </c>
      <c r="F1" s="16" t="s">
        <v>279</v>
      </c>
    </row>
    <row r="2" spans="1:15" x14ac:dyDescent="0.25">
      <c r="A2" s="56" t="s">
        <v>243</v>
      </c>
    </row>
    <row r="3" spans="1:15" x14ac:dyDescent="0.25">
      <c r="A3" s="56"/>
    </row>
    <row r="4" spans="1:15" x14ac:dyDescent="0.25">
      <c r="A4" s="145" t="s">
        <v>247</v>
      </c>
      <c r="H4" s="107"/>
    </row>
    <row r="5" spans="1:15" x14ac:dyDescent="0.25">
      <c r="O5" s="107"/>
    </row>
    <row r="6" spans="1:15" x14ac:dyDescent="0.25">
      <c r="A6" s="22" t="s">
        <v>47</v>
      </c>
      <c r="F6" s="8" t="s">
        <v>271</v>
      </c>
      <c r="K6" s="8" t="s">
        <v>272</v>
      </c>
    </row>
    <row r="7" spans="1:15" x14ac:dyDescent="0.25">
      <c r="A7" s="127" t="s">
        <v>225</v>
      </c>
      <c r="B7" s="148" t="s">
        <v>248</v>
      </c>
      <c r="C7" s="150">
        <v>50</v>
      </c>
      <c r="F7" s="127" t="s">
        <v>226</v>
      </c>
      <c r="G7" s="128" t="s">
        <v>227</v>
      </c>
      <c r="H7" s="10">
        <v>5</v>
      </c>
      <c r="K7" s="127" t="s">
        <v>239</v>
      </c>
      <c r="L7" s="128" t="s">
        <v>240</v>
      </c>
      <c r="M7" s="23">
        <f>SUM(C9:C10)</f>
        <v>30</v>
      </c>
    </row>
    <row r="8" spans="1:15" x14ac:dyDescent="0.25">
      <c r="A8" s="127" t="s">
        <v>230</v>
      </c>
      <c r="B8" s="148" t="s">
        <v>249</v>
      </c>
      <c r="C8" s="150">
        <v>0</v>
      </c>
      <c r="F8" s="127" t="s">
        <v>228</v>
      </c>
      <c r="G8" s="128" t="s">
        <v>229</v>
      </c>
      <c r="H8" s="23">
        <f>-(IF(C7=0,0,LN(C7/100)*C7/100)+IF(C8=0,0,LN(C8/100)*C8/100)+IF(C9=0,0,LN(C9/100)*C9/100)+IF(C10=0,0,LN(C10/100)*C10/100)+IF(C11=0,0,LN(C11/100)*C11/100)+IF(C12=0,0,LN(C12/100)*C12/100)+IF(C13=0,0,LN(C13/100)*C13/100))</f>
        <v>1.2007907475157076</v>
      </c>
      <c r="K8" s="127" t="s">
        <v>241</v>
      </c>
      <c r="L8" s="128" t="s">
        <v>242</v>
      </c>
      <c r="M8" s="111">
        <f>IF(M7&lt;10,0,IF(M7&lt;20,0.2,IF(M7&lt;30,0.4,IF(M7&lt;40,0.6,IF(M7&lt;50,0.8,IF(M7&lt;60,1,IF(M7&lt;70,0.8,IF(M7&lt;80,0.6,0.5))))))))</f>
        <v>0.6</v>
      </c>
      <c r="N8" s="129"/>
    </row>
    <row r="9" spans="1:15" x14ac:dyDescent="0.25">
      <c r="A9" s="127" t="s">
        <v>231</v>
      </c>
      <c r="B9" s="148" t="s">
        <v>250</v>
      </c>
      <c r="C9" s="150">
        <v>30</v>
      </c>
      <c r="G9" s="6" t="s">
        <v>275</v>
      </c>
      <c r="H9" s="20">
        <f>IF(H7=3,0.34,IF(H7=4,0.43,IF(H7=5,0.5,IF(H7=6,0.55,IF(H7=7,0.6,"NA")))))</f>
        <v>0.5</v>
      </c>
    </row>
    <row r="10" spans="1:15" x14ac:dyDescent="0.25">
      <c r="A10" s="127" t="s">
        <v>232</v>
      </c>
      <c r="B10" s="148" t="s">
        <v>251</v>
      </c>
      <c r="C10" s="150">
        <v>0</v>
      </c>
      <c r="G10" s="6" t="s">
        <v>276</v>
      </c>
      <c r="H10" s="20">
        <f>IF(H7=3,0.95,IF(H7=4,1.2,IF(H7=5,1.4,IF(H7=6,1.55,IF(H7=7,1.7,"NA")))))</f>
        <v>1.4</v>
      </c>
    </row>
    <row r="11" spans="1:15" x14ac:dyDescent="0.25">
      <c r="A11" s="127" t="s">
        <v>235</v>
      </c>
      <c r="B11" s="148" t="s">
        <v>252</v>
      </c>
      <c r="C11" s="150">
        <v>9</v>
      </c>
      <c r="F11" s="127" t="s">
        <v>233</v>
      </c>
      <c r="G11" s="128" t="s">
        <v>234</v>
      </c>
      <c r="H11" s="111">
        <f>IF(H8 &lt; H9,0,IF(H8&lt;H10,1/(H10-H9)*H8+H9/(H9-H10),1))</f>
        <v>0.77865638612856403</v>
      </c>
      <c r="K11" s="8" t="s">
        <v>273</v>
      </c>
      <c r="L11" s="155"/>
    </row>
    <row r="12" spans="1:15" x14ac:dyDescent="0.25">
      <c r="A12" s="127" t="s">
        <v>236</v>
      </c>
      <c r="B12" s="148" t="s">
        <v>253</v>
      </c>
      <c r="C12" s="150">
        <v>1</v>
      </c>
    </row>
    <row r="13" spans="1:15" x14ac:dyDescent="0.25">
      <c r="A13" s="127" t="s">
        <v>237</v>
      </c>
      <c r="B13" s="148" t="s">
        <v>254</v>
      </c>
      <c r="C13" s="150">
        <v>10</v>
      </c>
    </row>
    <row r="14" spans="1:15" x14ac:dyDescent="0.25">
      <c r="A14" s="6"/>
      <c r="B14" s="149" t="s">
        <v>238</v>
      </c>
      <c r="C14" s="20">
        <f>SUM(C7:C13)</f>
        <v>100</v>
      </c>
      <c r="F14" s="194" t="s">
        <v>274</v>
      </c>
      <c r="G14" s="194"/>
      <c r="H14" s="194"/>
    </row>
    <row r="15" spans="1:15" x14ac:dyDescent="0.25">
      <c r="C15" s="105"/>
      <c r="F15" s="194"/>
      <c r="G15" s="194"/>
      <c r="H15" s="194"/>
    </row>
    <row r="27" spans="6:6" x14ac:dyDescent="0.25">
      <c r="F27" s="8" t="s">
        <v>277</v>
      </c>
    </row>
  </sheetData>
  <mergeCells count="1">
    <mergeCell ref="F14:H15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47150-5CDD-443D-B8B4-F4A90E9ACF92}">
  <dimension ref="A1:AN61"/>
  <sheetViews>
    <sheetView zoomScaleNormal="100" workbookViewId="0">
      <selection activeCell="C6" sqref="C6"/>
    </sheetView>
  </sheetViews>
  <sheetFormatPr defaultColWidth="11.42578125" defaultRowHeight="15" x14ac:dyDescent="0.25"/>
  <cols>
    <col min="1" max="1" width="16.85546875" customWidth="1"/>
    <col min="2" max="2" width="51.5703125" bestFit="1" customWidth="1"/>
    <col min="3" max="3" width="11.42578125" bestFit="1" customWidth="1"/>
    <col min="4" max="4" width="52.42578125" customWidth="1"/>
    <col min="5" max="5" width="14.7109375" customWidth="1"/>
    <col min="6" max="6" width="11.85546875" customWidth="1"/>
    <col min="7" max="7" width="9" bestFit="1" customWidth="1"/>
    <col min="8" max="8" width="11.140625" customWidth="1"/>
    <col min="9" max="9" width="6.85546875" bestFit="1" customWidth="1"/>
    <col min="10" max="10" width="11.85546875" customWidth="1"/>
    <col min="11" max="11" width="14.7109375" customWidth="1"/>
    <col min="12" max="12" width="12" customWidth="1"/>
    <col min="13" max="13" width="9" bestFit="1" customWidth="1"/>
    <col min="14" max="14" width="11" bestFit="1" customWidth="1"/>
    <col min="15" max="15" width="6.85546875" bestFit="1" customWidth="1"/>
    <col min="16" max="16" width="11.140625" customWidth="1"/>
    <col min="17" max="17" width="14.7109375" customWidth="1"/>
    <col min="18" max="18" width="11.85546875" customWidth="1"/>
    <col min="19" max="19" width="9" bestFit="1" customWidth="1"/>
    <col min="20" max="20" width="11" bestFit="1" customWidth="1"/>
    <col min="21" max="21" width="6.85546875" bestFit="1" customWidth="1"/>
    <col min="22" max="22" width="11" bestFit="1" customWidth="1"/>
    <col min="23" max="23" width="14.7109375" customWidth="1"/>
    <col min="24" max="24" width="11.85546875" customWidth="1"/>
    <col min="29" max="29" width="14.7109375" customWidth="1"/>
    <col min="30" max="30" width="11.85546875" customWidth="1"/>
    <col min="34" max="34" width="30.28515625" customWidth="1"/>
    <col min="35" max="35" width="14.7109375" customWidth="1"/>
    <col min="36" max="36" width="11.85546875" customWidth="1"/>
  </cols>
  <sheetData>
    <row r="1" spans="1:40" ht="26.25" x14ac:dyDescent="0.25">
      <c r="A1" s="11" t="s">
        <v>292</v>
      </c>
    </row>
    <row r="2" spans="1:40" x14ac:dyDescent="0.25">
      <c r="A2" s="78" t="s">
        <v>291</v>
      </c>
    </row>
    <row r="3" spans="1:40" ht="15.75" x14ac:dyDescent="0.25">
      <c r="A3" s="145" t="s">
        <v>247</v>
      </c>
      <c r="E3" s="172" t="s">
        <v>314</v>
      </c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  <c r="AL3" s="173"/>
      <c r="AM3" s="173"/>
      <c r="AN3" s="174"/>
    </row>
    <row r="4" spans="1:40" x14ac:dyDescent="0.25">
      <c r="E4" s="195" t="s">
        <v>337</v>
      </c>
      <c r="F4" s="195"/>
      <c r="G4" s="195"/>
      <c r="H4" s="195"/>
      <c r="I4" s="195"/>
      <c r="J4" s="195"/>
      <c r="K4" s="196" t="s">
        <v>338</v>
      </c>
      <c r="L4" s="196"/>
      <c r="M4" s="196"/>
      <c r="N4" s="196"/>
      <c r="O4" s="196"/>
      <c r="P4" s="196"/>
      <c r="Q4" s="168" t="s">
        <v>339</v>
      </c>
      <c r="R4" s="169"/>
      <c r="S4" s="169"/>
      <c r="T4" s="169"/>
      <c r="U4" s="169"/>
      <c r="V4" s="169"/>
      <c r="W4" s="197" t="s">
        <v>340</v>
      </c>
      <c r="X4" s="197"/>
      <c r="Y4" s="197"/>
      <c r="Z4" s="197"/>
      <c r="AA4" s="197"/>
      <c r="AB4" s="197"/>
      <c r="AC4" s="170" t="s">
        <v>341</v>
      </c>
      <c r="AD4" s="171"/>
      <c r="AE4" s="171"/>
      <c r="AF4" s="171"/>
      <c r="AG4" s="171"/>
      <c r="AH4" s="171"/>
      <c r="AI4" s="198" t="s">
        <v>306</v>
      </c>
      <c r="AJ4" s="198"/>
      <c r="AK4" s="198"/>
      <c r="AL4" s="198"/>
      <c r="AM4" s="198"/>
      <c r="AN4" s="198"/>
    </row>
    <row r="5" spans="1:40" ht="45" x14ac:dyDescent="0.25">
      <c r="A5" s="183" t="s">
        <v>321</v>
      </c>
      <c r="E5" s="182" t="s">
        <v>293</v>
      </c>
      <c r="F5" s="182" t="s">
        <v>294</v>
      </c>
      <c r="G5" s="182" t="s">
        <v>302</v>
      </c>
      <c r="H5" s="182" t="s">
        <v>303</v>
      </c>
      <c r="I5" s="182" t="s">
        <v>304</v>
      </c>
      <c r="J5" s="182" t="s">
        <v>305</v>
      </c>
      <c r="K5" s="182" t="s">
        <v>293</v>
      </c>
      <c r="L5" s="182" t="s">
        <v>294</v>
      </c>
      <c r="M5" s="182" t="s">
        <v>302</v>
      </c>
      <c r="N5" s="182" t="s">
        <v>303</v>
      </c>
      <c r="O5" s="182" t="s">
        <v>304</v>
      </c>
      <c r="P5" s="182" t="s">
        <v>305</v>
      </c>
      <c r="Q5" s="182" t="s">
        <v>293</v>
      </c>
      <c r="R5" s="182" t="s">
        <v>294</v>
      </c>
      <c r="S5" s="182" t="s">
        <v>302</v>
      </c>
      <c r="T5" s="182" t="s">
        <v>303</v>
      </c>
      <c r="U5" s="182" t="s">
        <v>304</v>
      </c>
      <c r="V5" s="182" t="s">
        <v>305</v>
      </c>
      <c r="W5" s="182" t="s">
        <v>293</v>
      </c>
      <c r="X5" s="182" t="s">
        <v>294</v>
      </c>
      <c r="Y5" s="182" t="s">
        <v>302</v>
      </c>
      <c r="Z5" s="182" t="s">
        <v>303</v>
      </c>
      <c r="AA5" s="182" t="s">
        <v>304</v>
      </c>
      <c r="AB5" s="182" t="s">
        <v>305</v>
      </c>
      <c r="AC5" s="182" t="s">
        <v>293</v>
      </c>
      <c r="AD5" s="182" t="s">
        <v>294</v>
      </c>
      <c r="AE5" s="182" t="s">
        <v>302</v>
      </c>
      <c r="AF5" s="182" t="s">
        <v>303</v>
      </c>
      <c r="AG5" s="182" t="s">
        <v>304</v>
      </c>
      <c r="AH5" s="182" t="s">
        <v>305</v>
      </c>
      <c r="AI5" s="182" t="s">
        <v>293</v>
      </c>
      <c r="AJ5" s="182" t="s">
        <v>294</v>
      </c>
      <c r="AK5" s="182" t="s">
        <v>302</v>
      </c>
      <c r="AL5" s="182" t="s">
        <v>303</v>
      </c>
      <c r="AM5" s="182" t="s">
        <v>304</v>
      </c>
      <c r="AN5" s="182" t="s">
        <v>305</v>
      </c>
    </row>
    <row r="6" spans="1:40" x14ac:dyDescent="0.25">
      <c r="A6" s="25" t="s">
        <v>298</v>
      </c>
      <c r="B6" s="166" t="s">
        <v>299</v>
      </c>
      <c r="C6" s="126" t="s">
        <v>317</v>
      </c>
      <c r="D6" s="192" t="s">
        <v>336</v>
      </c>
      <c r="E6" s="63">
        <v>0</v>
      </c>
      <c r="F6" s="38">
        <v>0</v>
      </c>
      <c r="G6" s="63">
        <v>0</v>
      </c>
      <c r="H6" s="38">
        <v>0</v>
      </c>
      <c r="I6" s="63">
        <v>0</v>
      </c>
      <c r="J6" s="38">
        <v>0</v>
      </c>
      <c r="K6" s="63">
        <v>0</v>
      </c>
      <c r="L6" s="38">
        <v>0</v>
      </c>
      <c r="M6" s="63">
        <v>0</v>
      </c>
      <c r="N6" s="38">
        <v>0</v>
      </c>
      <c r="O6" s="63">
        <v>0</v>
      </c>
      <c r="P6" s="38">
        <v>0</v>
      </c>
      <c r="Q6" s="63">
        <v>0</v>
      </c>
      <c r="R6" s="38">
        <v>0</v>
      </c>
      <c r="S6" s="63">
        <v>0</v>
      </c>
      <c r="T6" s="38">
        <v>0</v>
      </c>
      <c r="U6" s="63">
        <v>0</v>
      </c>
      <c r="V6" s="38">
        <v>0</v>
      </c>
      <c r="W6" s="63">
        <v>0</v>
      </c>
      <c r="X6" s="38">
        <v>0</v>
      </c>
      <c r="Y6" s="63">
        <v>0</v>
      </c>
      <c r="Z6" s="38">
        <v>0</v>
      </c>
      <c r="AA6" s="63">
        <v>0</v>
      </c>
      <c r="AB6" s="38">
        <v>0</v>
      </c>
      <c r="AC6" s="63">
        <v>0</v>
      </c>
      <c r="AD6" s="38">
        <v>0</v>
      </c>
      <c r="AE6" s="63">
        <v>0</v>
      </c>
      <c r="AF6" s="38">
        <v>0</v>
      </c>
      <c r="AG6" s="63">
        <v>0</v>
      </c>
      <c r="AH6" s="38">
        <v>0</v>
      </c>
      <c r="AI6" s="63">
        <v>0</v>
      </c>
      <c r="AJ6" s="38">
        <v>0</v>
      </c>
      <c r="AK6" s="63">
        <v>0</v>
      </c>
      <c r="AL6" s="38">
        <v>0</v>
      </c>
      <c r="AM6" s="63">
        <v>0</v>
      </c>
      <c r="AN6" s="38">
        <v>0</v>
      </c>
    </row>
    <row r="7" spans="1:40" x14ac:dyDescent="0.25">
      <c r="A7" s="25" t="s">
        <v>300</v>
      </c>
      <c r="B7" s="25" t="s">
        <v>301</v>
      </c>
      <c r="C7" s="126" t="s">
        <v>318</v>
      </c>
      <c r="D7" s="192" t="s">
        <v>336</v>
      </c>
      <c r="E7" s="63">
        <v>1</v>
      </c>
      <c r="F7" s="38">
        <v>1.8499999999999999E-2</v>
      </c>
      <c r="G7" s="63">
        <v>1</v>
      </c>
      <c r="H7" s="38">
        <v>0.111</v>
      </c>
      <c r="I7" s="63">
        <v>1</v>
      </c>
      <c r="J7" s="38">
        <v>3.85E-2</v>
      </c>
      <c r="K7" s="63">
        <v>1</v>
      </c>
      <c r="L7" s="38">
        <v>1.8499999999999999E-2</v>
      </c>
      <c r="M7" s="63">
        <v>1</v>
      </c>
      <c r="N7" s="38">
        <v>0.1</v>
      </c>
      <c r="O7" s="63">
        <v>1</v>
      </c>
      <c r="P7" s="38">
        <v>3.85E-2</v>
      </c>
      <c r="Q7" s="63">
        <v>1</v>
      </c>
      <c r="R7" s="38">
        <v>1.8499999999999999E-2</v>
      </c>
      <c r="S7" s="63">
        <v>1</v>
      </c>
      <c r="T7" s="38">
        <v>0.111</v>
      </c>
      <c r="U7" s="63">
        <v>1</v>
      </c>
      <c r="V7" s="38">
        <v>3.85E-2</v>
      </c>
      <c r="W7" s="63">
        <v>1</v>
      </c>
      <c r="X7" s="38">
        <v>1.8499999999999999E-2</v>
      </c>
      <c r="Y7" s="63">
        <v>1</v>
      </c>
      <c r="Z7" s="38">
        <v>0.14285700000000001</v>
      </c>
      <c r="AA7" s="63">
        <v>1</v>
      </c>
      <c r="AB7" s="38">
        <v>3.85E-2</v>
      </c>
      <c r="AC7" s="63">
        <v>1</v>
      </c>
      <c r="AD7" s="38">
        <v>1.8499999999999999E-2</v>
      </c>
      <c r="AE7" s="63">
        <v>1</v>
      </c>
      <c r="AF7" s="38">
        <v>0.1666</v>
      </c>
      <c r="AG7" s="63">
        <v>1</v>
      </c>
      <c r="AH7" s="38">
        <v>3.85E-2</v>
      </c>
      <c r="AI7" s="63">
        <v>1</v>
      </c>
      <c r="AJ7" s="38">
        <v>1.8499999999999999E-2</v>
      </c>
      <c r="AK7" s="63">
        <v>1</v>
      </c>
      <c r="AL7" s="38">
        <v>0.1666</v>
      </c>
      <c r="AM7" s="63">
        <v>1</v>
      </c>
      <c r="AN7" s="38">
        <v>3.85E-2</v>
      </c>
    </row>
    <row r="8" spans="1:40" ht="15" customHeight="1" x14ac:dyDescent="0.25">
      <c r="A8" s="4" t="s">
        <v>313</v>
      </c>
      <c r="B8" s="4" t="s">
        <v>322</v>
      </c>
      <c r="C8" s="191">
        <v>486350</v>
      </c>
      <c r="E8" s="63">
        <v>2</v>
      </c>
      <c r="F8" s="38">
        <v>3.6999999999999998E-2</v>
      </c>
      <c r="G8" s="63">
        <v>2</v>
      </c>
      <c r="H8" s="38">
        <v>0.222</v>
      </c>
      <c r="I8" s="63">
        <v>2</v>
      </c>
      <c r="J8" s="38">
        <v>7.6999999999999999E-2</v>
      </c>
      <c r="K8" s="63">
        <v>2</v>
      </c>
      <c r="L8" s="38">
        <v>3.6999999999999998E-2</v>
      </c>
      <c r="M8" s="63">
        <v>2</v>
      </c>
      <c r="N8" s="38">
        <v>0.2</v>
      </c>
      <c r="O8" s="63">
        <v>2</v>
      </c>
      <c r="P8" s="38">
        <v>7.6999999999999999E-2</v>
      </c>
      <c r="Q8" s="63">
        <v>2</v>
      </c>
      <c r="R8" s="38">
        <v>3.6999999999999998E-2</v>
      </c>
      <c r="S8" s="63">
        <v>2</v>
      </c>
      <c r="T8" s="38">
        <v>0.222</v>
      </c>
      <c r="U8" s="63">
        <v>2</v>
      </c>
      <c r="V8" s="38">
        <v>7.6999999999999999E-2</v>
      </c>
      <c r="W8" s="63">
        <v>2</v>
      </c>
      <c r="X8" s="38">
        <v>3.6999999999999998E-2</v>
      </c>
      <c r="Y8" s="63">
        <v>2</v>
      </c>
      <c r="Z8" s="38">
        <v>0.28571400000000002</v>
      </c>
      <c r="AA8" s="63">
        <v>2</v>
      </c>
      <c r="AB8" s="38">
        <v>7.6999999999999999E-2</v>
      </c>
      <c r="AC8" s="63">
        <v>2</v>
      </c>
      <c r="AD8" s="38">
        <v>3.6999999999999998E-2</v>
      </c>
      <c r="AE8" s="63">
        <v>2</v>
      </c>
      <c r="AF8" s="38">
        <v>0.3332</v>
      </c>
      <c r="AG8" s="63">
        <v>2</v>
      </c>
      <c r="AH8" s="38">
        <v>7.6999999999999999E-2</v>
      </c>
      <c r="AI8" s="63">
        <v>2</v>
      </c>
      <c r="AJ8" s="38">
        <v>3.6999999999999998E-2</v>
      </c>
      <c r="AK8" s="63">
        <v>2</v>
      </c>
      <c r="AL8" s="38">
        <v>0.3332</v>
      </c>
      <c r="AM8" s="63">
        <v>2</v>
      </c>
      <c r="AN8" s="38">
        <v>7.6999999999999999E-2</v>
      </c>
    </row>
    <row r="9" spans="1:40" x14ac:dyDescent="0.25">
      <c r="A9" s="25" t="s">
        <v>295</v>
      </c>
      <c r="B9" s="25" t="s">
        <v>296</v>
      </c>
      <c r="C9" s="126">
        <v>22</v>
      </c>
      <c r="E9" s="63">
        <v>3</v>
      </c>
      <c r="F9" s="38">
        <v>5.5500000000000001E-2</v>
      </c>
      <c r="G9" s="63">
        <v>3</v>
      </c>
      <c r="H9" s="38">
        <v>0.33300000000000002</v>
      </c>
      <c r="I9" s="63">
        <v>3</v>
      </c>
      <c r="J9" s="38">
        <v>0.11550000000000001</v>
      </c>
      <c r="K9" s="63">
        <v>3</v>
      </c>
      <c r="L9" s="38">
        <v>5.5500000000000001E-2</v>
      </c>
      <c r="M9" s="63">
        <v>3</v>
      </c>
      <c r="N9" s="38">
        <v>0.3</v>
      </c>
      <c r="O9" s="63">
        <v>3</v>
      </c>
      <c r="P9" s="38">
        <v>0.11550000000000001</v>
      </c>
      <c r="Q9" s="63">
        <v>3</v>
      </c>
      <c r="R9" s="38">
        <v>5.5500000000000001E-2</v>
      </c>
      <c r="S9" s="63">
        <v>3</v>
      </c>
      <c r="T9" s="38">
        <v>0.33300000000000002</v>
      </c>
      <c r="U9" s="63">
        <v>3</v>
      </c>
      <c r="V9" s="38">
        <v>0.11550000000000001</v>
      </c>
      <c r="W9" s="63">
        <v>3</v>
      </c>
      <c r="X9" s="38">
        <v>5.5500000000000001E-2</v>
      </c>
      <c r="Y9" s="63">
        <v>3</v>
      </c>
      <c r="Z9" s="38">
        <v>0.42857099999999998</v>
      </c>
      <c r="AA9" s="63">
        <v>3</v>
      </c>
      <c r="AB9" s="38">
        <v>0.11550000000000001</v>
      </c>
      <c r="AC9" s="63">
        <v>3</v>
      </c>
      <c r="AD9" s="38">
        <v>5.5500000000000001E-2</v>
      </c>
      <c r="AE9" s="63">
        <v>3</v>
      </c>
      <c r="AF9" s="38">
        <v>0.49980000000000002</v>
      </c>
      <c r="AG9" s="63">
        <v>3</v>
      </c>
      <c r="AH9" s="38">
        <v>0.11550000000000001</v>
      </c>
      <c r="AI9" s="63">
        <v>3</v>
      </c>
      <c r="AJ9" s="38">
        <v>5.5500000000000001E-2</v>
      </c>
      <c r="AK9" s="63">
        <v>3</v>
      </c>
      <c r="AL9" s="38">
        <v>0.49980000000000002</v>
      </c>
      <c r="AM9" s="63">
        <v>3</v>
      </c>
      <c r="AN9" s="38">
        <v>0.11550000000000001</v>
      </c>
    </row>
    <row r="10" spans="1:40" x14ac:dyDescent="0.25">
      <c r="A10" s="25" t="s">
        <v>309</v>
      </c>
      <c r="B10" s="167" t="s">
        <v>310</v>
      </c>
      <c r="C10" s="126">
        <v>111</v>
      </c>
      <c r="E10" s="63">
        <v>4</v>
      </c>
      <c r="F10" s="38">
        <v>7.3999999999999996E-2</v>
      </c>
      <c r="G10" s="63">
        <v>4</v>
      </c>
      <c r="H10" s="38">
        <v>0.44400000000000001</v>
      </c>
      <c r="I10" s="63">
        <v>4</v>
      </c>
      <c r="J10" s="38">
        <v>0.154</v>
      </c>
      <c r="K10" s="63">
        <v>4</v>
      </c>
      <c r="L10" s="38">
        <v>7.3999999999999996E-2</v>
      </c>
      <c r="M10" s="63">
        <v>4</v>
      </c>
      <c r="N10" s="38">
        <v>0.4</v>
      </c>
      <c r="O10" s="63">
        <v>4</v>
      </c>
      <c r="P10" s="38">
        <v>0.154</v>
      </c>
      <c r="Q10" s="63">
        <v>4</v>
      </c>
      <c r="R10" s="38">
        <v>7.3999999999999996E-2</v>
      </c>
      <c r="S10" s="63">
        <v>4</v>
      </c>
      <c r="T10" s="38">
        <v>0.44400000000000001</v>
      </c>
      <c r="U10" s="63">
        <v>4</v>
      </c>
      <c r="V10" s="38">
        <v>0.154</v>
      </c>
      <c r="W10" s="63">
        <v>4</v>
      </c>
      <c r="X10" s="38">
        <v>7.3999999999999996E-2</v>
      </c>
      <c r="Y10" s="63">
        <v>4</v>
      </c>
      <c r="Z10" s="38">
        <v>0.57142800000000005</v>
      </c>
      <c r="AA10" s="63">
        <v>4</v>
      </c>
      <c r="AB10" s="38">
        <v>0.154</v>
      </c>
      <c r="AC10" s="63">
        <v>4</v>
      </c>
      <c r="AD10" s="38">
        <v>7.3999999999999996E-2</v>
      </c>
      <c r="AE10" s="63">
        <v>4</v>
      </c>
      <c r="AF10" s="38">
        <v>0.66639999999999999</v>
      </c>
      <c r="AG10" s="63">
        <v>4</v>
      </c>
      <c r="AH10" s="38">
        <v>0.154</v>
      </c>
      <c r="AI10" s="63">
        <v>4</v>
      </c>
      <c r="AJ10" s="38">
        <v>7.3999999999999996E-2</v>
      </c>
      <c r="AK10" s="63">
        <v>4</v>
      </c>
      <c r="AL10" s="38">
        <v>0.66639999999999999</v>
      </c>
      <c r="AM10" s="63">
        <v>4</v>
      </c>
      <c r="AN10" s="38">
        <v>0.154</v>
      </c>
    </row>
    <row r="11" spans="1:40" x14ac:dyDescent="0.25">
      <c r="A11" s="25" t="s">
        <v>307</v>
      </c>
      <c r="B11" s="167" t="s">
        <v>308</v>
      </c>
      <c r="C11" s="4">
        <v>5</v>
      </c>
      <c r="E11" s="63">
        <v>5</v>
      </c>
      <c r="F11" s="38">
        <v>9.2499999999999999E-2</v>
      </c>
      <c r="G11" s="63">
        <v>5</v>
      </c>
      <c r="H11" s="38">
        <v>0.55500000000000005</v>
      </c>
      <c r="I11" s="63">
        <v>5</v>
      </c>
      <c r="J11" s="38">
        <v>0.1925</v>
      </c>
      <c r="K11" s="63">
        <v>5</v>
      </c>
      <c r="L11" s="38">
        <v>9.2499999999999999E-2</v>
      </c>
      <c r="M11" s="63">
        <v>5</v>
      </c>
      <c r="N11" s="38">
        <v>0.5</v>
      </c>
      <c r="O11" s="63">
        <v>5</v>
      </c>
      <c r="P11" s="38">
        <v>0.1925</v>
      </c>
      <c r="Q11" s="63">
        <v>5</v>
      </c>
      <c r="R11" s="38">
        <v>9.2499999999999999E-2</v>
      </c>
      <c r="S11" s="63">
        <v>5</v>
      </c>
      <c r="T11" s="38">
        <v>0.55500000000000005</v>
      </c>
      <c r="U11" s="63">
        <v>5</v>
      </c>
      <c r="V11" s="38">
        <v>0.1925</v>
      </c>
      <c r="W11" s="63">
        <v>5</v>
      </c>
      <c r="X11" s="38">
        <v>9.2499999999999999E-2</v>
      </c>
      <c r="Y11" s="63">
        <v>5</v>
      </c>
      <c r="Z11" s="38">
        <v>0.71428499999999995</v>
      </c>
      <c r="AA11" s="63">
        <v>5</v>
      </c>
      <c r="AB11" s="38">
        <v>0.1925</v>
      </c>
      <c r="AC11" s="63">
        <v>5</v>
      </c>
      <c r="AD11" s="38">
        <v>9.2499999999999999E-2</v>
      </c>
      <c r="AE11" s="63">
        <v>5</v>
      </c>
      <c r="AF11" s="38">
        <v>0.83299999999999996</v>
      </c>
      <c r="AG11" s="63">
        <v>5</v>
      </c>
      <c r="AH11" s="38">
        <v>0.1925</v>
      </c>
      <c r="AI11" s="63">
        <v>5</v>
      </c>
      <c r="AJ11" s="38">
        <v>9.2499999999999999E-2</v>
      </c>
      <c r="AK11" s="63">
        <v>5</v>
      </c>
      <c r="AL11" s="38">
        <v>0.83299999999999996</v>
      </c>
      <c r="AM11" s="63">
        <v>5</v>
      </c>
      <c r="AN11" s="38">
        <v>0.1925</v>
      </c>
    </row>
    <row r="12" spans="1:40" x14ac:dyDescent="0.25">
      <c r="E12" s="63">
        <v>6</v>
      </c>
      <c r="F12" s="38">
        <v>0.111</v>
      </c>
      <c r="G12" s="63">
        <v>6</v>
      </c>
      <c r="H12" s="38">
        <v>0.66600000000000004</v>
      </c>
      <c r="I12" s="63">
        <v>6</v>
      </c>
      <c r="J12" s="38">
        <v>0.23100000000000001</v>
      </c>
      <c r="K12" s="63">
        <v>6</v>
      </c>
      <c r="L12" s="38">
        <v>0.111</v>
      </c>
      <c r="M12" s="63">
        <v>6</v>
      </c>
      <c r="N12" s="38">
        <v>0.6</v>
      </c>
      <c r="O12" s="63">
        <v>6</v>
      </c>
      <c r="P12" s="38">
        <v>0.23100000000000001</v>
      </c>
      <c r="Q12" s="63">
        <v>6</v>
      </c>
      <c r="R12" s="38">
        <v>0.111</v>
      </c>
      <c r="S12" s="63">
        <v>6</v>
      </c>
      <c r="T12" s="38">
        <v>0.66600000000000004</v>
      </c>
      <c r="U12" s="63">
        <v>6</v>
      </c>
      <c r="V12" s="38">
        <v>0.23100000000000001</v>
      </c>
      <c r="W12" s="63">
        <v>6</v>
      </c>
      <c r="X12" s="38">
        <v>0.111</v>
      </c>
      <c r="Y12" s="63">
        <v>6</v>
      </c>
      <c r="Z12" s="38">
        <v>0.85714199999999996</v>
      </c>
      <c r="AA12" s="63">
        <v>6</v>
      </c>
      <c r="AB12" s="38">
        <v>0.23100000000000001</v>
      </c>
      <c r="AC12" s="63">
        <v>6</v>
      </c>
      <c r="AD12" s="38">
        <v>0.111</v>
      </c>
      <c r="AE12" s="63">
        <v>6</v>
      </c>
      <c r="AF12" s="38">
        <v>0.99960000000000004</v>
      </c>
      <c r="AG12" s="63">
        <v>6</v>
      </c>
      <c r="AH12" s="38">
        <v>0.23100000000000001</v>
      </c>
      <c r="AI12" s="63">
        <v>6</v>
      </c>
      <c r="AJ12" s="38">
        <v>0.111</v>
      </c>
      <c r="AK12" s="63">
        <v>6</v>
      </c>
      <c r="AL12" s="38">
        <v>0.99960000000000004</v>
      </c>
      <c r="AM12" s="63">
        <v>6</v>
      </c>
      <c r="AN12" s="38">
        <v>0.23100000000000001</v>
      </c>
    </row>
    <row r="13" spans="1:40" x14ac:dyDescent="0.25">
      <c r="A13" s="4" t="s">
        <v>297</v>
      </c>
      <c r="B13" s="180" t="s">
        <v>335</v>
      </c>
      <c r="C13" s="184">
        <f>IF(AND(C7="Subalpin",OR(C6="Jura",C6="Mittelland")),"Achtung: Kombination Biogeoregion/Höhenstufe existiert nicht",IF(AND(C7="Subalpin",OR(C6="Alpennordflanke",C6="Westliche Zentralalpen",C6="Östliche Zentralalpen",C6="Alpensüdflanke")),_xlfn.XLOOKUP(C9,AI6:AI60,AJ6:AJ60,$F$61,0,1),IF(AND(C7="Alpin",OR(C6="Jura",C6="Mittelland",C6="Alpennordflanke",C6="Westliche Zentralalpen",C6="Östliche Zentralalpen",C6="Alpensüdflanke")),"Achtung: Bewertung zur alpinen Höhestufe existiert noch nicht -&gt; bitte Kontakt mit der Vogelwarte Sempach aufnehmen",IF(AND(C6="Jura",C7="Kollin"),_xlfn.XLOOKUP(C9,E6:E60,F6:F60,$F$61,0,1),IF(AND(C6="Jura",C7="Montan"),_xlfn.XLOOKUP(C9,W6:W60,X6:X60,$F$61,0,1),IF(AND(C6="Mittelland",C7="Kollin"),_xlfn.XLOOKUP(C9,K6:K60,L6:L60,$F$61,0,1),IF(AND(C6="Mittelland",C7="Montan"),_xlfn.XLOOKUP(C9,AC6:AC60,AD6:AD60,$F$61,0,1),IF(AND(C6="Alpennordflanke",C7="Kollin"),_xlfn.XLOOKUP(C9,K6:K60,L6:L60,$F$61,0,1),IF(AND(C6="Alpennordflanke",C7="Montan"),_xlfn.XLOOKUP(C9,AC6:AC60,AD6:AD60,$F$61,0,1),IF(AND(C6="Westliche Zentralalpen",C7="Kollin"),_xlfn.XLOOKUP(C9,Q6:Q60,R6:R60,$F$61,0,1),IF(AND(C6="Westliche Zentralalpen",C7="Montan"),_xlfn.XLOOKUP(C9,AC6:AC60,AD6:AD60,$F$61,0,1),IF(AND(C6="Östliche Zentralalpen",C7="Kollin"),_xlfn.XLOOKUP(C9,Q6:Q60,R6:R60,$F$61,0,1),IF(AND(C6="Östliche Zentralalpen",C7="Montan"),_xlfn.XLOOKUP(C9,AC6:AC60,AD6:AD60,$F$61,0,1),IF(AND(C6="Alpensüdflanke",C7="Kollin"),_xlfn.XLOOKUP(C9,Q6:Q60,R6:R60,$F$61,0,1),IF(AND(C6="Alpensüdflanke",C7="Montan"),_xlfn.XLOOKUP(C9,AC6:AC60,AD6:AD60,$F$61,0,1),$F$61)))))))))))))))</f>
        <v>0.40699999999999997</v>
      </c>
      <c r="E13" s="63">
        <v>7</v>
      </c>
      <c r="F13" s="38">
        <v>0.1295</v>
      </c>
      <c r="G13" s="63">
        <v>7</v>
      </c>
      <c r="H13" s="38">
        <v>0.77700000000000002</v>
      </c>
      <c r="I13" s="63">
        <v>7</v>
      </c>
      <c r="J13" s="38">
        <v>0.26950000000000002</v>
      </c>
      <c r="K13" s="63">
        <v>7</v>
      </c>
      <c r="L13" s="38">
        <v>0.1295</v>
      </c>
      <c r="M13" s="63">
        <v>7</v>
      </c>
      <c r="N13" s="38">
        <v>0.7</v>
      </c>
      <c r="O13" s="63">
        <v>7</v>
      </c>
      <c r="P13" s="38">
        <v>0.26950000000000002</v>
      </c>
      <c r="Q13" s="63">
        <v>7</v>
      </c>
      <c r="R13" s="38">
        <v>0.1295</v>
      </c>
      <c r="S13" s="63">
        <v>7</v>
      </c>
      <c r="T13" s="38">
        <v>0.77700000000000002</v>
      </c>
      <c r="U13" s="63">
        <v>7</v>
      </c>
      <c r="V13" s="38">
        <v>0.26950000000000002</v>
      </c>
      <c r="W13" s="63">
        <v>7</v>
      </c>
      <c r="X13" s="38">
        <v>0.1295</v>
      </c>
      <c r="Y13" s="63">
        <v>7</v>
      </c>
      <c r="Z13" s="38">
        <v>0.99999899999999997</v>
      </c>
      <c r="AA13" s="63">
        <v>7</v>
      </c>
      <c r="AB13" s="38">
        <v>0.26950000000000002</v>
      </c>
      <c r="AC13" s="63">
        <v>7</v>
      </c>
      <c r="AD13" s="38">
        <v>0.1295</v>
      </c>
      <c r="AE13" s="193" t="s">
        <v>348</v>
      </c>
      <c r="AF13" s="46" t="s">
        <v>342</v>
      </c>
      <c r="AG13" s="63">
        <v>7</v>
      </c>
      <c r="AH13" s="38">
        <v>0.26950000000000002</v>
      </c>
      <c r="AI13" s="63">
        <v>7</v>
      </c>
      <c r="AJ13" s="38">
        <v>0.1295</v>
      </c>
      <c r="AK13" s="193" t="s">
        <v>348</v>
      </c>
      <c r="AL13" s="46" t="s">
        <v>342</v>
      </c>
      <c r="AM13" s="63">
        <v>7</v>
      </c>
      <c r="AN13" s="38">
        <v>0.26950000000000002</v>
      </c>
    </row>
    <row r="14" spans="1:40" x14ac:dyDescent="0.25">
      <c r="A14" s="4" t="s">
        <v>311</v>
      </c>
      <c r="B14" s="181" t="s">
        <v>334</v>
      </c>
      <c r="C14" s="184">
        <f>IF(AND(C7="Subalpin",OR(C6="Jura",C6="Mittelland")),"Achtung: Kombination Biogeoregion/Höhenstufe existiert nicht",IF(AND(C7="Subalpin",OR(C6="Alpennordflanke",C6="Westliche Zentralalpen",C6="Östliche Zentralalpen",C6="Alpensüdflanke")),_xlfn.XLOOKUP(C11,AK6:AK12,AL6:AL12,$F$61,0,1),IF(AND(C7="Alpin",OR(C6="Jura",C6="Mittelland",C6="Alpennordflanke",C6="Westliche Zentralalpen",C6="Östliche Zentralalpen",C6="Alpensüdflanke")),"Achtung: Bewertung zur alpinen Höhestufe existiert noch nicht -&gt; bitte Kontakt mit der Vogelwarte Sempach aufnehmen",IF(AND(C6="Jura",C7="Kollin"),_xlfn.XLOOKUP(C11,G6:G15,H6:H15,$F$61,0,1),IF(AND(C6="Jura",C7="Montan"),_xlfn.XLOOKUP(C11,Y6:Y13,Z6:Z13,$F$61,0,1),IF(AND(C6="Mittelland",C7="Kollin"),_xlfn.XLOOKUP(C11,M6:M16,N6:N16,$F$61,0,1),IF(AND(C6="Mittelland",C7="Montan"),_xlfn.XLOOKUP(C11,AE6:AE12,AF6:AF12,$F$61,0,1),IF(AND(C6="Alpennordflanke",C7="Kollin"),_xlfn.XLOOKUP(C11,M6:M16,N6:N16,$F$61,0,1),IF(AND(C6="Alpennordflanke",C7="Montan"),_xlfn.XLOOKUP(C11,AE6:AE12,AF6:AF12,$F$61,0,1),IF(AND(C6="Westliche Zentralalpen",C7="Kollin"),_xlfn.XLOOKUP(C11,S6:S15,T6:T15,$F$61,0,1),IF(AND(C6="Westliche Zentralalpen",C7="Montan"),_xlfn.XLOOKUP(C11,AE6:AE12,AF6:AF12,$F$61,0,1),IF(AND(C6="Östliche Zentralalpen",C7="Kollin"),_xlfn.XLOOKUP(C11,S6:S15,T6:T15,$F$61,0,1),IF(AND(C6="Östliche Zentralalpen",C7="Montan"),_xlfn.XLOOKUP(C11,AE6:AE12,AF6:AF12,$F$61,0,1),IF(AND(C6="Alpensüdflanke",C7="Kollin"),_xlfn.XLOOKUP(C11,S6:S15,T6:T15,$F$61,0,1),IF(AND(C6="Alpensüdflanke",C7="Montan"),_xlfn.XLOOKUP(C11,AE6:AE12,AF6:AF12,$F$61,0,1),$F$61)))))))))))))))</f>
        <v>0.55500000000000005</v>
      </c>
      <c r="E14" s="63">
        <v>8</v>
      </c>
      <c r="F14" s="38">
        <v>0.14799999999999999</v>
      </c>
      <c r="G14" s="63">
        <v>8</v>
      </c>
      <c r="H14" s="38">
        <v>0.88800000000000001</v>
      </c>
      <c r="I14" s="63">
        <v>8</v>
      </c>
      <c r="J14" s="38">
        <v>0.308</v>
      </c>
      <c r="K14" s="63">
        <v>8</v>
      </c>
      <c r="L14" s="38">
        <v>0.14799999999999999</v>
      </c>
      <c r="M14" s="63">
        <v>8</v>
      </c>
      <c r="N14" s="38">
        <v>0.8</v>
      </c>
      <c r="O14" s="63">
        <v>8</v>
      </c>
      <c r="P14" s="38">
        <v>0.308</v>
      </c>
      <c r="Q14" s="63">
        <v>8</v>
      </c>
      <c r="R14" s="38">
        <v>0.14799999999999999</v>
      </c>
      <c r="S14" s="63">
        <v>8</v>
      </c>
      <c r="T14" s="38">
        <v>0.88800000000000001</v>
      </c>
      <c r="U14" s="63">
        <v>8</v>
      </c>
      <c r="V14" s="38">
        <v>0.308</v>
      </c>
      <c r="W14" s="63">
        <v>8</v>
      </c>
      <c r="X14" s="38">
        <v>0.14799999999999999</v>
      </c>
      <c r="Y14" s="193" t="s">
        <v>347</v>
      </c>
      <c r="Z14" s="46" t="s">
        <v>342</v>
      </c>
      <c r="AA14" s="63">
        <v>8</v>
      </c>
      <c r="AB14" s="38">
        <v>0.308</v>
      </c>
      <c r="AC14" s="63">
        <v>8</v>
      </c>
      <c r="AD14" s="38">
        <v>0.14799999999999999</v>
      </c>
      <c r="AE14" s="63"/>
      <c r="AF14" s="38"/>
      <c r="AG14" s="63">
        <v>8</v>
      </c>
      <c r="AH14" s="38">
        <v>0.308</v>
      </c>
      <c r="AI14" s="63">
        <v>8</v>
      </c>
      <c r="AJ14" s="38">
        <v>0.14799999999999999</v>
      </c>
      <c r="AK14" s="63"/>
      <c r="AL14" s="38"/>
      <c r="AM14" s="63">
        <v>8</v>
      </c>
      <c r="AN14" s="38">
        <v>0.308</v>
      </c>
    </row>
    <row r="15" spans="1:40" x14ac:dyDescent="0.25">
      <c r="B15" s="185" t="s">
        <v>320</v>
      </c>
      <c r="C15" s="165">
        <f>ROUND(C10/(C8/10000),0)</f>
        <v>2</v>
      </c>
      <c r="E15" s="63">
        <v>9</v>
      </c>
      <c r="F15" s="38">
        <v>0.16650000000000001</v>
      </c>
      <c r="G15" s="63">
        <v>9</v>
      </c>
      <c r="H15" s="38">
        <v>0.999</v>
      </c>
      <c r="I15" s="63">
        <v>9</v>
      </c>
      <c r="J15" s="38">
        <v>0.34649999999999997</v>
      </c>
      <c r="K15" s="63">
        <v>9</v>
      </c>
      <c r="L15" s="38">
        <v>0.16650000000000001</v>
      </c>
      <c r="M15" s="63">
        <v>9</v>
      </c>
      <c r="N15" s="38">
        <v>0.9</v>
      </c>
      <c r="O15" s="63">
        <v>9</v>
      </c>
      <c r="P15" s="38">
        <v>0.34649999999999997</v>
      </c>
      <c r="Q15" s="63">
        <v>9</v>
      </c>
      <c r="R15" s="38">
        <v>0.16650000000000001</v>
      </c>
      <c r="S15" s="63">
        <v>9</v>
      </c>
      <c r="T15" s="38">
        <v>0.999</v>
      </c>
      <c r="U15" s="63">
        <v>9</v>
      </c>
      <c r="V15" s="38">
        <v>0.34649999999999997</v>
      </c>
      <c r="W15" s="63">
        <v>9</v>
      </c>
      <c r="X15" s="38">
        <v>0.16650000000000001</v>
      </c>
      <c r="Y15" s="63"/>
      <c r="Z15" s="38"/>
      <c r="AA15" s="63">
        <v>9</v>
      </c>
      <c r="AB15" s="38">
        <v>0.34649999999999997</v>
      </c>
      <c r="AC15" s="63">
        <v>9</v>
      </c>
      <c r="AD15" s="38">
        <v>0.16650000000000001</v>
      </c>
      <c r="AE15" s="63"/>
      <c r="AF15" s="38"/>
      <c r="AG15" s="63">
        <v>9</v>
      </c>
      <c r="AH15" s="38">
        <v>0.34649999999999997</v>
      </c>
      <c r="AI15" s="63">
        <v>9</v>
      </c>
      <c r="AJ15" s="38">
        <v>0.16650000000000001</v>
      </c>
      <c r="AK15" s="63"/>
      <c r="AL15" s="38"/>
      <c r="AM15" s="63">
        <v>9</v>
      </c>
      <c r="AN15" s="38">
        <v>0.34649999999999997</v>
      </c>
    </row>
    <row r="16" spans="1:40" x14ac:dyDescent="0.25">
      <c r="A16" s="4" t="s">
        <v>312</v>
      </c>
      <c r="B16" s="181" t="s">
        <v>333</v>
      </c>
      <c r="C16" s="184">
        <f>IF(AND(C7="Subalpin",OR(C6="Jura",C6="Mittelland")),"Achtung: Kombination Biogeoregion/Höhenstufe existiert nicht",IF(AND(C7="Subalpin",OR(C6="Alpennordflanke",C6="Westliche Zentralalpen",C6="Östliche Zentralalpen",C6="Alpensüdflanke")),_xlfn.XLOOKUP(C15,AM6:AM32,AN6:AN32,$F$61,0,1),IF(AND(C6="Jura",C7="Kollin"),_xlfn.XLOOKUP(C15,I6:I32,J6:J32,$F$61,0,1),IF(AND(C6="Jura",C7="Montan"),_xlfn.XLOOKUP(C15,AA6:AA32,AB6:AB32,$F$61,0,1),IF(AND(C6="Mittelland",C7="Kollin"),_xlfn.XLOOKUP(C15,O6:O32,P6:P32,$F$61,0,1),IF(AND(C6="Mittelland",C7="Montan"),_xlfn.XLOOKUP(C15,AG6:AG32,AH6:AH32,$F$61,0,1),IF(AND(C6="Alpennordflanke",C7="Kollin"),_xlfn.XLOOKUP(C15,O6:O32,P6:P32,$F$61,0,1),IF(AND(C6="Alpennordflanke",C7="Montan"),_xlfn.XLOOKUP(C15,AG6:AG32,AH6:AH32,$F$61,0,1),IF(AND(C6="Westliche Zentralalpen",C7="Kollin"),_xlfn.XLOOKUP(C15,U6:U32,V6:V32,$F$61,0,1),IF(AND(C6="Westliche Zentralalpen",C7="Montan"),_xlfn.XLOOKUP(C15,AG6:AG32,AH6:AH32,$F$61,0,1),IF(AND(C6="Östliche Zentralalpen",C7="Kollin"),_xlfn.XLOOKUP(C15,U6:U32,V6:V32,$F$61,0,1),IF(AND(C6="Östliche Zentralalpen",C7="Montan"),_xlfn.XLOOKUP(C15,AG6:AG32,AH6:AH32,$F$61,0,1),IF(AND(C6="Alpensüdflanke",C7="Kollin"),_xlfn.XLOOKUP(C15,U6:U32,V6:V32,$F$61,0,1),IF(AND(C6="Alpensüdflanke",C7="Montan"),_xlfn.XLOOKUP(C15,AG6:AG32,AH6:AH32,$F$61,0,1),"Achtung: Bewertung zur alpinen Höhestufe existiert noch nicht -&gt; bitte Kontakt mit der Vogelwarte Sempach aufnehmen"))))))))))))))</f>
        <v>7.6999999999999999E-2</v>
      </c>
      <c r="E16" s="63">
        <v>10</v>
      </c>
      <c r="F16" s="38">
        <v>0.185</v>
      </c>
      <c r="G16" s="193" t="s">
        <v>344</v>
      </c>
      <c r="H16" s="46" t="s">
        <v>342</v>
      </c>
      <c r="I16" s="63">
        <v>10</v>
      </c>
      <c r="J16" s="38">
        <v>0.38500000000000001</v>
      </c>
      <c r="K16" s="63">
        <v>10</v>
      </c>
      <c r="L16" s="38">
        <v>0.185</v>
      </c>
      <c r="M16" s="63">
        <v>10</v>
      </c>
      <c r="N16" s="38">
        <v>1</v>
      </c>
      <c r="O16" s="63">
        <v>10</v>
      </c>
      <c r="P16" s="38">
        <v>0.38500000000000001</v>
      </c>
      <c r="Q16" s="63">
        <v>10</v>
      </c>
      <c r="R16" s="38">
        <v>0.185</v>
      </c>
      <c r="S16" s="193" t="s">
        <v>344</v>
      </c>
      <c r="T16" s="46" t="s">
        <v>342</v>
      </c>
      <c r="U16" s="63">
        <v>10</v>
      </c>
      <c r="V16" s="38">
        <v>0.38500000000000001</v>
      </c>
      <c r="W16" s="63">
        <v>10</v>
      </c>
      <c r="X16" s="38">
        <v>0.185</v>
      </c>
      <c r="Y16" s="63"/>
      <c r="Z16" s="38"/>
      <c r="AA16" s="63">
        <v>10</v>
      </c>
      <c r="AB16" s="38">
        <v>0.38500000000000001</v>
      </c>
      <c r="AC16" s="63">
        <v>10</v>
      </c>
      <c r="AD16" s="38">
        <v>0.185</v>
      </c>
      <c r="AE16" s="63"/>
      <c r="AF16" s="38"/>
      <c r="AG16" s="63">
        <v>10</v>
      </c>
      <c r="AH16" s="38">
        <v>0.38500000000000001</v>
      </c>
      <c r="AI16" s="63">
        <v>10</v>
      </c>
      <c r="AJ16" s="38">
        <v>0.185</v>
      </c>
      <c r="AK16" s="63"/>
      <c r="AL16" s="38"/>
      <c r="AM16" s="63">
        <v>10</v>
      </c>
      <c r="AN16" s="38">
        <v>0.38500000000000001</v>
      </c>
    </row>
    <row r="17" spans="1:40" x14ac:dyDescent="0.25">
      <c r="A17" s="180" t="s">
        <v>319</v>
      </c>
      <c r="B17" s="181" t="s">
        <v>332</v>
      </c>
      <c r="C17" s="184">
        <f>(C13*35+C14*50+C16*15)/100</f>
        <v>0.43150000000000005</v>
      </c>
      <c r="E17" s="63">
        <v>11</v>
      </c>
      <c r="F17" s="38">
        <v>0.20349999999999999</v>
      </c>
      <c r="G17" s="38"/>
      <c r="H17" s="38"/>
      <c r="I17" s="63">
        <v>11</v>
      </c>
      <c r="J17" s="38">
        <v>0.42349999999999999</v>
      </c>
      <c r="K17" s="63">
        <v>11</v>
      </c>
      <c r="L17" s="38">
        <v>0.20349999999999999</v>
      </c>
      <c r="M17" s="193" t="s">
        <v>346</v>
      </c>
      <c r="N17" s="46" t="s">
        <v>342</v>
      </c>
      <c r="O17" s="63">
        <v>11</v>
      </c>
      <c r="P17" s="38">
        <v>0.42349999999999999</v>
      </c>
      <c r="Q17" s="63">
        <v>11</v>
      </c>
      <c r="R17" s="38">
        <v>0.20349999999999999</v>
      </c>
      <c r="S17" s="38"/>
      <c r="T17" s="38"/>
      <c r="U17" s="63">
        <v>11</v>
      </c>
      <c r="V17" s="38">
        <v>0.42349999999999999</v>
      </c>
      <c r="W17" s="63">
        <v>11</v>
      </c>
      <c r="X17" s="38">
        <v>0.20349999999999999</v>
      </c>
      <c r="Y17" s="38"/>
      <c r="Z17" s="38"/>
      <c r="AA17" s="63">
        <v>11</v>
      </c>
      <c r="AB17" s="38">
        <v>0.42349999999999999</v>
      </c>
      <c r="AC17" s="63">
        <v>11</v>
      </c>
      <c r="AD17" s="38">
        <v>0.20349999999999999</v>
      </c>
      <c r="AE17" s="38"/>
      <c r="AF17" s="38"/>
      <c r="AG17" s="63">
        <v>11</v>
      </c>
      <c r="AH17" s="38">
        <v>0.42349999999999999</v>
      </c>
      <c r="AI17" s="63">
        <v>11</v>
      </c>
      <c r="AJ17" s="38">
        <v>0.20349999999999999</v>
      </c>
      <c r="AK17" s="38"/>
      <c r="AL17" s="38"/>
      <c r="AM17" s="63">
        <v>11</v>
      </c>
      <c r="AN17" s="38">
        <v>0.42349999999999999</v>
      </c>
    </row>
    <row r="18" spans="1:40" x14ac:dyDescent="0.25">
      <c r="E18" s="63">
        <v>12</v>
      </c>
      <c r="F18" s="38">
        <v>0.222</v>
      </c>
      <c r="G18" s="38"/>
      <c r="H18" s="38"/>
      <c r="I18" s="63">
        <v>12</v>
      </c>
      <c r="J18" s="38">
        <v>0.46200000000000002</v>
      </c>
      <c r="K18" s="63">
        <v>12</v>
      </c>
      <c r="L18" s="38">
        <v>0.222</v>
      </c>
      <c r="M18" s="38"/>
      <c r="N18" s="38"/>
      <c r="O18" s="63">
        <v>12</v>
      </c>
      <c r="P18" s="38">
        <v>0.46200000000000002</v>
      </c>
      <c r="Q18" s="63">
        <v>12</v>
      </c>
      <c r="R18" s="38">
        <v>0.222</v>
      </c>
      <c r="S18" s="38"/>
      <c r="T18" s="38"/>
      <c r="U18" s="63">
        <v>12</v>
      </c>
      <c r="V18" s="38">
        <v>0.46200000000000002</v>
      </c>
      <c r="W18" s="63">
        <v>12</v>
      </c>
      <c r="X18" s="38">
        <v>0.222</v>
      </c>
      <c r="Y18" s="38"/>
      <c r="Z18" s="38"/>
      <c r="AA18" s="63">
        <v>12</v>
      </c>
      <c r="AB18" s="38">
        <v>0.46200000000000002</v>
      </c>
      <c r="AC18" s="63">
        <v>12</v>
      </c>
      <c r="AD18" s="38">
        <v>0.222</v>
      </c>
      <c r="AE18" s="38"/>
      <c r="AF18" s="38"/>
      <c r="AG18" s="63">
        <v>12</v>
      </c>
      <c r="AH18" s="38">
        <v>0.46200000000000002</v>
      </c>
      <c r="AI18" s="63">
        <v>12</v>
      </c>
      <c r="AJ18" s="38">
        <v>0.222</v>
      </c>
      <c r="AK18" s="38"/>
      <c r="AL18" s="38"/>
      <c r="AM18" s="63">
        <v>12</v>
      </c>
      <c r="AN18" s="38">
        <v>0.46200000000000002</v>
      </c>
    </row>
    <row r="19" spans="1:40" x14ac:dyDescent="0.25">
      <c r="E19" s="63">
        <v>13</v>
      </c>
      <c r="F19" s="38">
        <v>0.24049999999999999</v>
      </c>
      <c r="G19" s="38"/>
      <c r="H19" s="38"/>
      <c r="I19" s="63">
        <v>13</v>
      </c>
      <c r="J19" s="38">
        <v>0.50049999999999994</v>
      </c>
      <c r="K19" s="63">
        <v>13</v>
      </c>
      <c r="L19" s="38">
        <v>0.24049999999999999</v>
      </c>
      <c r="M19" s="38"/>
      <c r="N19" s="38"/>
      <c r="O19" s="63">
        <v>13</v>
      </c>
      <c r="P19" s="38">
        <v>0.50049999999999994</v>
      </c>
      <c r="Q19" s="63">
        <v>13</v>
      </c>
      <c r="R19" s="38">
        <v>0.24049999999999999</v>
      </c>
      <c r="S19" s="38"/>
      <c r="T19" s="38"/>
      <c r="U19" s="63">
        <v>13</v>
      </c>
      <c r="V19" s="38">
        <v>0.50049999999999994</v>
      </c>
      <c r="W19" s="63">
        <v>13</v>
      </c>
      <c r="X19" s="38">
        <v>0.24049999999999999</v>
      </c>
      <c r="Y19" s="38"/>
      <c r="Z19" s="38"/>
      <c r="AA19" s="63">
        <v>13</v>
      </c>
      <c r="AB19" s="38">
        <v>0.50049999999999994</v>
      </c>
      <c r="AC19" s="63">
        <v>13</v>
      </c>
      <c r="AD19" s="38">
        <v>0.24049999999999999</v>
      </c>
      <c r="AE19" s="38"/>
      <c r="AF19" s="38"/>
      <c r="AG19" s="63">
        <v>13</v>
      </c>
      <c r="AH19" s="38">
        <v>0.50049999999999994</v>
      </c>
      <c r="AI19" s="63">
        <v>13</v>
      </c>
      <c r="AJ19" s="38">
        <v>0.24049999999999999</v>
      </c>
      <c r="AK19" s="38"/>
      <c r="AL19" s="38"/>
      <c r="AM19" s="63">
        <v>13</v>
      </c>
      <c r="AN19" s="38">
        <v>0.50049999999999994</v>
      </c>
    </row>
    <row r="20" spans="1:40" x14ac:dyDescent="0.25">
      <c r="B20" s="8"/>
      <c r="C20" s="8"/>
      <c r="E20" s="63">
        <v>14</v>
      </c>
      <c r="F20" s="38">
        <v>0.25900000000000001</v>
      </c>
      <c r="G20" s="38"/>
      <c r="H20" s="38"/>
      <c r="I20" s="63">
        <v>14</v>
      </c>
      <c r="J20" s="38">
        <v>0.53900000000000003</v>
      </c>
      <c r="K20" s="63">
        <v>14</v>
      </c>
      <c r="L20" s="38">
        <v>0.25900000000000001</v>
      </c>
      <c r="M20" s="38"/>
      <c r="N20" s="38"/>
      <c r="O20" s="63">
        <v>14</v>
      </c>
      <c r="P20" s="38">
        <v>0.53900000000000003</v>
      </c>
      <c r="Q20" s="63">
        <v>14</v>
      </c>
      <c r="R20" s="38">
        <v>0.25900000000000001</v>
      </c>
      <c r="S20" s="38"/>
      <c r="T20" s="38"/>
      <c r="U20" s="63">
        <v>14</v>
      </c>
      <c r="V20" s="38">
        <v>0.53900000000000003</v>
      </c>
      <c r="W20" s="63">
        <v>14</v>
      </c>
      <c r="X20" s="38">
        <v>0.25900000000000001</v>
      </c>
      <c r="Y20" s="38"/>
      <c r="Z20" s="38"/>
      <c r="AA20" s="63">
        <v>14</v>
      </c>
      <c r="AB20" s="38">
        <v>0.53900000000000003</v>
      </c>
      <c r="AC20" s="63">
        <v>14</v>
      </c>
      <c r="AD20" s="38">
        <v>0.25900000000000001</v>
      </c>
      <c r="AE20" s="38"/>
      <c r="AF20" s="38"/>
      <c r="AG20" s="63">
        <v>14</v>
      </c>
      <c r="AH20" s="38">
        <v>0.53900000000000003</v>
      </c>
      <c r="AI20" s="63">
        <v>14</v>
      </c>
      <c r="AJ20" s="38">
        <v>0.25900000000000001</v>
      </c>
      <c r="AK20" s="38"/>
      <c r="AL20" s="38"/>
      <c r="AM20" s="63">
        <v>14</v>
      </c>
      <c r="AN20" s="38">
        <v>0.53900000000000003</v>
      </c>
    </row>
    <row r="21" spans="1:40" x14ac:dyDescent="0.25">
      <c r="E21" s="63">
        <v>15</v>
      </c>
      <c r="F21" s="38">
        <v>0.27750000000000002</v>
      </c>
      <c r="G21" s="38"/>
      <c r="H21" s="38"/>
      <c r="I21" s="63">
        <v>15</v>
      </c>
      <c r="J21" s="38">
        <v>0.57750000000000001</v>
      </c>
      <c r="K21" s="63">
        <v>15</v>
      </c>
      <c r="L21" s="38">
        <v>0.27750000000000002</v>
      </c>
      <c r="M21" s="38"/>
      <c r="N21" s="38"/>
      <c r="O21" s="63">
        <v>15</v>
      </c>
      <c r="P21" s="38">
        <v>0.57750000000000001</v>
      </c>
      <c r="Q21" s="63">
        <v>15</v>
      </c>
      <c r="R21" s="38">
        <v>0.27750000000000002</v>
      </c>
      <c r="S21" s="38"/>
      <c r="T21" s="38"/>
      <c r="U21" s="63">
        <v>15</v>
      </c>
      <c r="V21" s="38">
        <v>0.57750000000000001</v>
      </c>
      <c r="W21" s="63">
        <v>15</v>
      </c>
      <c r="X21" s="38">
        <v>0.27750000000000002</v>
      </c>
      <c r="Y21" s="38"/>
      <c r="Z21" s="38"/>
      <c r="AA21" s="63">
        <v>15</v>
      </c>
      <c r="AB21" s="38">
        <v>0.57750000000000001</v>
      </c>
      <c r="AC21" s="63">
        <v>15</v>
      </c>
      <c r="AD21" s="38">
        <v>0.27750000000000002</v>
      </c>
      <c r="AE21" s="38"/>
      <c r="AF21" s="38"/>
      <c r="AG21" s="63">
        <v>15</v>
      </c>
      <c r="AH21" s="38">
        <v>0.57750000000000001</v>
      </c>
      <c r="AI21" s="63">
        <v>15</v>
      </c>
      <c r="AJ21" s="38">
        <v>0.27750000000000002</v>
      </c>
      <c r="AK21" s="38"/>
      <c r="AL21" s="38"/>
      <c r="AM21" s="63">
        <v>15</v>
      </c>
      <c r="AN21" s="38">
        <v>0.57750000000000001</v>
      </c>
    </row>
    <row r="22" spans="1:40" x14ac:dyDescent="0.25">
      <c r="E22" s="63">
        <v>16</v>
      </c>
      <c r="F22" s="38">
        <v>0.29599999999999999</v>
      </c>
      <c r="G22" s="38"/>
      <c r="H22" s="38"/>
      <c r="I22" s="63">
        <v>16</v>
      </c>
      <c r="J22" s="38">
        <v>0.61599999999999999</v>
      </c>
      <c r="K22" s="63">
        <v>16</v>
      </c>
      <c r="L22" s="38">
        <v>0.29599999999999999</v>
      </c>
      <c r="M22" s="38"/>
      <c r="N22" s="38"/>
      <c r="O22" s="63">
        <v>16</v>
      </c>
      <c r="P22" s="38">
        <v>0.61599999999999999</v>
      </c>
      <c r="Q22" s="63">
        <v>16</v>
      </c>
      <c r="R22" s="38">
        <v>0.29599999999999999</v>
      </c>
      <c r="S22" s="38"/>
      <c r="T22" s="38"/>
      <c r="U22" s="63">
        <v>16</v>
      </c>
      <c r="V22" s="38">
        <v>0.61599999999999999</v>
      </c>
      <c r="W22" s="63">
        <v>16</v>
      </c>
      <c r="X22" s="38">
        <v>0.29599999999999999</v>
      </c>
      <c r="Y22" s="38"/>
      <c r="Z22" s="38"/>
      <c r="AA22" s="63">
        <v>16</v>
      </c>
      <c r="AB22" s="38">
        <v>0.61599999999999999</v>
      </c>
      <c r="AC22" s="63">
        <v>16</v>
      </c>
      <c r="AD22" s="38">
        <v>0.29599999999999999</v>
      </c>
      <c r="AE22" s="38"/>
      <c r="AF22" s="38"/>
      <c r="AG22" s="63">
        <v>16</v>
      </c>
      <c r="AH22" s="38">
        <v>0.61599999999999999</v>
      </c>
      <c r="AI22" s="63">
        <v>16</v>
      </c>
      <c r="AJ22" s="38">
        <v>0.29599999999999999</v>
      </c>
      <c r="AK22" s="38"/>
      <c r="AL22" s="38"/>
      <c r="AM22" s="63">
        <v>16</v>
      </c>
      <c r="AN22" s="38">
        <v>0.61599999999999999</v>
      </c>
    </row>
    <row r="23" spans="1:40" x14ac:dyDescent="0.25">
      <c r="E23" s="63">
        <v>17</v>
      </c>
      <c r="F23" s="38">
        <v>0.3145</v>
      </c>
      <c r="G23" s="38"/>
      <c r="H23" s="38"/>
      <c r="I23" s="63">
        <v>17</v>
      </c>
      <c r="J23" s="38">
        <v>0.65449999999999997</v>
      </c>
      <c r="K23" s="63">
        <v>17</v>
      </c>
      <c r="L23" s="38">
        <v>0.3145</v>
      </c>
      <c r="M23" s="38"/>
      <c r="N23" s="38"/>
      <c r="O23" s="63">
        <v>17</v>
      </c>
      <c r="P23" s="38">
        <v>0.65449999999999997</v>
      </c>
      <c r="Q23" s="63">
        <v>17</v>
      </c>
      <c r="R23" s="38">
        <v>0.3145</v>
      </c>
      <c r="S23" s="38"/>
      <c r="T23" s="38"/>
      <c r="U23" s="63">
        <v>17</v>
      </c>
      <c r="V23" s="38">
        <v>0.65449999999999997</v>
      </c>
      <c r="W23" s="63">
        <v>17</v>
      </c>
      <c r="X23" s="38">
        <v>0.3145</v>
      </c>
      <c r="Y23" s="38"/>
      <c r="Z23" s="38"/>
      <c r="AA23" s="63">
        <v>17</v>
      </c>
      <c r="AB23" s="38">
        <v>0.65449999999999997</v>
      </c>
      <c r="AC23" s="63">
        <v>17</v>
      </c>
      <c r="AD23" s="38">
        <v>0.3145</v>
      </c>
      <c r="AE23" s="38"/>
      <c r="AF23" s="38"/>
      <c r="AG23" s="63">
        <v>17</v>
      </c>
      <c r="AH23" s="38">
        <v>0.65449999999999997</v>
      </c>
      <c r="AI23" s="63">
        <v>17</v>
      </c>
      <c r="AJ23" s="38">
        <v>0.3145</v>
      </c>
      <c r="AK23" s="38"/>
      <c r="AL23" s="38"/>
      <c r="AM23" s="63">
        <v>17</v>
      </c>
      <c r="AN23" s="38">
        <v>0.65449999999999997</v>
      </c>
    </row>
    <row r="24" spans="1:40" x14ac:dyDescent="0.25">
      <c r="E24" s="63">
        <v>18</v>
      </c>
      <c r="F24" s="38">
        <v>0.33300000000000002</v>
      </c>
      <c r="G24" s="38"/>
      <c r="H24" s="38"/>
      <c r="I24" s="63">
        <v>18</v>
      </c>
      <c r="J24" s="38">
        <v>0.69299999999999995</v>
      </c>
      <c r="K24" s="63">
        <v>18</v>
      </c>
      <c r="L24" s="38">
        <v>0.33300000000000002</v>
      </c>
      <c r="M24" s="38"/>
      <c r="N24" s="38"/>
      <c r="O24" s="63">
        <v>18</v>
      </c>
      <c r="P24" s="38">
        <v>0.69299999999999995</v>
      </c>
      <c r="Q24" s="63">
        <v>18</v>
      </c>
      <c r="R24" s="38">
        <v>0.33300000000000002</v>
      </c>
      <c r="S24" s="38"/>
      <c r="T24" s="38"/>
      <c r="U24" s="63">
        <v>18</v>
      </c>
      <c r="V24" s="38">
        <v>0.69299999999999995</v>
      </c>
      <c r="W24" s="63">
        <v>18</v>
      </c>
      <c r="X24" s="38">
        <v>0.33300000000000002</v>
      </c>
      <c r="Y24" s="38"/>
      <c r="Z24" s="38"/>
      <c r="AA24" s="63">
        <v>18</v>
      </c>
      <c r="AB24" s="38">
        <v>0.69299999999999995</v>
      </c>
      <c r="AC24" s="63">
        <v>18</v>
      </c>
      <c r="AD24" s="38">
        <v>0.33300000000000002</v>
      </c>
      <c r="AE24" s="38"/>
      <c r="AF24" s="38"/>
      <c r="AG24" s="63">
        <v>18</v>
      </c>
      <c r="AH24" s="38">
        <v>0.69299999999999995</v>
      </c>
      <c r="AI24" s="63">
        <v>18</v>
      </c>
      <c r="AJ24" s="38">
        <v>0.33300000000000002</v>
      </c>
      <c r="AK24" s="38"/>
      <c r="AL24" s="38"/>
      <c r="AM24" s="63">
        <v>18</v>
      </c>
      <c r="AN24" s="38">
        <v>0.69299999999999995</v>
      </c>
    </row>
    <row r="25" spans="1:40" x14ac:dyDescent="0.25">
      <c r="E25" s="63">
        <v>19</v>
      </c>
      <c r="F25" s="38">
        <v>0.35149999999999998</v>
      </c>
      <c r="G25" s="38"/>
      <c r="H25" s="38"/>
      <c r="I25" s="63">
        <v>19</v>
      </c>
      <c r="J25" s="38">
        <v>0.73150000000000004</v>
      </c>
      <c r="K25" s="63">
        <v>19</v>
      </c>
      <c r="L25" s="38">
        <v>0.35149999999999998</v>
      </c>
      <c r="M25" s="38"/>
      <c r="N25" s="38"/>
      <c r="O25" s="63">
        <v>19</v>
      </c>
      <c r="P25" s="38">
        <v>0.73150000000000004</v>
      </c>
      <c r="Q25" s="63">
        <v>19</v>
      </c>
      <c r="R25" s="38">
        <v>0.35149999999999998</v>
      </c>
      <c r="S25" s="38"/>
      <c r="T25" s="38"/>
      <c r="U25" s="63">
        <v>19</v>
      </c>
      <c r="V25" s="38">
        <v>0.73150000000000004</v>
      </c>
      <c r="W25" s="63">
        <v>19</v>
      </c>
      <c r="X25" s="38">
        <v>0.35149999999999998</v>
      </c>
      <c r="Y25" s="38"/>
      <c r="Z25" s="38"/>
      <c r="AA25" s="63">
        <v>19</v>
      </c>
      <c r="AB25" s="38">
        <v>0.73150000000000004</v>
      </c>
      <c r="AC25" s="63">
        <v>19</v>
      </c>
      <c r="AD25" s="38">
        <v>0.35149999999999998</v>
      </c>
      <c r="AE25" s="38"/>
      <c r="AF25" s="38"/>
      <c r="AG25" s="63">
        <v>19</v>
      </c>
      <c r="AH25" s="38">
        <v>0.73150000000000004</v>
      </c>
      <c r="AI25" s="63">
        <v>19</v>
      </c>
      <c r="AJ25" s="38">
        <v>0.35149999999999998</v>
      </c>
      <c r="AK25" s="38"/>
      <c r="AL25" s="38"/>
      <c r="AM25" s="63">
        <v>19</v>
      </c>
      <c r="AN25" s="38">
        <v>0.73150000000000004</v>
      </c>
    </row>
    <row r="26" spans="1:40" x14ac:dyDescent="0.25">
      <c r="E26" s="63">
        <v>20</v>
      </c>
      <c r="F26" s="38">
        <v>0.37</v>
      </c>
      <c r="G26" s="38"/>
      <c r="H26" s="38"/>
      <c r="I26" s="63">
        <v>20</v>
      </c>
      <c r="J26" s="38">
        <v>0.77</v>
      </c>
      <c r="K26" s="63">
        <v>20</v>
      </c>
      <c r="L26" s="38">
        <v>0.37</v>
      </c>
      <c r="M26" s="38"/>
      <c r="N26" s="38"/>
      <c r="O26" s="63">
        <v>20</v>
      </c>
      <c r="P26" s="38">
        <v>0.77</v>
      </c>
      <c r="Q26" s="63">
        <v>20</v>
      </c>
      <c r="R26" s="38">
        <v>0.37</v>
      </c>
      <c r="S26" s="38"/>
      <c r="T26" s="38"/>
      <c r="U26" s="63">
        <v>20</v>
      </c>
      <c r="V26" s="38">
        <v>0.77</v>
      </c>
      <c r="W26" s="63">
        <v>20</v>
      </c>
      <c r="X26" s="38">
        <v>0.37</v>
      </c>
      <c r="Y26" s="38"/>
      <c r="Z26" s="38"/>
      <c r="AA26" s="63">
        <v>20</v>
      </c>
      <c r="AB26" s="38">
        <v>0.77</v>
      </c>
      <c r="AC26" s="63">
        <v>20</v>
      </c>
      <c r="AD26" s="38">
        <v>0.37</v>
      </c>
      <c r="AE26" s="38"/>
      <c r="AF26" s="38"/>
      <c r="AG26" s="63">
        <v>20</v>
      </c>
      <c r="AH26" s="38">
        <v>0.77</v>
      </c>
      <c r="AI26" s="63">
        <v>20</v>
      </c>
      <c r="AJ26" s="38">
        <v>0.37</v>
      </c>
      <c r="AK26" s="38"/>
      <c r="AL26" s="38"/>
      <c r="AM26" s="63">
        <v>20</v>
      </c>
      <c r="AN26" s="38">
        <v>0.77</v>
      </c>
    </row>
    <row r="27" spans="1:40" x14ac:dyDescent="0.25">
      <c r="E27" s="63">
        <v>21</v>
      </c>
      <c r="F27" s="38">
        <v>0.38850000000000001</v>
      </c>
      <c r="G27" s="38"/>
      <c r="H27" s="38"/>
      <c r="I27" s="63">
        <v>21</v>
      </c>
      <c r="J27" s="38">
        <v>0.8085</v>
      </c>
      <c r="K27" s="63">
        <v>21</v>
      </c>
      <c r="L27" s="38">
        <v>0.38850000000000001</v>
      </c>
      <c r="M27" s="38"/>
      <c r="N27" s="38"/>
      <c r="O27" s="63">
        <v>21</v>
      </c>
      <c r="P27" s="38">
        <v>0.8085</v>
      </c>
      <c r="Q27" s="63">
        <v>21</v>
      </c>
      <c r="R27" s="38">
        <v>0.38850000000000001</v>
      </c>
      <c r="S27" s="38"/>
      <c r="T27" s="38"/>
      <c r="U27" s="63">
        <v>21</v>
      </c>
      <c r="V27" s="38">
        <v>0.8085</v>
      </c>
      <c r="W27" s="63">
        <v>21</v>
      </c>
      <c r="X27" s="38">
        <v>0.38850000000000001</v>
      </c>
      <c r="Y27" s="38"/>
      <c r="Z27" s="38"/>
      <c r="AA27" s="63">
        <v>21</v>
      </c>
      <c r="AB27" s="38">
        <v>0.8085</v>
      </c>
      <c r="AC27" s="63">
        <v>21</v>
      </c>
      <c r="AD27" s="38">
        <v>0.38850000000000001</v>
      </c>
      <c r="AE27" s="38"/>
      <c r="AF27" s="38"/>
      <c r="AG27" s="63">
        <v>21</v>
      </c>
      <c r="AH27" s="38">
        <v>0.8085</v>
      </c>
      <c r="AI27" s="63">
        <v>21</v>
      </c>
      <c r="AJ27" s="38">
        <v>0.38850000000000001</v>
      </c>
      <c r="AK27" s="38"/>
      <c r="AL27" s="38"/>
      <c r="AM27" s="63">
        <v>21</v>
      </c>
      <c r="AN27" s="38">
        <v>0.8085</v>
      </c>
    </row>
    <row r="28" spans="1:40" x14ac:dyDescent="0.25">
      <c r="E28" s="63">
        <v>22</v>
      </c>
      <c r="F28" s="38">
        <v>0.40699999999999997</v>
      </c>
      <c r="G28" s="38"/>
      <c r="H28" s="38"/>
      <c r="I28" s="63">
        <v>22</v>
      </c>
      <c r="J28" s="38">
        <v>0.84699999999999998</v>
      </c>
      <c r="K28" s="63">
        <v>22</v>
      </c>
      <c r="L28" s="38">
        <v>0.40699999999999997</v>
      </c>
      <c r="M28" s="38"/>
      <c r="N28" s="38"/>
      <c r="O28" s="63">
        <v>22</v>
      </c>
      <c r="P28" s="38">
        <v>0.84699999999999998</v>
      </c>
      <c r="Q28" s="63">
        <v>22</v>
      </c>
      <c r="R28" s="38">
        <v>0.40699999999999997</v>
      </c>
      <c r="S28" s="38"/>
      <c r="T28" s="38"/>
      <c r="U28" s="63">
        <v>22</v>
      </c>
      <c r="V28" s="38">
        <v>0.84699999999999998</v>
      </c>
      <c r="W28" s="63">
        <v>22</v>
      </c>
      <c r="X28" s="38">
        <v>0.40699999999999997</v>
      </c>
      <c r="Y28" s="38"/>
      <c r="Z28" s="38"/>
      <c r="AA28" s="63">
        <v>22</v>
      </c>
      <c r="AB28" s="38">
        <v>0.84699999999999998</v>
      </c>
      <c r="AC28" s="63">
        <v>22</v>
      </c>
      <c r="AD28" s="38">
        <v>0.40699999999999997</v>
      </c>
      <c r="AE28" s="38"/>
      <c r="AF28" s="38"/>
      <c r="AG28" s="63">
        <v>22</v>
      </c>
      <c r="AH28" s="38">
        <v>0.84699999999999998</v>
      </c>
      <c r="AI28" s="63">
        <v>22</v>
      </c>
      <c r="AJ28" s="38">
        <v>0.40699999999999997</v>
      </c>
      <c r="AK28" s="38"/>
      <c r="AL28" s="38"/>
      <c r="AM28" s="63">
        <v>22</v>
      </c>
      <c r="AN28" s="38">
        <v>0.84699999999999998</v>
      </c>
    </row>
    <row r="29" spans="1:40" x14ac:dyDescent="0.25">
      <c r="E29" s="63">
        <v>23</v>
      </c>
      <c r="F29" s="38">
        <v>0.42549999999999999</v>
      </c>
      <c r="G29" s="38"/>
      <c r="H29" s="38"/>
      <c r="I29" s="63">
        <v>23</v>
      </c>
      <c r="J29" s="38">
        <v>0.88549999999999995</v>
      </c>
      <c r="K29" s="63">
        <v>23</v>
      </c>
      <c r="L29" s="38">
        <v>0.42549999999999999</v>
      </c>
      <c r="M29" s="38"/>
      <c r="N29" s="38"/>
      <c r="O29" s="63">
        <v>23</v>
      </c>
      <c r="P29" s="38">
        <v>0.88549999999999995</v>
      </c>
      <c r="Q29" s="63">
        <v>23</v>
      </c>
      <c r="R29" s="38">
        <v>0.42549999999999999</v>
      </c>
      <c r="S29" s="38"/>
      <c r="T29" s="38"/>
      <c r="U29" s="63">
        <v>23</v>
      </c>
      <c r="V29" s="38">
        <v>0.88549999999999995</v>
      </c>
      <c r="W29" s="63">
        <v>23</v>
      </c>
      <c r="X29" s="38">
        <v>0.42549999999999999</v>
      </c>
      <c r="Y29" s="38"/>
      <c r="Z29" s="38"/>
      <c r="AA29" s="63">
        <v>23</v>
      </c>
      <c r="AB29" s="38">
        <v>0.88549999999999995</v>
      </c>
      <c r="AC29" s="63">
        <v>23</v>
      </c>
      <c r="AD29" s="38">
        <v>0.42549999999999999</v>
      </c>
      <c r="AE29" s="38"/>
      <c r="AF29" s="38"/>
      <c r="AG29" s="63">
        <v>23</v>
      </c>
      <c r="AH29" s="38">
        <v>0.88549999999999995</v>
      </c>
      <c r="AI29" s="63">
        <v>23</v>
      </c>
      <c r="AJ29" s="38">
        <v>0.42549999999999999</v>
      </c>
      <c r="AK29" s="38"/>
      <c r="AL29" s="38"/>
      <c r="AM29" s="63">
        <v>23</v>
      </c>
      <c r="AN29" s="38">
        <v>0.88549999999999995</v>
      </c>
    </row>
    <row r="30" spans="1:40" x14ac:dyDescent="0.25">
      <c r="E30" s="63">
        <v>24</v>
      </c>
      <c r="F30" s="38">
        <v>0.44400000000000001</v>
      </c>
      <c r="G30" s="38"/>
      <c r="H30" s="38"/>
      <c r="I30" s="63">
        <v>24</v>
      </c>
      <c r="J30" s="38">
        <v>0.92400000000000004</v>
      </c>
      <c r="K30" s="63">
        <v>24</v>
      </c>
      <c r="L30" s="38">
        <v>0.44400000000000001</v>
      </c>
      <c r="M30" s="38"/>
      <c r="N30" s="38"/>
      <c r="O30" s="63">
        <v>24</v>
      </c>
      <c r="P30" s="38">
        <v>0.92400000000000004</v>
      </c>
      <c r="Q30" s="63">
        <v>24</v>
      </c>
      <c r="R30" s="38">
        <v>0.44400000000000001</v>
      </c>
      <c r="S30" s="38"/>
      <c r="T30" s="38"/>
      <c r="U30" s="63">
        <v>24</v>
      </c>
      <c r="V30" s="38">
        <v>0.92400000000000004</v>
      </c>
      <c r="W30" s="63">
        <v>24</v>
      </c>
      <c r="X30" s="38">
        <v>0.44400000000000001</v>
      </c>
      <c r="Y30" s="38"/>
      <c r="Z30" s="38"/>
      <c r="AA30" s="63">
        <v>24</v>
      </c>
      <c r="AB30" s="38">
        <v>0.92400000000000004</v>
      </c>
      <c r="AC30" s="63">
        <v>24</v>
      </c>
      <c r="AD30" s="38">
        <v>0.44400000000000001</v>
      </c>
      <c r="AE30" s="38"/>
      <c r="AF30" s="38"/>
      <c r="AG30" s="63">
        <v>24</v>
      </c>
      <c r="AH30" s="38">
        <v>0.92400000000000004</v>
      </c>
      <c r="AI30" s="63">
        <v>24</v>
      </c>
      <c r="AJ30" s="38">
        <v>0.44400000000000001</v>
      </c>
      <c r="AK30" s="38"/>
      <c r="AL30" s="38"/>
      <c r="AM30" s="63">
        <v>24</v>
      </c>
      <c r="AN30" s="38">
        <v>0.92400000000000004</v>
      </c>
    </row>
    <row r="31" spans="1:40" x14ac:dyDescent="0.25">
      <c r="E31" s="63">
        <v>25</v>
      </c>
      <c r="F31" s="38">
        <v>0.46250000000000002</v>
      </c>
      <c r="G31" s="38"/>
      <c r="H31" s="38"/>
      <c r="I31" s="63">
        <v>25</v>
      </c>
      <c r="J31" s="38">
        <v>0.96250000000000002</v>
      </c>
      <c r="K31" s="63">
        <v>25</v>
      </c>
      <c r="L31" s="38">
        <v>0.46250000000000002</v>
      </c>
      <c r="M31" s="38"/>
      <c r="N31" s="38"/>
      <c r="O31" s="63">
        <v>25</v>
      </c>
      <c r="P31" s="38">
        <v>0.96250000000000002</v>
      </c>
      <c r="Q31" s="63">
        <v>25</v>
      </c>
      <c r="R31" s="38">
        <v>0.46250000000000002</v>
      </c>
      <c r="S31" s="38"/>
      <c r="T31" s="38"/>
      <c r="U31" s="63">
        <v>25</v>
      </c>
      <c r="V31" s="38">
        <v>0.96250000000000002</v>
      </c>
      <c r="W31" s="63">
        <v>25</v>
      </c>
      <c r="X31" s="38">
        <v>0.46250000000000002</v>
      </c>
      <c r="Y31" s="38"/>
      <c r="Z31" s="38"/>
      <c r="AA31" s="63">
        <v>25</v>
      </c>
      <c r="AB31" s="38">
        <v>0.96250000000000002</v>
      </c>
      <c r="AC31" s="63">
        <v>25</v>
      </c>
      <c r="AD31" s="38">
        <v>0.46250000000000002</v>
      </c>
      <c r="AE31" s="38"/>
      <c r="AF31" s="38"/>
      <c r="AG31" s="63">
        <v>25</v>
      </c>
      <c r="AH31" s="38">
        <v>0.96250000000000002</v>
      </c>
      <c r="AI31" s="63">
        <v>25</v>
      </c>
      <c r="AJ31" s="38">
        <v>0.46250000000000002</v>
      </c>
      <c r="AK31" s="38"/>
      <c r="AL31" s="38"/>
      <c r="AM31" s="63">
        <v>25</v>
      </c>
      <c r="AN31" s="38">
        <v>0.96250000000000002</v>
      </c>
    </row>
    <row r="32" spans="1:40" x14ac:dyDescent="0.25">
      <c r="E32" s="63">
        <v>26</v>
      </c>
      <c r="F32" s="38">
        <v>0.48099999999999998</v>
      </c>
      <c r="G32" s="38"/>
      <c r="H32" s="38"/>
      <c r="I32" s="63">
        <v>26</v>
      </c>
      <c r="J32" s="38">
        <v>1.0009999999999999</v>
      </c>
      <c r="K32" s="63">
        <v>26</v>
      </c>
      <c r="L32" s="38">
        <v>0.48099999999999998</v>
      </c>
      <c r="M32" s="38"/>
      <c r="N32" s="38"/>
      <c r="O32" s="63">
        <v>26</v>
      </c>
      <c r="P32" s="38">
        <v>1.0009999999999999</v>
      </c>
      <c r="Q32" s="63">
        <v>26</v>
      </c>
      <c r="R32" s="38">
        <v>0.48099999999999998</v>
      </c>
      <c r="S32" s="38"/>
      <c r="T32" s="38"/>
      <c r="U32" s="63">
        <v>26</v>
      </c>
      <c r="V32" s="38">
        <v>1.0009999999999999</v>
      </c>
      <c r="W32" s="63">
        <v>26</v>
      </c>
      <c r="X32" s="38">
        <v>0.48099999999999998</v>
      </c>
      <c r="Y32" s="38"/>
      <c r="Z32" s="38"/>
      <c r="AA32" s="63">
        <v>26</v>
      </c>
      <c r="AB32" s="38">
        <v>1.0009999999999999</v>
      </c>
      <c r="AC32" s="63">
        <v>26</v>
      </c>
      <c r="AD32" s="38">
        <v>0.48099999999999998</v>
      </c>
      <c r="AE32" s="38"/>
      <c r="AF32" s="38"/>
      <c r="AG32" s="63">
        <v>26</v>
      </c>
      <c r="AH32" s="38">
        <v>1.0009999999999999</v>
      </c>
      <c r="AI32" s="63">
        <v>26</v>
      </c>
      <c r="AJ32" s="38">
        <v>0.48099999999999998</v>
      </c>
      <c r="AK32" s="38"/>
      <c r="AL32" s="38"/>
      <c r="AM32" s="63">
        <v>26</v>
      </c>
      <c r="AN32" s="38">
        <v>1.0009999999999999</v>
      </c>
    </row>
    <row r="33" spans="5:40" x14ac:dyDescent="0.25">
      <c r="E33" s="63">
        <v>27</v>
      </c>
      <c r="F33" s="38">
        <v>0.4995</v>
      </c>
      <c r="G33" s="38"/>
      <c r="H33" s="38"/>
      <c r="I33" s="193" t="s">
        <v>345</v>
      </c>
      <c r="J33" s="46" t="s">
        <v>342</v>
      </c>
      <c r="K33" s="63">
        <v>27</v>
      </c>
      <c r="L33" s="38">
        <v>0.4995</v>
      </c>
      <c r="M33" s="38"/>
      <c r="N33" s="38"/>
      <c r="O33" s="193" t="s">
        <v>345</v>
      </c>
      <c r="P33" s="46" t="s">
        <v>342</v>
      </c>
      <c r="Q33" s="63">
        <v>27</v>
      </c>
      <c r="R33" s="38">
        <v>0.4995</v>
      </c>
      <c r="S33" s="38"/>
      <c r="T33" s="38"/>
      <c r="U33" s="193" t="s">
        <v>345</v>
      </c>
      <c r="V33" s="46" t="s">
        <v>342</v>
      </c>
      <c r="W33" s="63">
        <v>27</v>
      </c>
      <c r="X33" s="38">
        <v>0.4995</v>
      </c>
      <c r="Y33" s="38"/>
      <c r="Z33" s="38"/>
      <c r="AA33" s="193" t="s">
        <v>345</v>
      </c>
      <c r="AB33" s="46" t="s">
        <v>342</v>
      </c>
      <c r="AC33" s="63">
        <v>27</v>
      </c>
      <c r="AD33" s="38">
        <v>0.4995</v>
      </c>
      <c r="AE33" s="38"/>
      <c r="AF33" s="38"/>
      <c r="AG33" s="193" t="s">
        <v>345</v>
      </c>
      <c r="AH33" s="46" t="s">
        <v>342</v>
      </c>
      <c r="AI33" s="63">
        <v>27</v>
      </c>
      <c r="AJ33" s="38">
        <v>0.4995</v>
      </c>
      <c r="AK33" s="38"/>
      <c r="AL33" s="38"/>
      <c r="AM33" s="193" t="s">
        <v>345</v>
      </c>
      <c r="AN33" s="46" t="s">
        <v>342</v>
      </c>
    </row>
    <row r="34" spans="5:40" x14ac:dyDescent="0.25">
      <c r="E34" s="63">
        <v>28</v>
      </c>
      <c r="F34" s="38">
        <v>0.51800000000000002</v>
      </c>
      <c r="G34" s="38"/>
      <c r="H34" s="38"/>
      <c r="I34" s="38"/>
      <c r="J34" s="38"/>
      <c r="K34" s="63">
        <v>28</v>
      </c>
      <c r="L34" s="38">
        <v>0.51800000000000002</v>
      </c>
      <c r="M34" s="38"/>
      <c r="N34" s="38"/>
      <c r="O34" s="38"/>
      <c r="P34" s="38"/>
      <c r="Q34" s="63">
        <v>28</v>
      </c>
      <c r="R34" s="38">
        <v>0.51800000000000002</v>
      </c>
      <c r="S34" s="38"/>
      <c r="T34" s="38"/>
      <c r="U34" s="38"/>
      <c r="V34" s="38"/>
      <c r="W34" s="63">
        <v>28</v>
      </c>
      <c r="X34" s="38">
        <v>0.51800000000000002</v>
      </c>
      <c r="Y34" s="38"/>
      <c r="Z34" s="38"/>
      <c r="AA34" s="38"/>
      <c r="AB34" s="38"/>
      <c r="AC34" s="63">
        <v>28</v>
      </c>
      <c r="AD34" s="38">
        <v>0.51800000000000002</v>
      </c>
      <c r="AE34" s="38"/>
      <c r="AF34" s="38"/>
      <c r="AG34" s="38"/>
      <c r="AH34" s="38"/>
      <c r="AI34" s="63">
        <v>28</v>
      </c>
      <c r="AJ34" s="38">
        <v>0.51800000000000002</v>
      </c>
      <c r="AK34" s="38"/>
      <c r="AL34" s="38"/>
      <c r="AM34" s="38"/>
      <c r="AN34" s="38"/>
    </row>
    <row r="35" spans="5:40" x14ac:dyDescent="0.25">
      <c r="E35" s="63">
        <v>29</v>
      </c>
      <c r="F35" s="38">
        <v>0.53649999999999998</v>
      </c>
      <c r="G35" s="38"/>
      <c r="H35" s="38"/>
      <c r="I35" s="38"/>
      <c r="J35" s="38"/>
      <c r="K35" s="63">
        <v>29</v>
      </c>
      <c r="L35" s="38">
        <v>0.53649999999999998</v>
      </c>
      <c r="M35" s="38"/>
      <c r="N35" s="38"/>
      <c r="O35" s="38"/>
      <c r="P35" s="38"/>
      <c r="Q35" s="63">
        <v>29</v>
      </c>
      <c r="R35" s="38">
        <v>0.53649999999999998</v>
      </c>
      <c r="S35" s="38"/>
      <c r="T35" s="38"/>
      <c r="U35" s="38"/>
      <c r="V35" s="38"/>
      <c r="W35" s="63">
        <v>29</v>
      </c>
      <c r="X35" s="38">
        <v>0.53649999999999998</v>
      </c>
      <c r="Y35" s="38"/>
      <c r="Z35" s="38"/>
      <c r="AA35" s="38"/>
      <c r="AB35" s="38"/>
      <c r="AC35" s="63">
        <v>29</v>
      </c>
      <c r="AD35" s="38">
        <v>0.53649999999999998</v>
      </c>
      <c r="AE35" s="38"/>
      <c r="AF35" s="38"/>
      <c r="AG35" s="38"/>
      <c r="AH35" s="38"/>
      <c r="AI35" s="63">
        <v>29</v>
      </c>
      <c r="AJ35" s="38">
        <v>0.53649999999999998</v>
      </c>
      <c r="AK35" s="38"/>
      <c r="AL35" s="38"/>
      <c r="AM35" s="38"/>
      <c r="AN35" s="38"/>
    </row>
    <row r="36" spans="5:40" x14ac:dyDescent="0.25">
      <c r="E36" s="63">
        <v>30</v>
      </c>
      <c r="F36" s="38">
        <v>0.55500000000000005</v>
      </c>
      <c r="G36" s="38"/>
      <c r="H36" s="38"/>
      <c r="I36" s="38"/>
      <c r="J36" s="38"/>
      <c r="K36" s="63">
        <v>30</v>
      </c>
      <c r="L36" s="38">
        <v>0.55500000000000005</v>
      </c>
      <c r="M36" s="38"/>
      <c r="N36" s="38"/>
      <c r="O36" s="38"/>
      <c r="P36" s="38"/>
      <c r="Q36" s="63">
        <v>30</v>
      </c>
      <c r="R36" s="38">
        <v>0.55500000000000005</v>
      </c>
      <c r="S36" s="38"/>
      <c r="T36" s="38"/>
      <c r="U36" s="38"/>
      <c r="V36" s="38"/>
      <c r="W36" s="63">
        <v>30</v>
      </c>
      <c r="X36" s="38">
        <v>0.55500000000000005</v>
      </c>
      <c r="Y36" s="38"/>
      <c r="Z36" s="38"/>
      <c r="AA36" s="38"/>
      <c r="AB36" s="38"/>
      <c r="AC36" s="63">
        <v>30</v>
      </c>
      <c r="AD36" s="38">
        <v>0.55500000000000005</v>
      </c>
      <c r="AE36" s="38"/>
      <c r="AF36" s="38"/>
      <c r="AG36" s="38"/>
      <c r="AH36" s="38"/>
      <c r="AI36" s="63">
        <v>30</v>
      </c>
      <c r="AJ36" s="38">
        <v>0.55500000000000005</v>
      </c>
      <c r="AK36" s="38"/>
      <c r="AL36" s="38"/>
      <c r="AM36" s="38"/>
      <c r="AN36" s="38"/>
    </row>
    <row r="37" spans="5:40" x14ac:dyDescent="0.25">
      <c r="E37" s="63">
        <v>31</v>
      </c>
      <c r="F37" s="38">
        <v>0.57350000000000001</v>
      </c>
      <c r="G37" s="38"/>
      <c r="H37" s="38"/>
      <c r="I37" s="38"/>
      <c r="J37" s="38"/>
      <c r="K37" s="63">
        <v>31</v>
      </c>
      <c r="L37" s="38">
        <v>0.57350000000000001</v>
      </c>
      <c r="M37" s="38"/>
      <c r="N37" s="38"/>
      <c r="O37" s="38"/>
      <c r="P37" s="38"/>
      <c r="Q37" s="63">
        <v>31</v>
      </c>
      <c r="R37" s="38">
        <v>0.57350000000000001</v>
      </c>
      <c r="S37" s="38"/>
      <c r="T37" s="38"/>
      <c r="U37" s="38"/>
      <c r="V37" s="38"/>
      <c r="W37" s="63">
        <v>31</v>
      </c>
      <c r="X37" s="38">
        <v>0.57350000000000001</v>
      </c>
      <c r="Y37" s="38"/>
      <c r="Z37" s="38"/>
      <c r="AA37" s="38"/>
      <c r="AB37" s="38"/>
      <c r="AC37" s="63">
        <v>31</v>
      </c>
      <c r="AD37" s="38">
        <v>0.57350000000000001</v>
      </c>
      <c r="AE37" s="38"/>
      <c r="AF37" s="38"/>
      <c r="AG37" s="38"/>
      <c r="AH37" s="38"/>
      <c r="AI37" s="63">
        <v>31</v>
      </c>
      <c r="AJ37" s="38">
        <v>0.57350000000000001</v>
      </c>
      <c r="AK37" s="38"/>
      <c r="AL37" s="38"/>
      <c r="AM37" s="38"/>
      <c r="AN37" s="38"/>
    </row>
    <row r="38" spans="5:40" x14ac:dyDescent="0.25">
      <c r="E38" s="63">
        <v>32</v>
      </c>
      <c r="F38" s="38">
        <v>0.59199999999999997</v>
      </c>
      <c r="G38" s="38"/>
      <c r="H38" s="38"/>
      <c r="I38" s="38"/>
      <c r="J38" s="38"/>
      <c r="K38" s="63">
        <v>32</v>
      </c>
      <c r="L38" s="38">
        <v>0.59199999999999997</v>
      </c>
      <c r="M38" s="38"/>
      <c r="N38" s="38"/>
      <c r="O38" s="38"/>
      <c r="P38" s="38"/>
      <c r="Q38" s="63">
        <v>32</v>
      </c>
      <c r="R38" s="38">
        <v>0.59199999999999997</v>
      </c>
      <c r="S38" s="38"/>
      <c r="T38" s="38"/>
      <c r="U38" s="38"/>
      <c r="V38" s="38"/>
      <c r="W38" s="63">
        <v>32</v>
      </c>
      <c r="X38" s="38">
        <v>0.59199999999999997</v>
      </c>
      <c r="Y38" s="38"/>
      <c r="Z38" s="38"/>
      <c r="AA38" s="38"/>
      <c r="AB38" s="38"/>
      <c r="AC38" s="63">
        <v>32</v>
      </c>
      <c r="AD38" s="38">
        <v>0.59199999999999997</v>
      </c>
      <c r="AE38" s="38"/>
      <c r="AF38" s="38"/>
      <c r="AG38" s="38"/>
      <c r="AH38" s="38"/>
      <c r="AI38" s="63">
        <v>32</v>
      </c>
      <c r="AJ38" s="38">
        <v>0.59199999999999997</v>
      </c>
      <c r="AK38" s="38"/>
      <c r="AL38" s="38"/>
      <c r="AM38" s="38"/>
      <c r="AN38" s="38"/>
    </row>
    <row r="39" spans="5:40" x14ac:dyDescent="0.25">
      <c r="E39" s="63">
        <v>33</v>
      </c>
      <c r="F39" s="38">
        <v>0.61050000000000004</v>
      </c>
      <c r="G39" s="38"/>
      <c r="H39" s="38"/>
      <c r="I39" s="38"/>
      <c r="J39" s="38"/>
      <c r="K39" s="63">
        <v>33</v>
      </c>
      <c r="L39" s="38">
        <v>0.61050000000000004</v>
      </c>
      <c r="M39" s="38"/>
      <c r="N39" s="38"/>
      <c r="O39" s="38"/>
      <c r="P39" s="38"/>
      <c r="Q39" s="63">
        <v>33</v>
      </c>
      <c r="R39" s="38">
        <v>0.61050000000000004</v>
      </c>
      <c r="S39" s="38"/>
      <c r="T39" s="38"/>
      <c r="U39" s="38"/>
      <c r="V39" s="38"/>
      <c r="W39" s="63">
        <v>33</v>
      </c>
      <c r="X39" s="38">
        <v>0.61050000000000004</v>
      </c>
      <c r="Y39" s="38"/>
      <c r="Z39" s="38"/>
      <c r="AA39" s="38"/>
      <c r="AB39" s="38"/>
      <c r="AC39" s="63">
        <v>33</v>
      </c>
      <c r="AD39" s="38">
        <v>0.61050000000000004</v>
      </c>
      <c r="AE39" s="38"/>
      <c r="AF39" s="38"/>
      <c r="AG39" s="38"/>
      <c r="AH39" s="38"/>
      <c r="AI39" s="63">
        <v>33</v>
      </c>
      <c r="AJ39" s="38">
        <v>0.61050000000000004</v>
      </c>
      <c r="AK39" s="38"/>
      <c r="AL39" s="38"/>
      <c r="AM39" s="38"/>
      <c r="AN39" s="38"/>
    </row>
    <row r="40" spans="5:40" x14ac:dyDescent="0.25">
      <c r="E40" s="63">
        <v>34</v>
      </c>
      <c r="F40" s="38">
        <v>0.629</v>
      </c>
      <c r="G40" s="38"/>
      <c r="H40" s="38"/>
      <c r="I40" s="38"/>
      <c r="J40" s="38"/>
      <c r="K40" s="63">
        <v>34</v>
      </c>
      <c r="L40" s="38">
        <v>0.629</v>
      </c>
      <c r="M40" s="38"/>
      <c r="N40" s="38"/>
      <c r="O40" s="38"/>
      <c r="P40" s="38"/>
      <c r="Q40" s="63">
        <v>34</v>
      </c>
      <c r="R40" s="38">
        <v>0.629</v>
      </c>
      <c r="S40" s="38"/>
      <c r="T40" s="38"/>
      <c r="U40" s="38"/>
      <c r="V40" s="38"/>
      <c r="W40" s="63">
        <v>34</v>
      </c>
      <c r="X40" s="38">
        <v>0.629</v>
      </c>
      <c r="Y40" s="38"/>
      <c r="Z40" s="38"/>
      <c r="AA40" s="38"/>
      <c r="AB40" s="38"/>
      <c r="AC40" s="63">
        <v>34</v>
      </c>
      <c r="AD40" s="38">
        <v>0.629</v>
      </c>
      <c r="AE40" s="38"/>
      <c r="AF40" s="38"/>
      <c r="AG40" s="38"/>
      <c r="AH40" s="38"/>
      <c r="AI40" s="63">
        <v>34</v>
      </c>
      <c r="AJ40" s="38">
        <v>0.629</v>
      </c>
      <c r="AK40" s="38"/>
      <c r="AL40" s="38"/>
      <c r="AM40" s="38"/>
      <c r="AN40" s="38"/>
    </row>
    <row r="41" spans="5:40" x14ac:dyDescent="0.25">
      <c r="E41" s="63">
        <v>35</v>
      </c>
      <c r="F41" s="38">
        <v>0.64749999999999996</v>
      </c>
      <c r="G41" s="38"/>
      <c r="H41" s="38"/>
      <c r="I41" s="38"/>
      <c r="J41" s="38"/>
      <c r="K41" s="63">
        <v>35</v>
      </c>
      <c r="L41" s="38">
        <v>0.64749999999999996</v>
      </c>
      <c r="M41" s="38"/>
      <c r="N41" s="38"/>
      <c r="O41" s="38"/>
      <c r="P41" s="38"/>
      <c r="Q41" s="63">
        <v>35</v>
      </c>
      <c r="R41" s="38">
        <v>0.64749999999999996</v>
      </c>
      <c r="S41" s="38"/>
      <c r="T41" s="38"/>
      <c r="U41" s="38"/>
      <c r="V41" s="38"/>
      <c r="W41" s="63">
        <v>35</v>
      </c>
      <c r="X41" s="38">
        <v>0.64749999999999996</v>
      </c>
      <c r="Y41" s="38"/>
      <c r="Z41" s="38"/>
      <c r="AA41" s="38"/>
      <c r="AB41" s="38"/>
      <c r="AC41" s="63">
        <v>35</v>
      </c>
      <c r="AD41" s="38">
        <v>0.64749999999999996</v>
      </c>
      <c r="AE41" s="38"/>
      <c r="AF41" s="38"/>
      <c r="AG41" s="38"/>
      <c r="AH41" s="38"/>
      <c r="AI41" s="63">
        <v>35</v>
      </c>
      <c r="AJ41" s="38">
        <v>0.64749999999999996</v>
      </c>
      <c r="AK41" s="38"/>
      <c r="AL41" s="38"/>
      <c r="AM41" s="38"/>
      <c r="AN41" s="38"/>
    </row>
    <row r="42" spans="5:40" x14ac:dyDescent="0.25">
      <c r="E42" s="63">
        <v>36</v>
      </c>
      <c r="F42" s="38">
        <v>0.66600000000000004</v>
      </c>
      <c r="G42" s="38"/>
      <c r="H42" s="38"/>
      <c r="I42" s="38"/>
      <c r="J42" s="38"/>
      <c r="K42" s="63">
        <v>36</v>
      </c>
      <c r="L42" s="38">
        <v>0.66600000000000004</v>
      </c>
      <c r="M42" s="38"/>
      <c r="N42" s="38"/>
      <c r="O42" s="38"/>
      <c r="P42" s="38"/>
      <c r="Q42" s="63">
        <v>36</v>
      </c>
      <c r="R42" s="38">
        <v>0.66600000000000004</v>
      </c>
      <c r="S42" s="38"/>
      <c r="T42" s="38"/>
      <c r="U42" s="38"/>
      <c r="V42" s="38"/>
      <c r="W42" s="63">
        <v>36</v>
      </c>
      <c r="X42" s="38">
        <v>0.66600000000000004</v>
      </c>
      <c r="Y42" s="38"/>
      <c r="Z42" s="38"/>
      <c r="AA42" s="38"/>
      <c r="AB42" s="38"/>
      <c r="AC42" s="63">
        <v>36</v>
      </c>
      <c r="AD42" s="38">
        <v>0.66600000000000004</v>
      </c>
      <c r="AE42" s="38"/>
      <c r="AF42" s="38"/>
      <c r="AG42" s="38"/>
      <c r="AH42" s="38"/>
      <c r="AI42" s="63">
        <v>36</v>
      </c>
      <c r="AJ42" s="38">
        <v>0.66600000000000004</v>
      </c>
      <c r="AK42" s="38"/>
      <c r="AL42" s="38"/>
      <c r="AM42" s="38"/>
      <c r="AN42" s="38"/>
    </row>
    <row r="43" spans="5:40" x14ac:dyDescent="0.25">
      <c r="E43" s="63">
        <v>37</v>
      </c>
      <c r="F43" s="38">
        <v>0.6845</v>
      </c>
      <c r="G43" s="38"/>
      <c r="H43" s="38"/>
      <c r="I43" s="38"/>
      <c r="J43" s="38"/>
      <c r="K43" s="63">
        <v>37</v>
      </c>
      <c r="L43" s="38">
        <v>0.6845</v>
      </c>
      <c r="M43" s="38"/>
      <c r="N43" s="38"/>
      <c r="O43" s="38"/>
      <c r="P43" s="38"/>
      <c r="Q43" s="63">
        <v>37</v>
      </c>
      <c r="R43" s="38">
        <v>0.6845</v>
      </c>
      <c r="S43" s="38"/>
      <c r="T43" s="38"/>
      <c r="U43" s="38"/>
      <c r="V43" s="38"/>
      <c r="W43" s="63">
        <v>37</v>
      </c>
      <c r="X43" s="38">
        <v>0.6845</v>
      </c>
      <c r="Y43" s="38"/>
      <c r="Z43" s="38"/>
      <c r="AA43" s="38"/>
      <c r="AB43" s="38"/>
      <c r="AC43" s="63">
        <v>37</v>
      </c>
      <c r="AD43" s="38">
        <v>0.6845</v>
      </c>
      <c r="AE43" s="38"/>
      <c r="AF43" s="38"/>
      <c r="AG43" s="38"/>
      <c r="AH43" s="38"/>
      <c r="AI43" s="63">
        <v>37</v>
      </c>
      <c r="AJ43" s="38">
        <v>0.6845</v>
      </c>
      <c r="AK43" s="38"/>
      <c r="AL43" s="38"/>
      <c r="AM43" s="38"/>
      <c r="AN43" s="38"/>
    </row>
    <row r="44" spans="5:40" x14ac:dyDescent="0.25">
      <c r="E44" s="63">
        <v>38</v>
      </c>
      <c r="F44" s="38">
        <v>0.70299999999999996</v>
      </c>
      <c r="G44" s="38"/>
      <c r="H44" s="38"/>
      <c r="I44" s="38"/>
      <c r="J44" s="38"/>
      <c r="K44" s="63">
        <v>38</v>
      </c>
      <c r="L44" s="38">
        <v>0.70299999999999996</v>
      </c>
      <c r="M44" s="38"/>
      <c r="N44" s="38"/>
      <c r="O44" s="38"/>
      <c r="P44" s="38"/>
      <c r="Q44" s="63">
        <v>38</v>
      </c>
      <c r="R44" s="38">
        <v>0.70299999999999996</v>
      </c>
      <c r="S44" s="38"/>
      <c r="T44" s="38"/>
      <c r="U44" s="38"/>
      <c r="V44" s="38"/>
      <c r="W44" s="63">
        <v>38</v>
      </c>
      <c r="X44" s="38">
        <v>0.70299999999999996</v>
      </c>
      <c r="Y44" s="38"/>
      <c r="Z44" s="38"/>
      <c r="AA44" s="38"/>
      <c r="AB44" s="38"/>
      <c r="AC44" s="63">
        <v>38</v>
      </c>
      <c r="AD44" s="38">
        <v>0.70299999999999996</v>
      </c>
      <c r="AE44" s="38"/>
      <c r="AF44" s="38"/>
      <c r="AG44" s="38"/>
      <c r="AH44" s="38"/>
      <c r="AI44" s="63">
        <v>38</v>
      </c>
      <c r="AJ44" s="38">
        <v>0.70299999999999996</v>
      </c>
      <c r="AK44" s="38"/>
      <c r="AL44" s="38"/>
      <c r="AM44" s="38"/>
      <c r="AN44" s="38"/>
    </row>
    <row r="45" spans="5:40" x14ac:dyDescent="0.25">
      <c r="E45" s="63">
        <v>39</v>
      </c>
      <c r="F45" s="38">
        <v>0.72150000000000003</v>
      </c>
      <c r="G45" s="38"/>
      <c r="H45" s="38"/>
      <c r="I45" s="38"/>
      <c r="J45" s="38"/>
      <c r="K45" s="63">
        <v>39</v>
      </c>
      <c r="L45" s="38">
        <v>0.72150000000000003</v>
      </c>
      <c r="M45" s="38"/>
      <c r="N45" s="38"/>
      <c r="O45" s="38"/>
      <c r="P45" s="38"/>
      <c r="Q45" s="63">
        <v>39</v>
      </c>
      <c r="R45" s="38">
        <v>0.72150000000000003</v>
      </c>
      <c r="S45" s="38"/>
      <c r="T45" s="38"/>
      <c r="U45" s="38"/>
      <c r="V45" s="38"/>
      <c r="W45" s="63">
        <v>39</v>
      </c>
      <c r="X45" s="38">
        <v>0.72150000000000003</v>
      </c>
      <c r="Y45" s="38"/>
      <c r="Z45" s="38"/>
      <c r="AA45" s="38"/>
      <c r="AB45" s="38"/>
      <c r="AC45" s="63">
        <v>39</v>
      </c>
      <c r="AD45" s="38">
        <v>0.72150000000000003</v>
      </c>
      <c r="AE45" s="38"/>
      <c r="AF45" s="38"/>
      <c r="AG45" s="38"/>
      <c r="AH45" s="38"/>
      <c r="AI45" s="63">
        <v>39</v>
      </c>
      <c r="AJ45" s="38">
        <v>0.72150000000000003</v>
      </c>
      <c r="AK45" s="38"/>
      <c r="AL45" s="38"/>
      <c r="AM45" s="38"/>
      <c r="AN45" s="38"/>
    </row>
    <row r="46" spans="5:40" x14ac:dyDescent="0.25">
      <c r="E46" s="63">
        <v>40</v>
      </c>
      <c r="F46" s="38">
        <v>0.74</v>
      </c>
      <c r="G46" s="38"/>
      <c r="H46" s="38"/>
      <c r="I46" s="38"/>
      <c r="J46" s="38"/>
      <c r="K46" s="63">
        <v>40</v>
      </c>
      <c r="L46" s="38">
        <v>0.74</v>
      </c>
      <c r="M46" s="38"/>
      <c r="N46" s="38"/>
      <c r="O46" s="38"/>
      <c r="P46" s="38"/>
      <c r="Q46" s="63">
        <v>40</v>
      </c>
      <c r="R46" s="38">
        <v>0.74</v>
      </c>
      <c r="S46" s="38"/>
      <c r="T46" s="38"/>
      <c r="U46" s="38"/>
      <c r="V46" s="38"/>
      <c r="W46" s="63">
        <v>40</v>
      </c>
      <c r="X46" s="38">
        <v>0.74</v>
      </c>
      <c r="Y46" s="38"/>
      <c r="Z46" s="38"/>
      <c r="AA46" s="38"/>
      <c r="AB46" s="38"/>
      <c r="AC46" s="63">
        <v>40</v>
      </c>
      <c r="AD46" s="38">
        <v>0.74</v>
      </c>
      <c r="AE46" s="38"/>
      <c r="AF46" s="38"/>
      <c r="AG46" s="38"/>
      <c r="AH46" s="38"/>
      <c r="AI46" s="63">
        <v>40</v>
      </c>
      <c r="AJ46" s="38">
        <v>0.74</v>
      </c>
      <c r="AK46" s="38"/>
      <c r="AL46" s="38"/>
      <c r="AM46" s="38"/>
      <c r="AN46" s="38"/>
    </row>
    <row r="47" spans="5:40" x14ac:dyDescent="0.25">
      <c r="E47" s="63">
        <v>41</v>
      </c>
      <c r="F47" s="38">
        <v>0.75849999999999995</v>
      </c>
      <c r="G47" s="38"/>
      <c r="H47" s="38"/>
      <c r="I47" s="38"/>
      <c r="J47" s="38"/>
      <c r="K47" s="63">
        <v>41</v>
      </c>
      <c r="L47" s="38">
        <v>0.75849999999999995</v>
      </c>
      <c r="M47" s="38"/>
      <c r="N47" s="38"/>
      <c r="O47" s="38"/>
      <c r="P47" s="38"/>
      <c r="Q47" s="63">
        <v>41</v>
      </c>
      <c r="R47" s="38">
        <v>0.75849999999999995</v>
      </c>
      <c r="S47" s="38"/>
      <c r="T47" s="38"/>
      <c r="U47" s="38"/>
      <c r="V47" s="38"/>
      <c r="W47" s="63">
        <v>41</v>
      </c>
      <c r="X47" s="38">
        <v>0.75849999999999995</v>
      </c>
      <c r="Y47" s="38"/>
      <c r="Z47" s="38"/>
      <c r="AA47" s="38"/>
      <c r="AB47" s="38"/>
      <c r="AC47" s="63">
        <v>41</v>
      </c>
      <c r="AD47" s="38">
        <v>0.75849999999999995</v>
      </c>
      <c r="AE47" s="38"/>
      <c r="AF47" s="38"/>
      <c r="AG47" s="38"/>
      <c r="AH47" s="38"/>
      <c r="AI47" s="63">
        <v>41</v>
      </c>
      <c r="AJ47" s="38">
        <v>0.75849999999999995</v>
      </c>
      <c r="AK47" s="38"/>
      <c r="AL47" s="38"/>
      <c r="AM47" s="38"/>
      <c r="AN47" s="38"/>
    </row>
    <row r="48" spans="5:40" x14ac:dyDescent="0.25">
      <c r="E48" s="63">
        <v>42</v>
      </c>
      <c r="F48" s="38">
        <v>0.77700000000000002</v>
      </c>
      <c r="G48" s="38"/>
      <c r="H48" s="38"/>
      <c r="I48" s="38"/>
      <c r="J48" s="38"/>
      <c r="K48" s="63">
        <v>42</v>
      </c>
      <c r="L48" s="38">
        <v>0.77700000000000002</v>
      </c>
      <c r="M48" s="38"/>
      <c r="N48" s="38"/>
      <c r="O48" s="38"/>
      <c r="P48" s="38"/>
      <c r="Q48" s="63">
        <v>42</v>
      </c>
      <c r="R48" s="38">
        <v>0.77700000000000002</v>
      </c>
      <c r="S48" s="38"/>
      <c r="T48" s="38"/>
      <c r="U48" s="38"/>
      <c r="V48" s="38"/>
      <c r="W48" s="63">
        <v>42</v>
      </c>
      <c r="X48" s="38">
        <v>0.77700000000000002</v>
      </c>
      <c r="Y48" s="38"/>
      <c r="Z48" s="38"/>
      <c r="AA48" s="38"/>
      <c r="AB48" s="38"/>
      <c r="AC48" s="63">
        <v>42</v>
      </c>
      <c r="AD48" s="38">
        <v>0.77700000000000002</v>
      </c>
      <c r="AE48" s="38"/>
      <c r="AF48" s="38"/>
      <c r="AG48" s="38"/>
      <c r="AH48" s="38"/>
      <c r="AI48" s="63">
        <v>42</v>
      </c>
      <c r="AJ48" s="38">
        <v>0.77700000000000002</v>
      </c>
      <c r="AK48" s="38"/>
      <c r="AL48" s="38"/>
      <c r="AM48" s="38"/>
      <c r="AN48" s="38"/>
    </row>
    <row r="49" spans="5:40" x14ac:dyDescent="0.25">
      <c r="E49" s="63">
        <v>43</v>
      </c>
      <c r="F49" s="38">
        <v>0.79549999999999998</v>
      </c>
      <c r="G49" s="38"/>
      <c r="H49" s="38"/>
      <c r="I49" s="38"/>
      <c r="J49" s="38"/>
      <c r="K49" s="63">
        <v>43</v>
      </c>
      <c r="L49" s="38">
        <v>0.79549999999999998</v>
      </c>
      <c r="M49" s="38"/>
      <c r="N49" s="38"/>
      <c r="O49" s="38"/>
      <c r="P49" s="38"/>
      <c r="Q49" s="63">
        <v>43</v>
      </c>
      <c r="R49" s="38">
        <v>0.79549999999999998</v>
      </c>
      <c r="S49" s="38"/>
      <c r="T49" s="38"/>
      <c r="U49" s="38"/>
      <c r="V49" s="38"/>
      <c r="W49" s="63">
        <v>43</v>
      </c>
      <c r="X49" s="38">
        <v>0.79549999999999998</v>
      </c>
      <c r="Y49" s="38"/>
      <c r="Z49" s="38"/>
      <c r="AA49" s="38"/>
      <c r="AB49" s="38"/>
      <c r="AC49" s="63">
        <v>43</v>
      </c>
      <c r="AD49" s="38">
        <v>0.79549999999999998</v>
      </c>
      <c r="AE49" s="38"/>
      <c r="AF49" s="38"/>
      <c r="AG49" s="38"/>
      <c r="AH49" s="38"/>
      <c r="AI49" s="63">
        <v>43</v>
      </c>
      <c r="AJ49" s="38">
        <v>0.79549999999999998</v>
      </c>
      <c r="AK49" s="38"/>
      <c r="AL49" s="38"/>
      <c r="AM49" s="38"/>
      <c r="AN49" s="38"/>
    </row>
    <row r="50" spans="5:40" x14ac:dyDescent="0.25">
      <c r="E50" s="63">
        <v>44</v>
      </c>
      <c r="F50" s="38">
        <v>0.81399999999999995</v>
      </c>
      <c r="G50" s="38"/>
      <c r="H50" s="38"/>
      <c r="I50" s="38"/>
      <c r="J50" s="38"/>
      <c r="K50" s="63">
        <v>44</v>
      </c>
      <c r="L50" s="38">
        <v>0.81399999999999995</v>
      </c>
      <c r="M50" s="38"/>
      <c r="N50" s="38"/>
      <c r="O50" s="38"/>
      <c r="P50" s="38"/>
      <c r="Q50" s="63">
        <v>44</v>
      </c>
      <c r="R50" s="38">
        <v>0.81399999999999995</v>
      </c>
      <c r="S50" s="38"/>
      <c r="T50" s="38"/>
      <c r="U50" s="38"/>
      <c r="V50" s="38"/>
      <c r="W50" s="63">
        <v>44</v>
      </c>
      <c r="X50" s="38">
        <v>0.81399999999999995</v>
      </c>
      <c r="Y50" s="38"/>
      <c r="Z50" s="38"/>
      <c r="AA50" s="38"/>
      <c r="AB50" s="38"/>
      <c r="AC50" s="63">
        <v>44</v>
      </c>
      <c r="AD50" s="38">
        <v>0.81399999999999995</v>
      </c>
      <c r="AE50" s="38"/>
      <c r="AF50" s="38"/>
      <c r="AG50" s="38"/>
      <c r="AH50" s="38"/>
      <c r="AI50" s="63">
        <v>44</v>
      </c>
      <c r="AJ50" s="38">
        <v>0.81399999999999995</v>
      </c>
      <c r="AK50" s="38"/>
      <c r="AL50" s="38"/>
      <c r="AM50" s="38"/>
      <c r="AN50" s="38"/>
    </row>
    <row r="51" spans="5:40" x14ac:dyDescent="0.25">
      <c r="E51" s="63">
        <v>45</v>
      </c>
      <c r="F51" s="38">
        <v>0.83250000000000002</v>
      </c>
      <c r="G51" s="38"/>
      <c r="H51" s="38"/>
      <c r="I51" s="38"/>
      <c r="J51" s="38"/>
      <c r="K51" s="63">
        <v>45</v>
      </c>
      <c r="L51" s="38">
        <v>0.83250000000000002</v>
      </c>
      <c r="M51" s="38"/>
      <c r="N51" s="38"/>
      <c r="O51" s="38"/>
      <c r="P51" s="38"/>
      <c r="Q51" s="63">
        <v>45</v>
      </c>
      <c r="R51" s="38">
        <v>0.83250000000000002</v>
      </c>
      <c r="S51" s="38"/>
      <c r="T51" s="38"/>
      <c r="U51" s="38"/>
      <c r="V51" s="38"/>
      <c r="W51" s="63">
        <v>45</v>
      </c>
      <c r="X51" s="38">
        <v>0.83250000000000002</v>
      </c>
      <c r="Y51" s="38"/>
      <c r="Z51" s="38"/>
      <c r="AA51" s="38"/>
      <c r="AB51" s="38"/>
      <c r="AC51" s="63">
        <v>45</v>
      </c>
      <c r="AD51" s="38">
        <v>0.83250000000000002</v>
      </c>
      <c r="AE51" s="38"/>
      <c r="AF51" s="38"/>
      <c r="AG51" s="38"/>
      <c r="AH51" s="38"/>
      <c r="AI51" s="63">
        <v>45</v>
      </c>
      <c r="AJ51" s="38">
        <v>0.83250000000000002</v>
      </c>
      <c r="AK51" s="38"/>
      <c r="AL51" s="38"/>
      <c r="AM51" s="38"/>
      <c r="AN51" s="38"/>
    </row>
    <row r="52" spans="5:40" x14ac:dyDescent="0.25">
      <c r="E52" s="63">
        <v>46</v>
      </c>
      <c r="F52" s="38">
        <v>0.85099999999999998</v>
      </c>
      <c r="G52" s="38"/>
      <c r="H52" s="38"/>
      <c r="I52" s="38"/>
      <c r="J52" s="38"/>
      <c r="K52" s="63">
        <v>46</v>
      </c>
      <c r="L52" s="38">
        <v>0.85099999999999998</v>
      </c>
      <c r="M52" s="38"/>
      <c r="N52" s="38"/>
      <c r="O52" s="38"/>
      <c r="P52" s="38"/>
      <c r="Q52" s="63">
        <v>46</v>
      </c>
      <c r="R52" s="38">
        <v>0.85099999999999998</v>
      </c>
      <c r="S52" s="38"/>
      <c r="T52" s="38"/>
      <c r="U52" s="38"/>
      <c r="V52" s="38"/>
      <c r="W52" s="63">
        <v>46</v>
      </c>
      <c r="X52" s="38">
        <v>0.85099999999999998</v>
      </c>
      <c r="Y52" s="38"/>
      <c r="Z52" s="38"/>
      <c r="AA52" s="38"/>
      <c r="AB52" s="38"/>
      <c r="AC52" s="63">
        <v>46</v>
      </c>
      <c r="AD52" s="38">
        <v>0.85099999999999998</v>
      </c>
      <c r="AE52" s="38"/>
      <c r="AF52" s="38"/>
      <c r="AG52" s="38"/>
      <c r="AH52" s="38"/>
      <c r="AI52" s="63">
        <v>46</v>
      </c>
      <c r="AJ52" s="38">
        <v>0.85099999999999998</v>
      </c>
      <c r="AK52" s="38"/>
      <c r="AL52" s="38"/>
      <c r="AM52" s="38"/>
      <c r="AN52" s="38"/>
    </row>
    <row r="53" spans="5:40" x14ac:dyDescent="0.25">
      <c r="E53" s="63">
        <v>47</v>
      </c>
      <c r="F53" s="38">
        <v>0.86950000000000005</v>
      </c>
      <c r="G53" s="38"/>
      <c r="H53" s="38"/>
      <c r="I53" s="38"/>
      <c r="J53" s="38"/>
      <c r="K53" s="63">
        <v>47</v>
      </c>
      <c r="L53" s="38">
        <v>0.86950000000000005</v>
      </c>
      <c r="M53" s="38"/>
      <c r="N53" s="38"/>
      <c r="O53" s="38"/>
      <c r="P53" s="38"/>
      <c r="Q53" s="63">
        <v>47</v>
      </c>
      <c r="R53" s="38">
        <v>0.86950000000000005</v>
      </c>
      <c r="S53" s="38"/>
      <c r="T53" s="38"/>
      <c r="U53" s="38"/>
      <c r="V53" s="38"/>
      <c r="W53" s="63">
        <v>47</v>
      </c>
      <c r="X53" s="38">
        <v>0.86950000000000005</v>
      </c>
      <c r="Y53" s="38"/>
      <c r="Z53" s="38"/>
      <c r="AA53" s="38"/>
      <c r="AB53" s="38"/>
      <c r="AC53" s="63">
        <v>47</v>
      </c>
      <c r="AD53" s="38">
        <v>0.86950000000000005</v>
      </c>
      <c r="AE53" s="38"/>
      <c r="AF53" s="38"/>
      <c r="AG53" s="38"/>
      <c r="AH53" s="38"/>
      <c r="AI53" s="63">
        <v>47</v>
      </c>
      <c r="AJ53" s="38">
        <v>0.86950000000000005</v>
      </c>
      <c r="AK53" s="38"/>
      <c r="AL53" s="38"/>
      <c r="AM53" s="38"/>
      <c r="AN53" s="38"/>
    </row>
    <row r="54" spans="5:40" x14ac:dyDescent="0.25">
      <c r="E54" s="63">
        <v>48</v>
      </c>
      <c r="F54" s="38">
        <v>0.88800000000000001</v>
      </c>
      <c r="G54" s="38"/>
      <c r="H54" s="38"/>
      <c r="I54" s="38"/>
      <c r="J54" s="38"/>
      <c r="K54" s="63">
        <v>48</v>
      </c>
      <c r="L54" s="38">
        <v>0.88800000000000001</v>
      </c>
      <c r="M54" s="38"/>
      <c r="N54" s="38"/>
      <c r="O54" s="38"/>
      <c r="P54" s="38"/>
      <c r="Q54" s="63">
        <v>48</v>
      </c>
      <c r="R54" s="38">
        <v>0.88800000000000001</v>
      </c>
      <c r="S54" s="38"/>
      <c r="T54" s="38"/>
      <c r="U54" s="38"/>
      <c r="V54" s="38"/>
      <c r="W54" s="63">
        <v>48</v>
      </c>
      <c r="X54" s="38">
        <v>0.88800000000000001</v>
      </c>
      <c r="Y54" s="38"/>
      <c r="Z54" s="38"/>
      <c r="AA54" s="38"/>
      <c r="AB54" s="38"/>
      <c r="AC54" s="63">
        <v>48</v>
      </c>
      <c r="AD54" s="38">
        <v>0.88800000000000001</v>
      </c>
      <c r="AE54" s="38"/>
      <c r="AF54" s="38"/>
      <c r="AG54" s="38"/>
      <c r="AH54" s="38"/>
      <c r="AI54" s="63">
        <v>48</v>
      </c>
      <c r="AJ54" s="38">
        <v>0.88800000000000001</v>
      </c>
      <c r="AK54" s="38"/>
      <c r="AL54" s="38"/>
      <c r="AM54" s="38"/>
      <c r="AN54" s="38"/>
    </row>
    <row r="55" spans="5:40" x14ac:dyDescent="0.25">
      <c r="E55" s="63">
        <v>49</v>
      </c>
      <c r="F55" s="38">
        <v>0.90649999999999997</v>
      </c>
      <c r="G55" s="38"/>
      <c r="H55" s="38"/>
      <c r="I55" s="38"/>
      <c r="J55" s="38"/>
      <c r="K55" s="63">
        <v>49</v>
      </c>
      <c r="L55" s="38">
        <v>0.90649999999999997</v>
      </c>
      <c r="M55" s="38"/>
      <c r="N55" s="38"/>
      <c r="O55" s="38"/>
      <c r="P55" s="38"/>
      <c r="Q55" s="63">
        <v>49</v>
      </c>
      <c r="R55" s="38">
        <v>0.90649999999999997</v>
      </c>
      <c r="S55" s="38"/>
      <c r="T55" s="38"/>
      <c r="U55" s="38"/>
      <c r="V55" s="38"/>
      <c r="W55" s="63">
        <v>49</v>
      </c>
      <c r="X55" s="38">
        <v>0.90649999999999997</v>
      </c>
      <c r="Y55" s="38"/>
      <c r="Z55" s="38"/>
      <c r="AA55" s="38"/>
      <c r="AB55" s="38"/>
      <c r="AC55" s="63">
        <v>49</v>
      </c>
      <c r="AD55" s="38">
        <v>0.90649999999999997</v>
      </c>
      <c r="AE55" s="38"/>
      <c r="AF55" s="38"/>
      <c r="AG55" s="38"/>
      <c r="AH55" s="38"/>
      <c r="AI55" s="63">
        <v>49</v>
      </c>
      <c r="AJ55" s="38">
        <v>0.90649999999999997</v>
      </c>
      <c r="AK55" s="38"/>
      <c r="AL55" s="38"/>
      <c r="AM55" s="38"/>
      <c r="AN55" s="38"/>
    </row>
    <row r="56" spans="5:40" x14ac:dyDescent="0.25">
      <c r="E56" s="63">
        <v>50</v>
      </c>
      <c r="F56" s="38">
        <v>0.92500000000000004</v>
      </c>
      <c r="G56" s="38"/>
      <c r="H56" s="38"/>
      <c r="I56" s="38"/>
      <c r="J56" s="38"/>
      <c r="K56" s="63">
        <v>50</v>
      </c>
      <c r="L56" s="38">
        <v>0.92500000000000004</v>
      </c>
      <c r="M56" s="38"/>
      <c r="N56" s="38"/>
      <c r="O56" s="38"/>
      <c r="P56" s="38"/>
      <c r="Q56" s="63">
        <v>50</v>
      </c>
      <c r="R56" s="38">
        <v>0.92500000000000004</v>
      </c>
      <c r="S56" s="38"/>
      <c r="T56" s="38"/>
      <c r="U56" s="38"/>
      <c r="V56" s="38"/>
      <c r="W56" s="63">
        <v>50</v>
      </c>
      <c r="X56" s="38">
        <v>0.92500000000000004</v>
      </c>
      <c r="Y56" s="38"/>
      <c r="Z56" s="38"/>
      <c r="AA56" s="38"/>
      <c r="AB56" s="38"/>
      <c r="AC56" s="63">
        <v>50</v>
      </c>
      <c r="AD56" s="38">
        <v>0.92500000000000004</v>
      </c>
      <c r="AE56" s="38"/>
      <c r="AF56" s="38"/>
      <c r="AG56" s="38"/>
      <c r="AH56" s="38"/>
      <c r="AI56" s="63">
        <v>50</v>
      </c>
      <c r="AJ56" s="38">
        <v>0.92500000000000004</v>
      </c>
      <c r="AK56" s="38"/>
      <c r="AL56" s="38"/>
      <c r="AM56" s="38"/>
      <c r="AN56" s="38"/>
    </row>
    <row r="57" spans="5:40" x14ac:dyDescent="0.25">
      <c r="E57" s="63">
        <v>51</v>
      </c>
      <c r="F57" s="38">
        <v>0.94350000000000001</v>
      </c>
      <c r="G57" s="38"/>
      <c r="H57" s="38"/>
      <c r="I57" s="38"/>
      <c r="J57" s="38"/>
      <c r="K57" s="63">
        <v>51</v>
      </c>
      <c r="L57" s="38">
        <v>0.94350000000000001</v>
      </c>
      <c r="M57" s="38"/>
      <c r="N57" s="38"/>
      <c r="O57" s="38"/>
      <c r="P57" s="38"/>
      <c r="Q57" s="63">
        <v>51</v>
      </c>
      <c r="R57" s="38">
        <v>0.94350000000000001</v>
      </c>
      <c r="S57" s="38"/>
      <c r="T57" s="38"/>
      <c r="U57" s="38"/>
      <c r="V57" s="38"/>
      <c r="W57" s="63">
        <v>51</v>
      </c>
      <c r="X57" s="38">
        <v>0.94350000000000001</v>
      </c>
      <c r="Y57" s="38"/>
      <c r="Z57" s="38"/>
      <c r="AA57" s="38"/>
      <c r="AB57" s="38"/>
      <c r="AC57" s="63">
        <v>51</v>
      </c>
      <c r="AD57" s="38">
        <v>0.94350000000000001</v>
      </c>
      <c r="AE57" s="38"/>
      <c r="AF57" s="38"/>
      <c r="AG57" s="38"/>
      <c r="AH57" s="38"/>
      <c r="AI57" s="63">
        <v>51</v>
      </c>
      <c r="AJ57" s="38">
        <v>0.94350000000000001</v>
      </c>
      <c r="AK57" s="38"/>
      <c r="AL57" s="38"/>
      <c r="AM57" s="38"/>
      <c r="AN57" s="38"/>
    </row>
    <row r="58" spans="5:40" x14ac:dyDescent="0.25">
      <c r="E58" s="63">
        <v>52</v>
      </c>
      <c r="F58" s="38">
        <v>0.96199999999999997</v>
      </c>
      <c r="G58" s="38"/>
      <c r="H58" s="38"/>
      <c r="I58" s="38"/>
      <c r="J58" s="38"/>
      <c r="K58" s="63">
        <v>52</v>
      </c>
      <c r="L58" s="38">
        <v>0.96199999999999997</v>
      </c>
      <c r="M58" s="38"/>
      <c r="N58" s="38"/>
      <c r="O58" s="38"/>
      <c r="P58" s="38"/>
      <c r="Q58" s="63">
        <v>52</v>
      </c>
      <c r="R58" s="38">
        <v>0.96199999999999997</v>
      </c>
      <c r="S58" s="38"/>
      <c r="T58" s="38"/>
      <c r="U58" s="38"/>
      <c r="V58" s="38"/>
      <c r="W58" s="63">
        <v>52</v>
      </c>
      <c r="X58" s="38">
        <v>0.96199999999999997</v>
      </c>
      <c r="Y58" s="38"/>
      <c r="Z58" s="38"/>
      <c r="AA58" s="38"/>
      <c r="AB58" s="38"/>
      <c r="AC58" s="63">
        <v>52</v>
      </c>
      <c r="AD58" s="38">
        <v>0.96199999999999997</v>
      </c>
      <c r="AE58" s="38"/>
      <c r="AF58" s="38"/>
      <c r="AG58" s="38"/>
      <c r="AH58" s="38"/>
      <c r="AI58" s="63">
        <v>52</v>
      </c>
      <c r="AJ58" s="38">
        <v>0.96199999999999997</v>
      </c>
      <c r="AK58" s="38"/>
      <c r="AL58" s="38"/>
      <c r="AM58" s="38"/>
      <c r="AN58" s="38"/>
    </row>
    <row r="59" spans="5:40" x14ac:dyDescent="0.25">
      <c r="E59" s="63">
        <v>53</v>
      </c>
      <c r="F59" s="38">
        <v>0.98050000000000004</v>
      </c>
      <c r="G59" s="38"/>
      <c r="H59" s="38"/>
      <c r="I59" s="38"/>
      <c r="J59" s="38"/>
      <c r="K59" s="63">
        <v>53</v>
      </c>
      <c r="L59" s="38">
        <v>0.98050000000000004</v>
      </c>
      <c r="M59" s="38"/>
      <c r="N59" s="38"/>
      <c r="O59" s="38"/>
      <c r="P59" s="38"/>
      <c r="Q59" s="63">
        <v>53</v>
      </c>
      <c r="R59" s="38">
        <v>0.98050000000000004</v>
      </c>
      <c r="S59" s="38"/>
      <c r="T59" s="38"/>
      <c r="U59" s="38"/>
      <c r="V59" s="38"/>
      <c r="W59" s="63">
        <v>53</v>
      </c>
      <c r="X59" s="38">
        <v>0.98050000000000004</v>
      </c>
      <c r="Y59" s="38"/>
      <c r="Z59" s="38"/>
      <c r="AA59" s="38"/>
      <c r="AB59" s="38"/>
      <c r="AC59" s="63">
        <v>53</v>
      </c>
      <c r="AD59" s="38">
        <v>0.98050000000000004</v>
      </c>
      <c r="AE59" s="38"/>
      <c r="AF59" s="38"/>
      <c r="AG59" s="38"/>
      <c r="AH59" s="38"/>
      <c r="AI59" s="63">
        <v>53</v>
      </c>
      <c r="AJ59" s="38">
        <v>0.98050000000000004</v>
      </c>
      <c r="AK59" s="38"/>
      <c r="AL59" s="38"/>
      <c r="AM59" s="38"/>
      <c r="AN59" s="38"/>
    </row>
    <row r="60" spans="5:40" x14ac:dyDescent="0.25">
      <c r="E60" s="63">
        <v>54</v>
      </c>
      <c r="F60" s="38">
        <v>0.999</v>
      </c>
      <c r="G60" s="38"/>
      <c r="H60" s="38"/>
      <c r="I60" s="38"/>
      <c r="J60" s="38"/>
      <c r="K60" s="63">
        <v>54</v>
      </c>
      <c r="L60" s="38">
        <v>0.999</v>
      </c>
      <c r="M60" s="38"/>
      <c r="N60" s="38"/>
      <c r="O60" s="38"/>
      <c r="P60" s="38"/>
      <c r="Q60" s="63">
        <v>54</v>
      </c>
      <c r="R60" s="38">
        <v>0.999</v>
      </c>
      <c r="S60" s="38"/>
      <c r="T60" s="38"/>
      <c r="U60" s="38"/>
      <c r="V60" s="38"/>
      <c r="W60" s="63">
        <v>54</v>
      </c>
      <c r="X60" s="38">
        <v>0.999</v>
      </c>
      <c r="Y60" s="38"/>
      <c r="Z60" s="38"/>
      <c r="AA60" s="38"/>
      <c r="AB60" s="38"/>
      <c r="AC60" s="63">
        <v>54</v>
      </c>
      <c r="AD60" s="38">
        <v>0.999</v>
      </c>
      <c r="AE60" s="38"/>
      <c r="AF60" s="38"/>
      <c r="AG60" s="38"/>
      <c r="AH60" s="38"/>
      <c r="AI60" s="63">
        <v>54</v>
      </c>
      <c r="AJ60" s="38">
        <v>0.999</v>
      </c>
      <c r="AK60" s="38"/>
      <c r="AL60" s="38"/>
      <c r="AM60" s="38"/>
      <c r="AN60" s="38"/>
    </row>
    <row r="61" spans="5:40" x14ac:dyDescent="0.25">
      <c r="E61" s="193" t="s">
        <v>343</v>
      </c>
      <c r="F61" s="46" t="s">
        <v>342</v>
      </c>
      <c r="G61" s="46"/>
      <c r="H61" s="46"/>
      <c r="I61" s="46"/>
      <c r="J61" s="46"/>
      <c r="K61" s="193" t="s">
        <v>343</v>
      </c>
      <c r="L61" s="46" t="s">
        <v>342</v>
      </c>
      <c r="M61" s="46"/>
      <c r="N61" s="46"/>
      <c r="O61" s="46"/>
      <c r="P61" s="46"/>
      <c r="Q61" s="193" t="s">
        <v>343</v>
      </c>
      <c r="R61" s="46" t="s">
        <v>342</v>
      </c>
      <c r="S61" s="46"/>
      <c r="T61" s="46"/>
      <c r="U61" s="46"/>
      <c r="V61" s="46"/>
      <c r="W61" s="193" t="s">
        <v>343</v>
      </c>
      <c r="X61" s="46" t="s">
        <v>342</v>
      </c>
      <c r="Y61" s="46"/>
      <c r="Z61" s="46"/>
      <c r="AA61" s="46"/>
      <c r="AB61" s="46"/>
      <c r="AC61" s="193" t="s">
        <v>343</v>
      </c>
      <c r="AD61" s="46" t="s">
        <v>342</v>
      </c>
      <c r="AE61" s="46"/>
      <c r="AF61" s="46"/>
      <c r="AG61" s="46"/>
      <c r="AH61" s="46"/>
      <c r="AI61" s="193" t="s">
        <v>343</v>
      </c>
      <c r="AJ61" s="46" t="s">
        <v>342</v>
      </c>
      <c r="AK61" s="46"/>
      <c r="AL61" s="46"/>
      <c r="AM61" s="46"/>
      <c r="AN61" s="46"/>
    </row>
  </sheetData>
  <mergeCells count="4">
    <mergeCell ref="E4:J4"/>
    <mergeCell ref="K4:P4"/>
    <mergeCell ref="W4:AB4"/>
    <mergeCell ref="AI4:AN4"/>
  </mergeCells>
  <phoneticPr fontId="32" type="noConversion"/>
  <dataValidations count="2">
    <dataValidation type="whole" allowBlank="1" showInputMessage="1" showErrorMessage="1" errorTitle="Achtung Eingabebereich" error="0-4999 [Ganzzahl]" sqref="C10" xr:uid="{2B7B5735-98D4-467C-8C10-3C268740B5EC}">
      <formula1>0</formula1>
      <formula2>4999</formula2>
    </dataValidation>
    <dataValidation type="whole" allowBlank="1" showInputMessage="1" showErrorMessage="1" errorTitle="Achtung Eingabebereich" error="0-250 [Ganzzahl]" sqref="C9" xr:uid="{72D55BC8-EA58-4125-8A1C-EB46B2919E39}">
      <formula1>0</formula1>
      <formula2>250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Indikator 1.1</vt:lpstr>
      <vt:lpstr>Indikator 1.2</vt:lpstr>
      <vt:lpstr>Indikatoren 1.3 + 1.4</vt:lpstr>
      <vt:lpstr>Indikator 1.5</vt:lpstr>
      <vt:lpstr>Indikator 1.6</vt:lpstr>
      <vt:lpstr>Indikator 8.1</vt:lpstr>
      <vt:lpstr>Indikator 8.2</vt:lpstr>
      <vt:lpstr>Indikator 8.3</vt:lpstr>
      <vt:lpstr>Indikator 9.1</vt:lpstr>
      <vt:lpstr>Änderungsverzeichnis</vt:lpstr>
    </vt:vector>
  </TitlesOfParts>
  <Company>ETH Zuerich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Weber, Christine</dc:creator>
  <cp:lastModifiedBy>Weber, Christine</cp:lastModifiedBy>
  <dcterms:created xsi:type="dcterms:W3CDTF">2021-05-24T13:49:09Z</dcterms:created>
  <dcterms:modified xsi:type="dcterms:W3CDTF">2025-01-31T13:41:02Z</dcterms:modified>
</cp:coreProperties>
</file>