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DieseArbeitsmappe" defaultThemeVersion="124226"/>
  <mc:AlternateContent xmlns:mc="http://schemas.openxmlformats.org/markup-compatibility/2006">
    <mc:Choice Requires="x15">
      <x15ac:absPath xmlns:x15ac="http://schemas.microsoft.com/office/spreadsheetml/2010/11/ac" url="\\adb.intra.admin.ch\userhome$\BAFU-01\U80845968\config\Desktop\"/>
    </mc:Choice>
  </mc:AlternateContent>
  <xr:revisionPtr revIDLastSave="0" documentId="13_ncr:1_{C62C76AB-4AEC-47C2-A5DC-1764F45B95BF}" xr6:coauthVersionLast="47" xr6:coauthVersionMax="47" xr10:uidLastSave="{00000000-0000-0000-0000-000000000000}"/>
  <workbookProtection lockStructure="1"/>
  <bookViews>
    <workbookView xWindow="-110" yWindow="-110" windowWidth="19420" windowHeight="10300" tabRatio="510"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Aerodromes" sheetId="42" r:id="rId8"/>
    <sheet name="FEETS Application" sheetId="43" r:id="rId9"/>
    <sheet name="Annex" sheetId="38" r:id="rId10"/>
    <sheet name="CORSIA emissions" sheetId="39" state="hidden" r:id="rId11"/>
    <sheet name="EUwideConstants" sheetId="17" state="hidden" r:id="rId12"/>
    <sheet name="MSParameters" sheetId="31" state="hidden" r:id="rId13"/>
    <sheet name="Translations" sheetId="30" state="hidden" r:id="rId14"/>
    <sheet name="VersionDocumentation" sheetId="25" state="hidden" r:id="rId15"/>
  </sheets>
  <definedNames>
    <definedName name="_xlnm._FilterDatabase" localSheetId="13" hidden="1">Translations!$A$1:$D$1400</definedName>
    <definedName name="AltFuels">EUwideConstants!$A$942:$E$942</definedName>
    <definedName name="aviationauthorities">EUwideConstants!$A$526:$A$642</definedName>
    <definedName name="BooleanValues">EUwideConstants!$A$411:$A$414</definedName>
    <definedName name="CNST_AltFuelsEligible">EUwideConstants!$D$924:$D$939</definedName>
    <definedName name="CNST_AltFuelsIsBio">EUwideConstants!$F$924:$F$939</definedName>
    <definedName name="CNST_AltFuelsIsLCF">EUwideConstants!$H$924:$H$939</definedName>
    <definedName name="CNST_AltFuelsIsRF">EUwideConstants!$G$924:$G$939</definedName>
    <definedName name="CNST_AltFuelsSupportRate">EUwideConstants!$E$924:$E$939</definedName>
    <definedName name="CNST_AltFuelsZero">EUwideConstants!$C$924:$C$939</definedName>
    <definedName name="CNST_AltFuelTypes">EUwideConstants!$A$924:$A$939</definedName>
    <definedName name="CNST_AltFuelTypesShort">EUwideConstants!$B$924:$B$939</definedName>
    <definedName name="CNST_AltMainFuels">EUwideConstants!$A$918:$A$921</definedName>
    <definedName name="CNST_Biofuels">EUwideConstants!$A$944:$A$950</definedName>
    <definedName name="CNST_EligibilityLevels">EUwideConstants!$A$970:$A$973</definedName>
    <definedName name="CNST_FossilAltFuel">EUwideConstants!$D$944</definedName>
    <definedName name="CNST_MainFuelEFref">EUwideConstants!$B$955:$B$958</definedName>
    <definedName name="CNST_MainFuelNCVref">EUwideConstants!$C$955:$C$958</definedName>
    <definedName name="CNST_MainFuelTypes">EUwideConstants!$A$955:$A$958</definedName>
    <definedName name="CNST_RFNBO_RCF">EUwideConstants!$B$944:$B$947</definedName>
    <definedName name="CNST_SLCF">EUwideConstants!$C$944:$C$946</definedName>
    <definedName name="CNTR_EFListSelected">EUwideConstants!$D$645:$D$648</definedName>
    <definedName name="CNTR_ETS3c6OptOut">'FEETS Application'!$I$8</definedName>
    <definedName name="CNTR_FuelListCompleteData">'Emissions overview'!$U$60:$U$74</definedName>
    <definedName name="CNTR_FuelListEFprelim">'Emissions overview'!$L$60:$L$74</definedName>
    <definedName name="CNTR_FuelListEFprelimInclStd">'Emissions overview'!$L$57:$L$74</definedName>
    <definedName name="CNTR_FuelListIsBioFuel">'Emissions overview'!$W$60:$W$74</definedName>
    <definedName name="CNTR_FuelListIsFossil">'Emissions overview'!$Z$60:$Z$74</definedName>
    <definedName name="CNTR_FuelListIsRF">'Emissions overview'!$X$60:$X$74</definedName>
    <definedName name="CNTR_FuelListIsSLCF">'Emissions overview'!$Y$60:$Y$74</definedName>
    <definedName name="CNTR_FuelListIsZero">'Emissions overview'!$N$60:$N$74</definedName>
    <definedName name="CNTR_FuelListIsZeroInclStd">'Emissions overview'!$N$57:$N$74</definedName>
    <definedName name="CNTR_FuelListNames">'Emissions overview'!$V$60:$V$74</definedName>
    <definedName name="CNTR_FuelListNamesInclStd">'Emissions overview'!$V$57:$V$74</definedName>
    <definedName name="CNTR_FuelListSubType">'Emissions overview'!$J$60:$J$74</definedName>
    <definedName name="CNTR_FuelListSupportRate">'Emissions overview'!$O$60:$O$74</definedName>
    <definedName name="CNTR_FuelSelection">'Emissions overview'!$AC$56</definedName>
    <definedName name="CNTR_FuelSelectionInclStd">'Emissions overview'!$AC$77</definedName>
    <definedName name="CNTR_ReportingYear">'Identification and description'!$M$7</definedName>
    <definedName name="CNTR_simplified_grey">'Emissions overview'!$U$197</definedName>
    <definedName name="CommissionApprovedTools">EUwideConstants!$A$495:$A$498</definedName>
    <definedName name="CompetentAuthorities">EUwideConstants!$A$505:$A$522</definedName>
    <definedName name="CONTR_CORSIAapplied">'Identification and description'!$M$30</definedName>
    <definedName name="CONTR_onlyCORSIA">'Identification and description'!$M$38</definedName>
    <definedName name="CORSIA_EFList">EUwideConstants!$C$645:$C$648</definedName>
    <definedName name="CORSIA_FuelsList">EUwideConstants!$A$645:$A$648</definedName>
    <definedName name="DensMethod">EUwideConstants!$A$474:$A$477</definedName>
    <definedName name="_xlnm.Print_Area" localSheetId="5">'Aircraft Data'!$B$1:$K$64</definedName>
    <definedName name="_xlnm.Print_Area" localSheetId="9">Annex!$A$1:$H$118</definedName>
    <definedName name="_xlnm.Print_Area" localSheetId="0">Contents!$A$1:$J$103</definedName>
    <definedName name="_xlnm.Print_Area" localSheetId="10">'CORSIA emissions'!$A$1:$Q$370</definedName>
    <definedName name="_xlnm.Print_Area" localSheetId="4">'Emissions Data'!$B$1:$Z$123</definedName>
    <definedName name="_xlnm.Print_Area" localSheetId="3">'Emissions overview'!$B$2:$N$266</definedName>
    <definedName name="_xlnm.Print_Area" localSheetId="1">'Guidelines and conditions'!$A$1:$M$169</definedName>
    <definedName name="_xlnm.Print_Area" localSheetId="2">'Identification and description'!$A$1:$L$147</definedName>
    <definedName name="_xlnm.Print_Area" localSheetId="6">'MS specific content'!$A:$J</definedName>
    <definedName name="_xlnm.Print_Area" localSheetId="14">VersionDocumentation!$A$1:$E$113</definedName>
    <definedName name="EF_SystemSelection">EUwideConstants!$A$651:$A$652</definedName>
    <definedName name="ErrMsg_Art3c6OK">EUwideConstants!$A$978</definedName>
    <definedName name="ERRmsg_Incomplete">EUwideConstants!$A$964</definedName>
    <definedName name="ERRmsg_SelectMainFuel">EUwideConstants!$A$961</definedName>
    <definedName name="ErrMsg_YouOptOut">EUwideConstants!$A$976</definedName>
    <definedName name="EU_EF_forCORSIAFuelList">EUwideConstants!$B$645:$B$648</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flighttypes">EUwideConstants!$A$325:$A$328</definedName>
    <definedName name="freightandmail">EUwideConstants!$A$355:$A$357</definedName>
    <definedName name="Frequency">EUwideConstants!$A$419:$A$424</definedName>
    <definedName name="ICAO_MSList">EUwideConstants!$A$686:$A$878</definedName>
    <definedName name="IND_COL_AircraftEndDate">'Aircraft Data'!$H$8:$H$62</definedName>
    <definedName name="IND_COL_AircraftOwner">'Aircraft Data'!$F$8:$F$62</definedName>
    <definedName name="IND_COL_AircraftRegistrytionNumbers">'Aircraft Data'!$E$8:$E$62</definedName>
    <definedName name="IND_COL_AircraftStartingDate">'Aircraft Data'!$G$8:$G$62</definedName>
    <definedName name="IND_COL_AircraftSubType">'Aircraft Data'!$D$8:$D$62</definedName>
    <definedName name="IND_COL_AircraftType">'Aircraft Data'!$C$8:$C$62</definedName>
    <definedName name="IND_COL_AircraftUsedForCHETS">'Aircraft Data'!$J$8:$J$62</definedName>
    <definedName name="IND_COL_AircraftUsedForCORSIA">'Aircraft Data'!$K$8:$K$62</definedName>
    <definedName name="IND_COL_AircraftUsedForEUETS">'Aircraft Data'!$I$8:$I$62</definedName>
    <definedName name="IND_COL_CORSIA_CERTused">'CORSIA emissions'!$I$67:$I$366</definedName>
    <definedName name="IND_COL_CORSIA_UnusedColumnE">'CORSIA emissions'!$E$67:$E$366</definedName>
    <definedName name="IND_COL_CORSIA_UnusedColumnH">'CORSIA emissions'!$H$67:$H$366</definedName>
    <definedName name="IND_COL_CORSIAairportFROM">'CORSIA emissions'!$C$67:$C$366</definedName>
    <definedName name="IND_COL_CORSIAairportTO">'CORSIA emissions'!$F$67:$F$366</definedName>
    <definedName name="IND_COL_CORSIAcountryFROM">'CORSIA emissions'!$D$67:$D$366</definedName>
    <definedName name="IND_COL_CORSIAcountryTO">'CORSIA emissions'!$G$67:$G$366</definedName>
    <definedName name="IND_COL_CORSIAemissionsTCO2">'CORSIA emissions'!$N$67:$N$366</definedName>
    <definedName name="IND_COL_CORSIAfuelEmissionFactor">'CORSIA emissions'!$M$67:$M$366</definedName>
    <definedName name="IND_COL_CORSIAfuelTonnesConsumed">'CORSIA emissions'!$L$67:$L$366</definedName>
    <definedName name="IND_COL_CORSIAfuelType">'CORSIA emissions'!$K$67:$K$366</definedName>
    <definedName name="IND_COL_CORSIANumberOfFlights">'CORSIA emissions'!$J$67:$J$366</definedName>
    <definedName name="IND_COL_CORSIAoffsettingRequirement">'CORSIA emissions'!$O$67:$O$366</definedName>
    <definedName name="INDICATIOR_FeetAggTable">'FEETS Application'!$D$18:$I$26</definedName>
    <definedName name="INDICATOR_5b1ETS_AlternativeFuelsDescription">'Emissions overview'!$D$84:$Q$99</definedName>
    <definedName name="INDICATOR_5b1ETS_AlternativeFuelsDescriptionFeedstock">'Emissions overview'!$G$84:$H$99</definedName>
    <definedName name="INDICATOR_5b1ETS_AlternativeFuelsDescriptionLCEmissions">'Emissions overview'!$Q$84:$Q$99</definedName>
    <definedName name="INDICATOR_5b1ETS_AlternativeFuelsDescriptionName">'Emissions overview'!$E$84:$F$99</definedName>
    <definedName name="INDICATOR_5b1ETS_AlternativeFuelsDescriptionNumber">'Emissions overview'!$D$84:$D$99</definedName>
    <definedName name="INDICATOR_5b1ETS_AlternativeFuelsDescriptionProcess">'Emissions overview'!$J$84:$J$99</definedName>
    <definedName name="INDICATOR_5bETS_FuelsDefinition">'Emissions overview'!$D$56:$O$75</definedName>
    <definedName name="INDICATOR_5cETS_FuelsEmissionsCO2Bio">'Emissions overview'!$K$117:$K$135</definedName>
    <definedName name="INDICATOR_5cETS_FuelsEmissionsCO2BioNonSust">'Emissions overview'!$L$117:$L$135</definedName>
    <definedName name="INDICATOR_5cETS_FuelsEmissionsCO2Em">'Emissions overview'!$J$117:$J$135</definedName>
    <definedName name="INDICATOR_5cETS_FuelsEmissionsEF">'Emissions overview'!$G$117:$G$135</definedName>
    <definedName name="INDICATOR_5cETS_FuelsEmissionsFuelConsumption">'Emissions overview'!$I$117:$I$135</definedName>
    <definedName name="INDICATOR_5cETS_FuelsEmissionsName">'Emissions overview'!$E$117:$F$135</definedName>
    <definedName name="INDICATOR_5cETS_FuelsEmissionsNumber">'Emissions overview'!$D$117:$D$135</definedName>
    <definedName name="INDICATOR_5cETS_FuelsEmissionsTable">'Emissions overview'!$D$117:$Q$135</definedName>
    <definedName name="INDICATOR_5dCHETS_FuelsEmissionsTable">'Emissions overview'!$D$156:$Q$174</definedName>
    <definedName name="INDICATOR_8aEUETS_Summary">'Emissions Data'!$E$13:$Z$17</definedName>
    <definedName name="INDICATOR_8bbCHETS_DomesticFlightsTable">'Emissions Data'!$C$146:$Z$146</definedName>
    <definedName name="INDICATOR_8bbCHETS_EmissionsTotalCH">'Emissions Data'!$Y$146</definedName>
    <definedName name="INDICATOR_8bbCHETS_FuelUseAlternative1">'Emissions Data'!$H$146:$V$146</definedName>
    <definedName name="INDICATOR_8bbCHETS_FuelUseAvGas">'Emissions Data'!$G$146</definedName>
    <definedName name="INDICATOR_8bbCHETS_FuelUseJetA_A1">'Emissions Data'!$E$146</definedName>
    <definedName name="INDICATOR_8bbCHETS_FuelUseJetB">'Emissions Data'!$F$146</definedName>
    <definedName name="INDICATOR_8bbCHETS_NumberFlights">'Emissions Data'!$Z$146</definedName>
    <definedName name="INDICATOR_8bcCHETS_EmissionsTotalPerPair">'Emissions Data'!$Y$152:$Y$183</definedName>
    <definedName name="INDICATOR_8bcCHETS_FuelUseAlternative1">'Emissions Data'!$H$152:$V$183</definedName>
    <definedName name="INDICATOR_8bcCHETS_FuelUseAvGas">'Emissions Data'!$G$152:$G$183</definedName>
    <definedName name="INDICATOR_8bcCHETS_FuelUseJetA_A1">'Emissions Data'!$E$152:$E$183</definedName>
    <definedName name="INDICATOR_8bcCHETS_FuelUseJetB">'Emissions Data'!$F$152:$F$183</definedName>
    <definedName name="INDICATOR_8bcCHETS_MSFlightsTable">'Emissions Data'!$C$152:$Z$183</definedName>
    <definedName name="INDICATOR_8bcCHETS_NumberFlights">'Emissions Data'!$Z$152:$Z$183</definedName>
    <definedName name="INDICATOR_8bcCHETS_StateArrival">'Emissions Data'!$D$152:$D$182</definedName>
    <definedName name="INDICATOR_8bCHETS_Summary">'Emissions Data'!$E$135:$Z$137</definedName>
    <definedName name="INDICATOR_8bETS_EmissionsTotalPerMS">'Emissions Data'!$Y$27:$Y$58</definedName>
    <definedName name="INDICATOR_8bETS_FuelUseAlternative">'Emissions Data'!$H$27:$V$58</definedName>
    <definedName name="INDICATOR_8bETS_FuelUseAvGas">'Emissions Data'!$G$27:$G$58</definedName>
    <definedName name="INDICATOR_8bETS_FuelUseJetA_A1">'Emissions Data'!$E$27:$E$58</definedName>
    <definedName name="INDICATOR_8bETS_FuelUseJetB">'Emissions Data'!$F$27:$F$58</definedName>
    <definedName name="INDICATOR_8bETS_MS">'Emissions Data'!$C$27:$C$58</definedName>
    <definedName name="INDICATOR_8bETS_MSFlightsTable">'Emissions Data'!$C$27:$Z$58</definedName>
    <definedName name="INDICATOR_8bETS_NumberFlights">'Emissions Data'!$Z$27:$Z$58</definedName>
    <definedName name="INDICATOR_8cETS_EEAFlightsTable">'Emissions Data'!$C$65:$Z$91</definedName>
    <definedName name="INDICATOR_8cETS_EmissionsTotalPerPair">'Emissions Data'!$Y$65:$Y$91</definedName>
    <definedName name="INDICATOR_8cETS_FuelUseAlternative">'Emissions Data'!$H$65:$V$91</definedName>
    <definedName name="INDICATOR_8cETS_FuelUseAvGas">'Emissions Data'!$G$65:$G$91</definedName>
    <definedName name="INDICATOR_8cETS_FuelUseJetA_A1">'Emissions Data'!$E$65:$E$91</definedName>
    <definedName name="INDICATOR_8cETS_FuelUseJetB">'Emissions Data'!$F$65:$F$91</definedName>
    <definedName name="INDICATOR_8cETS_NumberFlights">'Emissions Data'!$Z$65:$Z$91</definedName>
    <definedName name="INDICATOR_8cETS_StateArrival">'Emissions Data'!$D$65:$D$91</definedName>
    <definedName name="INDICATOR_8cETS_StateDeparture">'Emissions Data'!$C$65:$C$91</definedName>
    <definedName name="INDICATOR_AdminCA">'Identification and description'!$I$61</definedName>
    <definedName name="INDICATOR_AdminMS">'Identification and description'!$I$59</definedName>
    <definedName name="INDICATOR_AircraftData">'Aircraft Data'!$C$8:$K$62</definedName>
    <definedName name="INDICATOR_AircraftData_CORSIAuse">'Aircraft Data'!$K$8:$K$62</definedName>
    <definedName name="INDICATOR_AircraftData_EUETSuse">'Aircraft Data'!$I$8:$I$62</definedName>
    <definedName name="INDICATOR_AircraftData_FleetEndDate">'Aircraft Data'!$H$8:$H$62</definedName>
    <definedName name="INDICATOR_AircraftData_FleetStartingDate">'Aircraft Data'!$G$8:$G$62</definedName>
    <definedName name="INDICATOR_AircraftData_Owner">'Aircraft Data'!$F$8:$F$62</definedName>
    <definedName name="INDICATOR_AircraftData_RegistrationNumber">'Aircraft Data'!$E$8:$E$62</definedName>
    <definedName name="INDICATOR_AircraftData_SubType">'Aircraft Data'!$D$8:$D$62</definedName>
    <definedName name="INDICATOR_AircraftData_Type">'Aircraft Data'!$C$8:$C$62</definedName>
    <definedName name="INDICATOR_AnnexAerodromesTable">'Annex Aerodromes'!$C$59:$K$258</definedName>
    <definedName name="INDICATOR_AnnexAerodromesTotalAttrFuel">'Annex Aerodromes'!$I$259</definedName>
    <definedName name="INDICATOR_AnnexAerodromesTotalAttrZRFuel">'Annex Aerodromes'!$J$259</definedName>
    <definedName name="INDICATOR_AnnexAerodromesTotalFEETSFuel">'Annex Aerodromes'!$K$259</definedName>
    <definedName name="INDICATOR_AnnexAerodromesTotalFuel">'Annex Aerodromes'!$F$259</definedName>
    <definedName name="INDICATOR_AnnexEUETS_AerodromeArrival">Annex!$D$33:$D$113</definedName>
    <definedName name="INDICATOR_AnnexEUETS_AerodromeDeparture">Annex!$C$33:$C$113</definedName>
    <definedName name="INDICATOR_AnnexEUETS_EmissionsPerPair">Annex!$H$33:$H$113</definedName>
    <definedName name="INDICATOR_AnnexEUETS_FlightsPerPair">Annex!$E$33:$E$113</definedName>
    <definedName name="INDICATOR_AnnexEUETS_TotalEmissions">Annex!$H$117</definedName>
    <definedName name="INDICATOR_AnnexEUETS_TotalFlights">Annex!$E$117</definedName>
    <definedName name="INDICATOR_AnnexEUETS_TotalFuel">Annex!$G$117</definedName>
    <definedName name="INDICATOR_AnnexEUETStable">Annex!$C$33:$H$113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overview'!$J$177</definedName>
    <definedName name="INDICATOR_CHETS_TotalFlights">'Emissions overview'!$L$24</definedName>
    <definedName name="INDICATOR_CHETS_TotalNonSustainableBiomassEmissions">'Emissions overview'!$K$181</definedName>
    <definedName name="INDICATOR_CHETS_TotalNonZeroRatedBioEm">'Emissions overview'!$O$185</definedName>
    <definedName name="INDICATOR_CHETS_TotalNonZeroRatedRFNBO">'Emissions overview'!$P$186</definedName>
    <definedName name="INDICATOR_CHETS_TotalNonZeroRatedSLCF">'Emissions overview'!$Q$187</definedName>
    <definedName name="INDICATOR_CHETS_TotalPrelEF_Emissions">'Emissions overview'!$K$181</definedName>
    <definedName name="INDICATOR_CHETS_TotalSustainableBiomassEmissions">'Emissions overview'!$K$180</definedName>
    <definedName name="INDICATOR_CHETS_TotalZeroRatedBioEm">'Emissions overview'!$L$182</definedName>
    <definedName name="INDICATOR_CHETS_TotalZeroRatedEmissions">'Emissions overview'!$K$180</definedName>
    <definedName name="INDICATOR_CHETS_TotalZeroRatedRFNBO">'Emissions overview'!$M$183</definedName>
    <definedName name="INDICATOR_CHETS_TotalZeroRatedSLCF">'Emissions overview'!$N$184</definedName>
    <definedName name="INDICATOR_Comments">'MS specific content'!$B$7:$J$32</definedName>
    <definedName name="INDICATOR_CORSIA_EligibleFuels">'CORSIA emissions'!$C$31:$M$36</definedName>
    <definedName name="INDICATOR_CORSIA_EligibleFuels_Feedstock">'CORSIA emissions'!$D$31:$D$36</definedName>
    <definedName name="INDICATOR_CORSIA_EligibleFuels_LCEmissions">'CORSIA emissions'!$J$31:$K$36</definedName>
    <definedName name="INDICATOR_CORSIA_EligibleFuels_MassNeat">'CORSIA emissions'!$G$31:$I$36</definedName>
    <definedName name="INDICATOR_CORSIA_EligibleFuels_ReductionsClaimed">'CORSIA emissions'!$L$31:$M$36</definedName>
    <definedName name="INDICATOR_CORSIA_EligibleFuels_Type">'CORSIA emissions'!$C$31:A$36</definedName>
    <definedName name="INDICATOR_CORSIA_EligibleFuelsTable">'CORSIA emissions'!$C$31:$N$35</definedName>
    <definedName name="INDICATOR_CORSIA_EligibleFuelsTOTAL">'CORSIA emissions'!$L$36</definedName>
    <definedName name="INDICATOR_CORSIA_EmissionsTable">'CORSIA emissions'!$C$67:$O$366</definedName>
    <definedName name="INDICATOR_CORSIA_totalCO2">'CORSIA emissions'!$M$12</definedName>
    <definedName name="INDICATOR_CORSIA_totalCO2withOffsetting">'CORSIA emissions'!$M$13</definedName>
    <definedName name="INDICATOR_CORSIA_totalFlights">'CORSIA emissions'!$M$14</definedName>
    <definedName name="INDICATOR_CORSIA_totalFlightsWithOffsetting">'CORSIA emissions'!$M$15</definedName>
    <definedName name="INDICATOR_CORSIA_totalTonnesAvGas">'CORSIA emissions'!$H$24</definedName>
    <definedName name="INDICATOR_CORSIA_totalTonnesEligibleFuelsClaimed">'CORSIA emissions'!$M$16</definedName>
    <definedName name="INDICATOR_CORSIA_totalTonnesJetA">'CORSIA emissions'!$H$21</definedName>
    <definedName name="INDICATOR_CORSIA_totalTonnesJetA1">'CORSIA emissions'!$H$22</definedName>
    <definedName name="INDICATOR_CORSIA_totalTonnesJetB">'CORSIA emissions'!$H$23</definedName>
    <definedName name="INDICATOR_CORSIAAnnexConfidential">'CORSIA emissions'!$N$47</definedName>
    <definedName name="INDICATOR_CORSIAAnnexConfidentialReasonFromETS">'CORSIA emissions'!$N$49</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overview'!$Q$246:$Q$257</definedName>
    <definedName name="INDICATOR_DataGapsPercentCORSIA">'Emissions overview'!$K$263</definedName>
    <definedName name="INDICATOR_DataGapsPercentETS">'Emissions overview'!$K$260</definedName>
    <definedName name="INDICATOR_DataGapsReason">'Emissions overview'!$F$246:$F$257</definedName>
    <definedName name="INDICATOR_DataGapsReference">'Emissions overview'!$D$246:$D$257</definedName>
    <definedName name="INDICATOR_DataGapsReplacementMethod">'Emissions overview'!$I$246:$I$257</definedName>
    <definedName name="INDICATOR_DataGapsTable">'Emissions overview'!$D$246:$Q$257</definedName>
    <definedName name="INDICATOR_DataGapsType">'Emissions overview'!$I$246:$I$257</definedName>
    <definedName name="INDICATOR_ETS_EmissionsFullScope">'Emissions overview'!$J$209</definedName>
    <definedName name="INDICATOR_ETS_EmissionsReducedScope">'Emissions overview'!$J$210</definedName>
    <definedName name="INDICATOR_ETS_FlightsPerPeriod">'Emissions overview'!$G$202:$G$204</definedName>
    <definedName name="INDICATOR_ETS_SETEligibility">'Emissions overview'!$J$212</definedName>
    <definedName name="INDICATOR_ETS_TotalEmissions">'Emissions overview'!$J$138</definedName>
    <definedName name="INDICATOR_ETS_TotalFlights">'Emissions overview'!$L$26</definedName>
    <definedName name="INDICATOR_ETS_TotalNonSustainableBiomassEmissions">'Emissions overview'!$K$142</definedName>
    <definedName name="INDICATOR_ETS_TotalNonZeroRatedBioEm">'Emissions overview'!$O$146</definedName>
    <definedName name="INDICATOR_ETS_TotalNonZeroRatedRFNBO">'Emissions overview'!$P$147</definedName>
    <definedName name="INDICATOR_ETS_TotalNonZeroRatedSLCF">'Emissions overview'!$Q$148</definedName>
    <definedName name="INDICATOR_ETS_TotalPrelEF_Emissions">'Emissions overview'!$K$142</definedName>
    <definedName name="INDICATOR_ETS_TotalSustainableBiomassEmissions">'Emissions overview'!$K$141</definedName>
    <definedName name="INDICATOR_ETS_TotalZeroRatedBioEm">'Emissions overview'!$L$143</definedName>
    <definedName name="INDICATOR_ETS_TotalZeroRatedEmissions">'Emissions overview'!$K$141</definedName>
    <definedName name="INDICATOR_ETS_TotalZeroRatedRFNBO">'Emissions overview'!$M$144</definedName>
    <definedName name="INDICATOR_ETS_TotalZeroRatedSLCF">'Emissions overview'!$N$145</definedName>
    <definedName name="INDICATOR_EUETS_TotalFlights">'Emissions overview'!$L$22</definedName>
    <definedName name="INDICATOR_EUETSAnnexConfidential">Annex!$H$11</definedName>
    <definedName name="INDICATOR_EUETSAnnexConfidentialFileName">Annex!$E$21</definedName>
    <definedName name="INDICATOR_EUETSAnnexConfidentialReasoning">Annex!$C$14:$H$18</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Contents!$E$102</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Contents!$E$101</definedName>
    <definedName name="INDICATOR_TemplateProvidedBy">Contents!$E$99</definedName>
    <definedName name="INDICATOR_TemplatePublicationDate">Contents!$E$100</definedName>
    <definedName name="INDICATOR_ToolUsedForAllCORSIAemissions">'Emissions overview'!$K$224</definedName>
    <definedName name="INDICATOR_UsedSimplifiedApproachETS">'Emissions overview'!$I$197</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overview'!$J$219</definedName>
    <definedName name="INDICATOR_WhichOtherToolForCORSIA">'Emissions overview'!$J$228</definedName>
    <definedName name="INDICATOR_WhichToolUsed">'Emissions overview'!$J$217</definedName>
    <definedName name="INDICATOR_WhichToolUsedForCORSIA">'Emissions overview'!$J$226</definedName>
    <definedName name="indRange">EUwideConstants!$A$365:$A$373</definedName>
    <definedName name="JUMP_10a">'Annex Aerodromes'!$C$5</definedName>
    <definedName name="JUMP_11a">Annex!$B$11</definedName>
    <definedName name="JUMP_2">'Identification and description'!$C$42</definedName>
    <definedName name="JUMP_3">'Identification and description'!$C$121</definedName>
    <definedName name="JUMP_5">'Emissions overview'!$C$19</definedName>
    <definedName name="JUMP_5c">'Emissions overview'!$D$102</definedName>
    <definedName name="JUMP_5d">'Emissions overview'!$D$151</definedName>
    <definedName name="JUMP_6">'Emissions overview'!$C$191</definedName>
    <definedName name="JUMP_7">'Emissions overview'!$C$232</definedName>
    <definedName name="Jump_8b">'Emissions Data'!$B$126</definedName>
    <definedName name="Legalstatus">EUwideConstants!$A$348:$A$352</definedName>
    <definedName name="List_AltFuels">EUwideConstants!$A$943:$E$943</definedName>
    <definedName name="ManSys">EUwideConstants!$A$376:$A$379</definedName>
    <definedName name="MeasMethod">EUwideConstants!$A$468:$A$470</definedName>
    <definedName name="memberstates">EUwideConstants!$A$28:$A$58</definedName>
    <definedName name="MemberStatesWithSwiss">EUwideConstants!$A$883:$A$915</definedName>
    <definedName name="MSLanguages">EUwideConstants!$A$656:$A$681</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ext_Fuel">EUwideConstants!$A$967</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0" i="35" l="1"/>
  <c r="F20" i="35"/>
  <c r="F139" i="35"/>
  <c r="F137" i="35"/>
  <c r="F136" i="35"/>
  <c r="C148" i="35" l="1"/>
  <c r="C138" i="35"/>
  <c r="P42" i="34"/>
  <c r="C52" i="42" l="1"/>
  <c r="E22" i="42"/>
  <c r="D114" i="34"/>
  <c r="C29" i="42" l="1"/>
  <c r="C28" i="42"/>
  <c r="A978" i="17" l="1"/>
  <c r="A976" i="17"/>
  <c r="A967" i="17"/>
  <c r="A964" i="17"/>
  <c r="A961" i="17"/>
  <c r="E942" i="17"/>
  <c r="D942" i="17"/>
  <c r="C942" i="17"/>
  <c r="B942" i="17"/>
  <c r="A942" i="17"/>
  <c r="H939" i="17"/>
  <c r="G939" i="17"/>
  <c r="F939" i="17"/>
  <c r="E939" i="17"/>
  <c r="D939" i="17"/>
  <c r="B939" i="17"/>
  <c r="A939" i="17"/>
  <c r="B938" i="17"/>
  <c r="A938" i="17"/>
  <c r="B937" i="17"/>
  <c r="A937" i="17"/>
  <c r="B936" i="17"/>
  <c r="A936" i="17"/>
  <c r="B935" i="17"/>
  <c r="A935" i="17"/>
  <c r="B934" i="17"/>
  <c r="A934" i="17"/>
  <c r="B933" i="17"/>
  <c r="A933" i="17"/>
  <c r="B932" i="17"/>
  <c r="A932" i="17"/>
  <c r="B931" i="17"/>
  <c r="A931" i="17"/>
  <c r="B930" i="17"/>
  <c r="A930" i="17"/>
  <c r="B929" i="17"/>
  <c r="A929" i="17"/>
  <c r="B928" i="17"/>
  <c r="A928" i="17"/>
  <c r="B927" i="17"/>
  <c r="A927" i="17"/>
  <c r="B926" i="17"/>
  <c r="A926" i="17"/>
  <c r="B925" i="17"/>
  <c r="A925" i="17"/>
  <c r="B924" i="17"/>
  <c r="A924" i="17"/>
  <c r="A921" i="17"/>
  <c r="A920" i="17"/>
  <c r="A919" i="17"/>
  <c r="A918" i="17"/>
  <c r="C1" i="17"/>
  <c r="M62" i="39"/>
  <c r="C52" i="39"/>
  <c r="C36" i="39"/>
  <c r="L28" i="39"/>
  <c r="C27" i="39"/>
  <c r="C16" i="39"/>
  <c r="C8" i="39"/>
  <c r="C7" i="39"/>
  <c r="C4" i="39"/>
  <c r="G116" i="38"/>
  <c r="G31" i="38"/>
  <c r="F31" i="38"/>
  <c r="C29" i="38"/>
  <c r="C28" i="38"/>
  <c r="C27" i="38"/>
  <c r="C25" i="38"/>
  <c r="C13" i="38"/>
  <c r="D26" i="43"/>
  <c r="D25" i="43"/>
  <c r="D24" i="43"/>
  <c r="D23" i="43"/>
  <c r="D22" i="43"/>
  <c r="D21" i="43"/>
  <c r="D20" i="43"/>
  <c r="D19" i="43"/>
  <c r="D18" i="43"/>
  <c r="I17" i="43"/>
  <c r="D17" i="43"/>
  <c r="E16" i="43"/>
  <c r="D15" i="43"/>
  <c r="D14" i="43"/>
  <c r="D13" i="43"/>
  <c r="D12" i="43"/>
  <c r="D8" i="43"/>
  <c r="D7" i="43"/>
  <c r="D5" i="43"/>
  <c r="C3" i="43"/>
  <c r="C261" i="42"/>
  <c r="C259" i="42"/>
  <c r="K58" i="42"/>
  <c r="J58" i="42"/>
  <c r="I58" i="42"/>
  <c r="H58" i="42"/>
  <c r="G58" i="42"/>
  <c r="F58" i="42"/>
  <c r="E58" i="42"/>
  <c r="D58" i="42"/>
  <c r="C58" i="42"/>
  <c r="C56" i="42"/>
  <c r="C55" i="42"/>
  <c r="C54" i="42"/>
  <c r="C51" i="42"/>
  <c r="D50" i="42"/>
  <c r="D49" i="42"/>
  <c r="D48" i="42"/>
  <c r="C47" i="42"/>
  <c r="C46" i="42"/>
  <c r="C45" i="42"/>
  <c r="E43" i="42"/>
  <c r="C43" i="42"/>
  <c r="E42" i="42"/>
  <c r="C42" i="42"/>
  <c r="E41" i="42"/>
  <c r="E40" i="42"/>
  <c r="C40" i="42"/>
  <c r="E39" i="42"/>
  <c r="C39" i="42"/>
  <c r="E38" i="42"/>
  <c r="C38" i="42"/>
  <c r="E37" i="42"/>
  <c r="C37" i="42"/>
  <c r="E36" i="42"/>
  <c r="C36" i="42"/>
  <c r="E35" i="42"/>
  <c r="C35" i="42"/>
  <c r="E34" i="42"/>
  <c r="C34" i="42"/>
  <c r="C33" i="42"/>
  <c r="C32" i="42"/>
  <c r="C31" i="42"/>
  <c r="C30" i="42"/>
  <c r="C27" i="42"/>
  <c r="E25" i="42"/>
  <c r="E24" i="42"/>
  <c r="E23" i="42"/>
  <c r="C23" i="42"/>
  <c r="C22" i="42"/>
  <c r="C21" i="42"/>
  <c r="D20" i="42"/>
  <c r="D19" i="42"/>
  <c r="D18" i="42"/>
  <c r="D17" i="42"/>
  <c r="D16" i="42"/>
  <c r="C15" i="42"/>
  <c r="C13" i="42"/>
  <c r="C12" i="42"/>
  <c r="C11" i="42"/>
  <c r="C10" i="42"/>
  <c r="C9" i="42"/>
  <c r="C8" i="42"/>
  <c r="C7" i="42"/>
  <c r="D5" i="42"/>
  <c r="C3" i="42"/>
  <c r="C186" i="35"/>
  <c r="Y150" i="35"/>
  <c r="X150" i="35"/>
  <c r="W150" i="35"/>
  <c r="E150" i="35"/>
  <c r="C149" i="35"/>
  <c r="Y144" i="35"/>
  <c r="X144" i="35"/>
  <c r="W144" i="35"/>
  <c r="E144" i="35"/>
  <c r="C143" i="35"/>
  <c r="Y133" i="35"/>
  <c r="X133" i="35"/>
  <c r="W133" i="35"/>
  <c r="E133" i="35"/>
  <c r="C131" i="35"/>
  <c r="C130" i="35"/>
  <c r="C129" i="35"/>
  <c r="C90" i="35"/>
  <c r="Y63" i="35"/>
  <c r="X63" i="35"/>
  <c r="W63" i="35"/>
  <c r="E63" i="35"/>
  <c r="C62" i="35"/>
  <c r="Y25" i="35"/>
  <c r="X25" i="35"/>
  <c r="W25" i="35"/>
  <c r="E25" i="35"/>
  <c r="C23" i="35"/>
  <c r="C18" i="35"/>
  <c r="Y11" i="35"/>
  <c r="X11" i="35"/>
  <c r="W11" i="35"/>
  <c r="E11" i="35"/>
  <c r="C9" i="35"/>
  <c r="C8" i="35"/>
  <c r="C7" i="35"/>
  <c r="C6" i="35"/>
  <c r="Q245" i="34"/>
  <c r="F243" i="34"/>
  <c r="D228" i="34"/>
  <c r="D212" i="34"/>
  <c r="D210" i="34"/>
  <c r="D209" i="34"/>
  <c r="D208" i="34"/>
  <c r="D196" i="34"/>
  <c r="D195" i="34"/>
  <c r="D193" i="34"/>
  <c r="D192" i="34"/>
  <c r="D187" i="34"/>
  <c r="D186" i="34"/>
  <c r="D185" i="34"/>
  <c r="D184" i="34"/>
  <c r="D183" i="34"/>
  <c r="D182" i="34"/>
  <c r="D181" i="34"/>
  <c r="D180" i="34"/>
  <c r="E158" i="34"/>
  <c r="E157" i="34"/>
  <c r="E156" i="34"/>
  <c r="Q155" i="34"/>
  <c r="P155" i="34"/>
  <c r="O155" i="34"/>
  <c r="N155" i="34"/>
  <c r="M155" i="34"/>
  <c r="L155" i="34"/>
  <c r="K155" i="34"/>
  <c r="J155" i="34"/>
  <c r="G155" i="34"/>
  <c r="D153" i="34"/>
  <c r="D148" i="34"/>
  <c r="D147" i="34"/>
  <c r="D146" i="34"/>
  <c r="D145" i="34"/>
  <c r="D144" i="34"/>
  <c r="D143" i="34"/>
  <c r="D142" i="34"/>
  <c r="D141" i="34"/>
  <c r="D136" i="34"/>
  <c r="E119" i="34"/>
  <c r="E118" i="34"/>
  <c r="E117" i="34"/>
  <c r="R116" i="34"/>
  <c r="Q116" i="34"/>
  <c r="P116" i="34"/>
  <c r="O116" i="34"/>
  <c r="N116" i="34"/>
  <c r="M116" i="34"/>
  <c r="L116" i="34"/>
  <c r="K116" i="34"/>
  <c r="J116" i="34"/>
  <c r="G116" i="34"/>
  <c r="D113" i="34"/>
  <c r="F111" i="34"/>
  <c r="D111" i="34"/>
  <c r="F110" i="34"/>
  <c r="D110" i="34"/>
  <c r="F109" i="34"/>
  <c r="D109" i="34"/>
  <c r="F108" i="34"/>
  <c r="D108" i="34"/>
  <c r="F106" i="34"/>
  <c r="D105" i="34"/>
  <c r="D104" i="34"/>
  <c r="D103" i="34"/>
  <c r="D100" i="34"/>
  <c r="Q83" i="34"/>
  <c r="P83" i="34"/>
  <c r="D81" i="34"/>
  <c r="D80" i="34"/>
  <c r="D76" i="34"/>
  <c r="J74" i="34"/>
  <c r="J73" i="34"/>
  <c r="H59" i="34"/>
  <c r="H58" i="34"/>
  <c r="H57" i="34"/>
  <c r="O56" i="34"/>
  <c r="N56" i="34"/>
  <c r="J56" i="34"/>
  <c r="H56" i="34"/>
  <c r="G56" i="34"/>
  <c r="D54" i="34"/>
  <c r="Q52" i="34"/>
  <c r="P52" i="34"/>
  <c r="G52" i="34"/>
  <c r="F52" i="34"/>
  <c r="D52" i="34"/>
  <c r="P51" i="34"/>
  <c r="G51" i="34"/>
  <c r="F51" i="34"/>
  <c r="D51" i="34"/>
  <c r="P50" i="34"/>
  <c r="G50" i="34"/>
  <c r="F50" i="34"/>
  <c r="D50" i="34"/>
  <c r="P49" i="34"/>
  <c r="G49" i="34"/>
  <c r="F49" i="34"/>
  <c r="D49" i="34"/>
  <c r="P48" i="34"/>
  <c r="G48" i="34"/>
  <c r="F48" i="34"/>
  <c r="D48" i="34"/>
  <c r="P47" i="34"/>
  <c r="G47" i="34"/>
  <c r="F47" i="34"/>
  <c r="D47" i="34"/>
  <c r="P46" i="34"/>
  <c r="G46" i="34"/>
  <c r="F46" i="34"/>
  <c r="D46" i="34"/>
  <c r="P45" i="34"/>
  <c r="G45" i="34"/>
  <c r="F45" i="34"/>
  <c r="D45" i="34"/>
  <c r="P44" i="34"/>
  <c r="G44" i="34"/>
  <c r="F44" i="34"/>
  <c r="D44" i="34"/>
  <c r="P43" i="34"/>
  <c r="G43" i="34"/>
  <c r="F43" i="34"/>
  <c r="D43" i="34"/>
  <c r="G42" i="34"/>
  <c r="F42" i="34"/>
  <c r="D42" i="34"/>
  <c r="P41" i="34"/>
  <c r="G41" i="34"/>
  <c r="F41" i="34"/>
  <c r="D41" i="34"/>
  <c r="P40" i="34"/>
  <c r="G40" i="34"/>
  <c r="F40" i="34"/>
  <c r="D40" i="34"/>
  <c r="P39" i="34"/>
  <c r="G39" i="34"/>
  <c r="F39" i="34"/>
  <c r="D39" i="34"/>
  <c r="P38" i="34"/>
  <c r="G38" i="34"/>
  <c r="F38" i="34"/>
  <c r="D38" i="34"/>
  <c r="P37" i="34"/>
  <c r="G37" i="34"/>
  <c r="F37" i="34"/>
  <c r="D37" i="34"/>
  <c r="Q36" i="34"/>
  <c r="P36" i="34"/>
  <c r="G36" i="34"/>
  <c r="F36" i="34"/>
  <c r="D36" i="34"/>
  <c r="D34" i="34"/>
  <c r="F31" i="34"/>
  <c r="D30" i="34"/>
  <c r="D29" i="34"/>
  <c r="D28" i="34"/>
  <c r="D28" i="33"/>
  <c r="D27" i="33"/>
  <c r="D26" i="33"/>
  <c r="D25" i="33"/>
  <c r="B74" i="10"/>
  <c r="B71" i="10"/>
  <c r="B66" i="10"/>
  <c r="B62" i="10"/>
  <c r="C57" i="10"/>
  <c r="B55" i="10"/>
  <c r="B50" i="10"/>
  <c r="B49" i="10"/>
  <c r="B45" i="10"/>
  <c r="B44" i="10"/>
  <c r="D43" i="10"/>
  <c r="D42" i="10"/>
  <c r="C41" i="10"/>
  <c r="C40" i="10"/>
  <c r="B39" i="10"/>
  <c r="B38" i="10"/>
  <c r="B16" i="10"/>
  <c r="B15" i="10"/>
  <c r="B11" i="10"/>
  <c r="B10" i="10"/>
  <c r="B8" i="10"/>
  <c r="B81" i="9"/>
  <c r="B71" i="9"/>
  <c r="B69" i="9"/>
  <c r="B67" i="9"/>
  <c r="B65" i="9"/>
  <c r="B63" i="9"/>
  <c r="B61" i="9"/>
  <c r="B59" i="9"/>
  <c r="B57" i="9"/>
  <c r="B51" i="9"/>
  <c r="B49" i="9"/>
  <c r="B47" i="9"/>
  <c r="B45" i="9"/>
  <c r="B43" i="9"/>
  <c r="B41" i="9"/>
  <c r="B39" i="9"/>
  <c r="B37" i="9"/>
  <c r="B20" i="9"/>
  <c r="B19" i="9"/>
  <c r="B4" i="9"/>
  <c r="R133" i="34" l="1"/>
  <c r="R132" i="34"/>
  <c r="R131" i="34"/>
  <c r="R130" i="34"/>
  <c r="R129" i="34"/>
  <c r="R128" i="34"/>
  <c r="R127" i="34"/>
  <c r="R126" i="34"/>
  <c r="R125" i="34"/>
  <c r="R124" i="34"/>
  <c r="R123" i="34"/>
  <c r="R122" i="34"/>
  <c r="R121" i="34"/>
  <c r="B21" i="10" l="1"/>
  <c r="B17" i="10"/>
  <c r="Z74" i="34" l="1"/>
  <c r="Z73" i="34"/>
  <c r="Z72" i="34"/>
  <c r="Z71" i="34"/>
  <c r="Z70" i="34"/>
  <c r="Z69" i="34"/>
  <c r="Z68" i="34"/>
  <c r="Z67" i="34"/>
  <c r="Z66" i="34"/>
  <c r="Z65" i="34"/>
  <c r="Z64" i="34"/>
  <c r="Z63" i="34"/>
  <c r="Z62" i="34"/>
  <c r="Z61" i="34"/>
  <c r="Z60" i="34"/>
  <c r="M71" i="42" l="1"/>
  <c r="M72" i="42"/>
  <c r="M73" i="42"/>
  <c r="M74" i="42"/>
  <c r="M75" i="42"/>
  <c r="M77" i="42"/>
  <c r="M78" i="42"/>
  <c r="M79" i="42"/>
  <c r="M80" i="42"/>
  <c r="M81" i="42"/>
  <c r="M82" i="42"/>
  <c r="M83" i="42"/>
  <c r="M84" i="42"/>
  <c r="M85" i="42"/>
  <c r="M86" i="42"/>
  <c r="M87" i="42"/>
  <c r="M88" i="42"/>
  <c r="M89" i="42"/>
  <c r="M90" i="42"/>
  <c r="M91" i="42"/>
  <c r="M92" i="42"/>
  <c r="M93" i="42"/>
  <c r="M94" i="42"/>
  <c r="M95" i="42"/>
  <c r="M96" i="42"/>
  <c r="M97" i="42"/>
  <c r="M98" i="42"/>
  <c r="M99" i="42"/>
  <c r="M100" i="42"/>
  <c r="M101" i="42"/>
  <c r="M102" i="42"/>
  <c r="M103" i="42"/>
  <c r="M104" i="42"/>
  <c r="M105" i="42"/>
  <c r="M106" i="42"/>
  <c r="M107" i="42"/>
  <c r="M108" i="42"/>
  <c r="M109" i="42"/>
  <c r="M110" i="42"/>
  <c r="M111" i="42"/>
  <c r="M112" i="42"/>
  <c r="M113" i="42"/>
  <c r="M114" i="42"/>
  <c r="M115" i="42"/>
  <c r="M116" i="42"/>
  <c r="M117" i="42"/>
  <c r="M118" i="42"/>
  <c r="M119" i="42"/>
  <c r="M120" i="42"/>
  <c r="M121" i="42"/>
  <c r="M122" i="42"/>
  <c r="M123" i="42"/>
  <c r="M124" i="42"/>
  <c r="M125" i="42"/>
  <c r="M126" i="42"/>
  <c r="M127" i="42"/>
  <c r="M128" i="42"/>
  <c r="M129" i="42"/>
  <c r="M130" i="42"/>
  <c r="M131" i="42"/>
  <c r="M132" i="42"/>
  <c r="M133" i="42"/>
  <c r="M134" i="42"/>
  <c r="M135" i="42"/>
  <c r="M136" i="42"/>
  <c r="M137" i="42"/>
  <c r="M138" i="42"/>
  <c r="M139" i="42"/>
  <c r="M140" i="42"/>
  <c r="M141" i="42"/>
  <c r="M142" i="42"/>
  <c r="M143" i="42"/>
  <c r="M144" i="42"/>
  <c r="M145" i="42"/>
  <c r="M146" i="42"/>
  <c r="M147" i="42"/>
  <c r="M148" i="42"/>
  <c r="M149" i="42"/>
  <c r="M150" i="42"/>
  <c r="M151" i="42"/>
  <c r="M152" i="42"/>
  <c r="M153" i="42"/>
  <c r="M154" i="42"/>
  <c r="M155" i="42"/>
  <c r="M156" i="42"/>
  <c r="M157" i="42"/>
  <c r="M158" i="42"/>
  <c r="M159" i="42"/>
  <c r="M160" i="42"/>
  <c r="M161" i="42"/>
  <c r="M162" i="42"/>
  <c r="M163" i="42"/>
  <c r="M164" i="42"/>
  <c r="M165" i="42"/>
  <c r="M166" i="42"/>
  <c r="M167" i="42"/>
  <c r="M168" i="42"/>
  <c r="M169" i="42"/>
  <c r="M170" i="42"/>
  <c r="M171" i="42"/>
  <c r="M172" i="42"/>
  <c r="M173" i="42"/>
  <c r="M174" i="42"/>
  <c r="M175" i="42"/>
  <c r="M176" i="42"/>
  <c r="M177" i="42"/>
  <c r="M178" i="42"/>
  <c r="M179" i="42"/>
  <c r="M180" i="42"/>
  <c r="M181" i="42"/>
  <c r="M182" i="42"/>
  <c r="M183" i="42"/>
  <c r="M184" i="42"/>
  <c r="M185" i="42"/>
  <c r="M186" i="42"/>
  <c r="M187" i="42"/>
  <c r="M188" i="42"/>
  <c r="M189" i="42"/>
  <c r="M190" i="42"/>
  <c r="M191" i="42"/>
  <c r="M192" i="42"/>
  <c r="M193" i="42"/>
  <c r="M194" i="42"/>
  <c r="M195" i="42"/>
  <c r="M196" i="42"/>
  <c r="M197" i="42"/>
  <c r="M198" i="42"/>
  <c r="M199" i="42"/>
  <c r="M200" i="42"/>
  <c r="M201" i="42"/>
  <c r="M202" i="42"/>
  <c r="M203" i="42"/>
  <c r="M204" i="42"/>
  <c r="M205" i="42"/>
  <c r="M206" i="42"/>
  <c r="M207" i="42"/>
  <c r="M208" i="42"/>
  <c r="M209" i="42"/>
  <c r="M210" i="42"/>
  <c r="M211" i="42"/>
  <c r="M212" i="42"/>
  <c r="M213" i="42"/>
  <c r="M214" i="42"/>
  <c r="M215" i="42"/>
  <c r="M216" i="42"/>
  <c r="M217" i="42"/>
  <c r="M218" i="42"/>
  <c r="M219" i="42"/>
  <c r="M220" i="42"/>
  <c r="M221" i="42"/>
  <c r="M222" i="42"/>
  <c r="M223" i="42"/>
  <c r="M224" i="42"/>
  <c r="M225" i="42"/>
  <c r="M226" i="42"/>
  <c r="M227" i="42"/>
  <c r="M228" i="42"/>
  <c r="M229" i="42"/>
  <c r="M230" i="42"/>
  <c r="M231" i="42"/>
  <c r="M232" i="42"/>
  <c r="M233" i="42"/>
  <c r="M234" i="42"/>
  <c r="M235" i="42"/>
  <c r="M236" i="42"/>
  <c r="M237" i="42"/>
  <c r="M238" i="42"/>
  <c r="M239" i="42"/>
  <c r="M240" i="42"/>
  <c r="M241" i="42"/>
  <c r="M242" i="42"/>
  <c r="M243" i="42"/>
  <c r="M244" i="42"/>
  <c r="M245" i="42"/>
  <c r="M246" i="42"/>
  <c r="M247" i="42"/>
  <c r="M248" i="42"/>
  <c r="M249" i="42"/>
  <c r="M250" i="42"/>
  <c r="M251" i="42"/>
  <c r="M252" i="42"/>
  <c r="M253" i="42"/>
  <c r="M254" i="42"/>
  <c r="M255" i="42"/>
  <c r="M256" i="42"/>
  <c r="M257" i="42"/>
  <c r="M258" i="42"/>
  <c r="G118" i="38" l="1"/>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36" i="38"/>
  <c r="H35" i="38"/>
  <c r="H34" i="38"/>
  <c r="F113" i="38"/>
  <c r="G113" i="38"/>
  <c r="G117" i="38" s="1"/>
  <c r="F259" i="42"/>
  <c r="K258" i="42"/>
  <c r="I258" i="42"/>
  <c r="K257" i="42"/>
  <c r="I257" i="42"/>
  <c r="K256" i="42"/>
  <c r="I256" i="42"/>
  <c r="K255" i="42"/>
  <c r="I255" i="42"/>
  <c r="K254" i="42"/>
  <c r="I254" i="42"/>
  <c r="K253" i="42"/>
  <c r="I253" i="42"/>
  <c r="K252" i="42"/>
  <c r="I252" i="42"/>
  <c r="K251" i="42"/>
  <c r="I251" i="42"/>
  <c r="K250" i="42"/>
  <c r="I250" i="42"/>
  <c r="K249" i="42"/>
  <c r="I249" i="42"/>
  <c r="K248" i="42"/>
  <c r="I248" i="42"/>
  <c r="K247" i="42"/>
  <c r="I247" i="42"/>
  <c r="K246" i="42"/>
  <c r="I246" i="42"/>
  <c r="K245" i="42"/>
  <c r="I245" i="42"/>
  <c r="K244" i="42"/>
  <c r="I244" i="42"/>
  <c r="K243" i="42"/>
  <c r="I243" i="42"/>
  <c r="K242" i="42"/>
  <c r="I242" i="42"/>
  <c r="K241" i="42"/>
  <c r="I241" i="42"/>
  <c r="K240" i="42"/>
  <c r="I240" i="42"/>
  <c r="K239" i="42"/>
  <c r="I239" i="42"/>
  <c r="K238" i="42"/>
  <c r="I238" i="42"/>
  <c r="K237" i="42"/>
  <c r="I237" i="42"/>
  <c r="K236" i="42"/>
  <c r="I236" i="42"/>
  <c r="K235" i="42"/>
  <c r="I235" i="42"/>
  <c r="K234" i="42"/>
  <c r="I234" i="42"/>
  <c r="K233" i="42"/>
  <c r="I233" i="42"/>
  <c r="K232" i="42"/>
  <c r="I232" i="42"/>
  <c r="K231" i="42"/>
  <c r="I231" i="42"/>
  <c r="K230" i="42"/>
  <c r="I230" i="42"/>
  <c r="K229" i="42"/>
  <c r="I229" i="42"/>
  <c r="K228" i="42"/>
  <c r="I228" i="42"/>
  <c r="K227" i="42"/>
  <c r="I227" i="42"/>
  <c r="K226" i="42"/>
  <c r="I226" i="42"/>
  <c r="K225" i="42"/>
  <c r="I225" i="42"/>
  <c r="K224" i="42"/>
  <c r="I224" i="42"/>
  <c r="K223" i="42"/>
  <c r="I223" i="42"/>
  <c r="K222" i="42"/>
  <c r="I222" i="42"/>
  <c r="K221" i="42"/>
  <c r="I221" i="42"/>
  <c r="K220" i="42"/>
  <c r="I220" i="42"/>
  <c r="K219" i="42"/>
  <c r="I219" i="42"/>
  <c r="K218" i="42"/>
  <c r="I218" i="42"/>
  <c r="K217" i="42"/>
  <c r="I217" i="42"/>
  <c r="K216" i="42"/>
  <c r="I216" i="42"/>
  <c r="K215" i="42"/>
  <c r="I215" i="42"/>
  <c r="K214" i="42"/>
  <c r="I214" i="42"/>
  <c r="K213" i="42"/>
  <c r="I213" i="42"/>
  <c r="K212" i="42"/>
  <c r="I212" i="42"/>
  <c r="K211" i="42"/>
  <c r="I211" i="42"/>
  <c r="K210" i="42"/>
  <c r="I210" i="42"/>
  <c r="K209" i="42"/>
  <c r="I209" i="42"/>
  <c r="K208" i="42"/>
  <c r="I208" i="42"/>
  <c r="K207" i="42"/>
  <c r="I207" i="42"/>
  <c r="K206" i="42"/>
  <c r="I206" i="42"/>
  <c r="K205" i="42"/>
  <c r="I205" i="42"/>
  <c r="K204" i="42"/>
  <c r="I204" i="42"/>
  <c r="K203" i="42"/>
  <c r="I203" i="42"/>
  <c r="K202" i="42"/>
  <c r="I202" i="42"/>
  <c r="K201" i="42"/>
  <c r="I201" i="42"/>
  <c r="K200" i="42"/>
  <c r="I200" i="42"/>
  <c r="K199" i="42"/>
  <c r="I199" i="42"/>
  <c r="K198" i="42"/>
  <c r="I198" i="42"/>
  <c r="K197" i="42"/>
  <c r="I197" i="42"/>
  <c r="K196" i="42"/>
  <c r="I196" i="42"/>
  <c r="K195" i="42"/>
  <c r="I195" i="42"/>
  <c r="K194" i="42"/>
  <c r="I194" i="42"/>
  <c r="K193" i="42"/>
  <c r="I193" i="42"/>
  <c r="K192" i="42"/>
  <c r="I192" i="42"/>
  <c r="K191" i="42"/>
  <c r="I191" i="42"/>
  <c r="K190" i="42"/>
  <c r="I190" i="42"/>
  <c r="K189" i="42"/>
  <c r="I189" i="42"/>
  <c r="K188" i="42"/>
  <c r="I188" i="42"/>
  <c r="K187" i="42"/>
  <c r="I187" i="42"/>
  <c r="K186" i="42"/>
  <c r="I186" i="42"/>
  <c r="K185" i="42"/>
  <c r="I185" i="42"/>
  <c r="K184" i="42"/>
  <c r="I184" i="42"/>
  <c r="K183" i="42"/>
  <c r="I183" i="42"/>
  <c r="K182" i="42"/>
  <c r="I182" i="42"/>
  <c r="K181" i="42"/>
  <c r="I181" i="42"/>
  <c r="K180" i="42"/>
  <c r="I180" i="42"/>
  <c r="K179" i="42"/>
  <c r="I179" i="42"/>
  <c r="K178" i="42"/>
  <c r="I178" i="42"/>
  <c r="K177" i="42"/>
  <c r="I177" i="42"/>
  <c r="K176" i="42"/>
  <c r="I176" i="42"/>
  <c r="K175" i="42"/>
  <c r="I175" i="42"/>
  <c r="K174" i="42"/>
  <c r="I174" i="42"/>
  <c r="K173" i="42"/>
  <c r="I173" i="42"/>
  <c r="K172" i="42"/>
  <c r="I172" i="42"/>
  <c r="K171" i="42"/>
  <c r="I171" i="42"/>
  <c r="K170" i="42"/>
  <c r="I170" i="42"/>
  <c r="K169" i="42"/>
  <c r="I169" i="42"/>
  <c r="K168" i="42"/>
  <c r="I168" i="42"/>
  <c r="K167" i="42"/>
  <c r="I167" i="42"/>
  <c r="K166" i="42"/>
  <c r="I166" i="42"/>
  <c r="K165" i="42"/>
  <c r="I165" i="42"/>
  <c r="K164" i="42"/>
  <c r="I164" i="42"/>
  <c r="K163" i="42"/>
  <c r="I163" i="42"/>
  <c r="K162" i="42"/>
  <c r="I162" i="42"/>
  <c r="K161" i="42"/>
  <c r="I161" i="42"/>
  <c r="K160" i="42"/>
  <c r="I160" i="42"/>
  <c r="K159" i="42"/>
  <c r="I159" i="42"/>
  <c r="K158" i="42"/>
  <c r="I158" i="42"/>
  <c r="K157" i="42"/>
  <c r="I157" i="42"/>
  <c r="K156" i="42"/>
  <c r="I156" i="42"/>
  <c r="K155" i="42"/>
  <c r="I155" i="42"/>
  <c r="K154" i="42"/>
  <c r="I154" i="42"/>
  <c r="K153" i="42"/>
  <c r="I153" i="42"/>
  <c r="K152" i="42"/>
  <c r="I152" i="42"/>
  <c r="K151" i="42"/>
  <c r="I151" i="42"/>
  <c r="K150" i="42"/>
  <c r="I150" i="42"/>
  <c r="K149" i="42"/>
  <c r="I149" i="42"/>
  <c r="K148" i="42"/>
  <c r="I148" i="42"/>
  <c r="K147" i="42"/>
  <c r="I147" i="42"/>
  <c r="K146" i="42"/>
  <c r="I146" i="42"/>
  <c r="K145" i="42"/>
  <c r="I145" i="42"/>
  <c r="K144" i="42"/>
  <c r="I144" i="42"/>
  <c r="K143" i="42"/>
  <c r="I143" i="42"/>
  <c r="K142" i="42"/>
  <c r="I142" i="42"/>
  <c r="K141" i="42"/>
  <c r="I141" i="42"/>
  <c r="K140" i="42"/>
  <c r="I140" i="42"/>
  <c r="K139" i="42"/>
  <c r="I139" i="42"/>
  <c r="K138" i="42"/>
  <c r="I138" i="42"/>
  <c r="K137" i="42"/>
  <c r="I137" i="42"/>
  <c r="K136" i="42"/>
  <c r="I136" i="42"/>
  <c r="K135" i="42"/>
  <c r="I135" i="42"/>
  <c r="K134" i="42"/>
  <c r="I134" i="42"/>
  <c r="K133" i="42"/>
  <c r="I133" i="42"/>
  <c r="K132" i="42"/>
  <c r="I132" i="42"/>
  <c r="K131" i="42"/>
  <c r="I131" i="42"/>
  <c r="K130" i="42"/>
  <c r="I130" i="42"/>
  <c r="K129" i="42"/>
  <c r="I129" i="42"/>
  <c r="K128" i="42"/>
  <c r="I128" i="42"/>
  <c r="K127" i="42"/>
  <c r="I127" i="42"/>
  <c r="K126" i="42"/>
  <c r="I126" i="42"/>
  <c r="K125" i="42"/>
  <c r="I125" i="42"/>
  <c r="K124" i="42"/>
  <c r="I124" i="42"/>
  <c r="K123" i="42"/>
  <c r="I123" i="42"/>
  <c r="K122" i="42"/>
  <c r="I122" i="42"/>
  <c r="K121" i="42"/>
  <c r="I121" i="42"/>
  <c r="K120" i="42"/>
  <c r="I120" i="42"/>
  <c r="K119" i="42"/>
  <c r="I119" i="42"/>
  <c r="K118" i="42"/>
  <c r="I118" i="42"/>
  <c r="K117" i="42"/>
  <c r="I117" i="42"/>
  <c r="K116" i="42"/>
  <c r="I116" i="42"/>
  <c r="K115" i="42"/>
  <c r="I115" i="42"/>
  <c r="K114" i="42"/>
  <c r="I114" i="42"/>
  <c r="K113" i="42"/>
  <c r="I113" i="42"/>
  <c r="K112" i="42"/>
  <c r="I112" i="42"/>
  <c r="K111" i="42"/>
  <c r="I111" i="42"/>
  <c r="K110" i="42"/>
  <c r="I110" i="42"/>
  <c r="K109" i="42"/>
  <c r="I109" i="42"/>
  <c r="K108" i="42"/>
  <c r="I108" i="42"/>
  <c r="K107" i="42"/>
  <c r="I107" i="42"/>
  <c r="K106" i="42"/>
  <c r="I106" i="42"/>
  <c r="K105" i="42"/>
  <c r="I105" i="42"/>
  <c r="K104" i="42"/>
  <c r="I104" i="42"/>
  <c r="K103" i="42"/>
  <c r="I103" i="42"/>
  <c r="K102" i="42"/>
  <c r="I102" i="42"/>
  <c r="K101" i="42"/>
  <c r="I101" i="42"/>
  <c r="K100" i="42"/>
  <c r="I100" i="42"/>
  <c r="K99" i="42"/>
  <c r="I99" i="42"/>
  <c r="K98" i="42"/>
  <c r="I98" i="42"/>
  <c r="K97" i="42"/>
  <c r="I97" i="42"/>
  <c r="K96" i="42"/>
  <c r="I96" i="42"/>
  <c r="K95" i="42"/>
  <c r="I95" i="42"/>
  <c r="K94" i="42"/>
  <c r="I94" i="42"/>
  <c r="K93" i="42"/>
  <c r="I93" i="42"/>
  <c r="K92" i="42"/>
  <c r="I92" i="42"/>
  <c r="K91" i="42"/>
  <c r="I91" i="42"/>
  <c r="K90" i="42"/>
  <c r="I90" i="42"/>
  <c r="K89" i="42"/>
  <c r="I89" i="42"/>
  <c r="K88" i="42"/>
  <c r="I88" i="42"/>
  <c r="K87" i="42"/>
  <c r="I87" i="42"/>
  <c r="K86" i="42"/>
  <c r="I86" i="42"/>
  <c r="K85" i="42"/>
  <c r="I85" i="42"/>
  <c r="K84" i="42"/>
  <c r="I84" i="42"/>
  <c r="K83" i="42"/>
  <c r="I83" i="42"/>
  <c r="K82" i="42"/>
  <c r="I82" i="42"/>
  <c r="K81" i="42"/>
  <c r="I81" i="42"/>
  <c r="K80" i="42"/>
  <c r="I80" i="42"/>
  <c r="K79" i="42"/>
  <c r="I79" i="42"/>
  <c r="K78" i="42"/>
  <c r="I78" i="42"/>
  <c r="K77" i="42"/>
  <c r="I77" i="42"/>
  <c r="K76" i="42"/>
  <c r="I76" i="42"/>
  <c r="K75" i="42"/>
  <c r="I75" i="42"/>
  <c r="K74" i="42"/>
  <c r="I74" i="42"/>
  <c r="K73" i="42"/>
  <c r="I73" i="42"/>
  <c r="K72" i="42"/>
  <c r="I72" i="42"/>
  <c r="K71" i="42"/>
  <c r="I71" i="42"/>
  <c r="K70" i="42"/>
  <c r="I70" i="42"/>
  <c r="K69" i="42"/>
  <c r="I69" i="42"/>
  <c r="K68" i="42"/>
  <c r="I68" i="42"/>
  <c r="K67" i="42"/>
  <c r="I67" i="42"/>
  <c r="K66" i="42"/>
  <c r="I66" i="42"/>
  <c r="K65" i="42"/>
  <c r="I65" i="42"/>
  <c r="K64" i="42"/>
  <c r="I64" i="42"/>
  <c r="K63" i="42"/>
  <c r="I63" i="42"/>
  <c r="K62" i="42"/>
  <c r="I62" i="42"/>
  <c r="K61" i="42"/>
  <c r="I61" i="42"/>
  <c r="K60" i="42"/>
  <c r="I60" i="42"/>
  <c r="K59" i="42"/>
  <c r="I59" i="42"/>
  <c r="Z58" i="35"/>
  <c r="V58" i="35"/>
  <c r="U58" i="35"/>
  <c r="T58" i="35"/>
  <c r="S58" i="35"/>
  <c r="R58" i="35"/>
  <c r="Q58" i="35"/>
  <c r="P58" i="35"/>
  <c r="O58" i="35"/>
  <c r="N58" i="35"/>
  <c r="M58" i="35"/>
  <c r="L58" i="35"/>
  <c r="K58" i="35"/>
  <c r="J58" i="35"/>
  <c r="I58" i="35"/>
  <c r="H58" i="35"/>
  <c r="G58" i="35"/>
  <c r="F58" i="35"/>
  <c r="E58" i="35"/>
  <c r="Z136" i="35"/>
  <c r="V136" i="35"/>
  <c r="U136" i="35"/>
  <c r="T136" i="35"/>
  <c r="S136" i="35"/>
  <c r="R136" i="35"/>
  <c r="Q136" i="35"/>
  <c r="P136" i="35"/>
  <c r="O136" i="35"/>
  <c r="N136" i="35"/>
  <c r="M136" i="35"/>
  <c r="L136" i="35"/>
  <c r="K136" i="35"/>
  <c r="J136" i="35"/>
  <c r="I136" i="35"/>
  <c r="H136" i="35"/>
  <c r="G136" i="35"/>
  <c r="Z183" i="35"/>
  <c r="Z137" i="35" s="1"/>
  <c r="V183" i="35"/>
  <c r="V137" i="35" s="1"/>
  <c r="V135" i="35" s="1"/>
  <c r="U183" i="35"/>
  <c r="U137" i="35" s="1"/>
  <c r="U135" i="35" s="1"/>
  <c r="T183" i="35"/>
  <c r="T137" i="35" s="1"/>
  <c r="T135" i="35" s="1"/>
  <c r="S183" i="35"/>
  <c r="S137" i="35" s="1"/>
  <c r="R183" i="35"/>
  <c r="R137" i="35" s="1"/>
  <c r="Q183" i="35"/>
  <c r="Q137" i="35" s="1"/>
  <c r="P183" i="35"/>
  <c r="P137" i="35" s="1"/>
  <c r="O183" i="35"/>
  <c r="O137" i="35" s="1"/>
  <c r="N183" i="35"/>
  <c r="N137" i="35" s="1"/>
  <c r="N135" i="35" s="1"/>
  <c r="M183" i="35"/>
  <c r="M137" i="35" s="1"/>
  <c r="M135" i="35" s="1"/>
  <c r="L183" i="35"/>
  <c r="L137" i="35" s="1"/>
  <c r="L135" i="35" s="1"/>
  <c r="K183" i="35"/>
  <c r="K137" i="35" s="1"/>
  <c r="J183" i="35"/>
  <c r="J137" i="35" s="1"/>
  <c r="I183" i="35"/>
  <c r="I137" i="35" s="1"/>
  <c r="H183" i="35"/>
  <c r="H137" i="35" s="1"/>
  <c r="G183" i="35"/>
  <c r="G137" i="35" s="1"/>
  <c r="F183" i="35"/>
  <c r="F135" i="35" s="1"/>
  <c r="E183" i="35"/>
  <c r="J135" i="35" l="1"/>
  <c r="R135" i="35"/>
  <c r="O135" i="35"/>
  <c r="Z135" i="35"/>
  <c r="G135" i="35"/>
  <c r="K135" i="35"/>
  <c r="S135" i="35"/>
  <c r="I135" i="35"/>
  <c r="Q135" i="35"/>
  <c r="H135" i="35"/>
  <c r="P135" i="35"/>
  <c r="I259" i="42"/>
  <c r="G259" i="42" s="1"/>
  <c r="K259" i="42"/>
  <c r="H259" i="42" s="1"/>
  <c r="U224" i="34" l="1"/>
  <c r="B8" i="9" l="1"/>
  <c r="D226" i="34" l="1"/>
  <c r="B27" i="10" l="1"/>
  <c r="B7" i="10" l="1"/>
  <c r="G151" i="35" l="1"/>
  <c r="F151" i="35"/>
  <c r="E151" i="35"/>
  <c r="G145" i="35"/>
  <c r="F145" i="35"/>
  <c r="E145" i="35"/>
  <c r="G157" i="34" l="1"/>
  <c r="H157" i="34" s="1"/>
  <c r="J157" i="34" s="1"/>
  <c r="G158" i="34"/>
  <c r="H158" i="34" s="1"/>
  <c r="K158" i="34" s="1"/>
  <c r="G172" i="34"/>
  <c r="H172" i="34" s="1"/>
  <c r="G173" i="34"/>
  <c r="H173" i="34" s="1"/>
  <c r="G156" i="34"/>
  <c r="H156" i="34" s="1"/>
  <c r="K173" i="34"/>
  <c r="J173" i="34"/>
  <c r="K172" i="34"/>
  <c r="J172" i="34"/>
  <c r="K171" i="34"/>
  <c r="J171" i="34"/>
  <c r="K170" i="34"/>
  <c r="J170" i="34"/>
  <c r="K169" i="34"/>
  <c r="J169" i="34"/>
  <c r="K168" i="34"/>
  <c r="J168" i="34"/>
  <c r="K167" i="34"/>
  <c r="J167" i="34"/>
  <c r="K166" i="34"/>
  <c r="J166" i="34"/>
  <c r="K165" i="34"/>
  <c r="J165" i="34"/>
  <c r="D157" i="34"/>
  <c r="D158" i="34" s="1"/>
  <c r="D159" i="34" s="1"/>
  <c r="I155" i="34"/>
  <c r="H155" i="34"/>
  <c r="E155" i="34"/>
  <c r="D155" i="34"/>
  <c r="D160" i="34" l="1"/>
  <c r="D161" i="34" s="1"/>
  <c r="D162" i="34" s="1"/>
  <c r="D163" i="34" s="1"/>
  <c r="D164" i="34" s="1"/>
  <c r="D165" i="34" s="1"/>
  <c r="D166" i="34" s="1"/>
  <c r="D167" i="34" s="1"/>
  <c r="D168" i="34" s="1"/>
  <c r="K156" i="34"/>
  <c r="J156" i="34"/>
  <c r="J158" i="34"/>
  <c r="K157" i="34"/>
  <c r="K19" i="43"/>
  <c r="K20" i="43"/>
  <c r="K21" i="43"/>
  <c r="K22" i="43"/>
  <c r="K23" i="43"/>
  <c r="K24" i="43"/>
  <c r="K25" i="43"/>
  <c r="K18" i="43"/>
  <c r="D10" i="43"/>
  <c r="O71" i="42"/>
  <c r="O72" i="42"/>
  <c r="O73" i="42"/>
  <c r="O74" i="42"/>
  <c r="O75" i="42"/>
  <c r="O77" i="42"/>
  <c r="O78" i="42"/>
  <c r="O79" i="42"/>
  <c r="O80" i="42"/>
  <c r="O81" i="42"/>
  <c r="O82" i="42"/>
  <c r="O83" i="42"/>
  <c r="O84" i="42"/>
  <c r="O85" i="42"/>
  <c r="O86" i="42"/>
  <c r="O87" i="42"/>
  <c r="O88" i="42"/>
  <c r="O89" i="42"/>
  <c r="O90" i="42"/>
  <c r="O91" i="42"/>
  <c r="O92" i="42"/>
  <c r="O93" i="42"/>
  <c r="O94" i="42"/>
  <c r="O95" i="42"/>
  <c r="O96" i="42"/>
  <c r="O97" i="42"/>
  <c r="O98" i="42"/>
  <c r="O99" i="42"/>
  <c r="O100" i="42"/>
  <c r="O101" i="42"/>
  <c r="O102" i="42"/>
  <c r="O103" i="42"/>
  <c r="O104" i="42"/>
  <c r="O105" i="42"/>
  <c r="O106" i="42"/>
  <c r="O107" i="42"/>
  <c r="O108" i="42"/>
  <c r="O109" i="42"/>
  <c r="O110" i="42"/>
  <c r="O111" i="42"/>
  <c r="O112" i="42"/>
  <c r="O113" i="42"/>
  <c r="O114" i="42"/>
  <c r="O115" i="42"/>
  <c r="O116" i="42"/>
  <c r="O117" i="42"/>
  <c r="O118" i="42"/>
  <c r="O119" i="42"/>
  <c r="O120" i="42"/>
  <c r="O121" i="42"/>
  <c r="O122" i="42"/>
  <c r="O123" i="42"/>
  <c r="O124" i="42"/>
  <c r="O125" i="42"/>
  <c r="O126" i="42"/>
  <c r="O127" i="42"/>
  <c r="O128" i="42"/>
  <c r="O129" i="42"/>
  <c r="O130" i="42"/>
  <c r="O131" i="42"/>
  <c r="O132" i="42"/>
  <c r="O133" i="42"/>
  <c r="O134" i="42"/>
  <c r="O135" i="42"/>
  <c r="O136" i="42"/>
  <c r="O137" i="42"/>
  <c r="O138" i="42"/>
  <c r="O139" i="42"/>
  <c r="O140" i="42"/>
  <c r="O141" i="42"/>
  <c r="O142" i="42"/>
  <c r="O143" i="42"/>
  <c r="O144" i="42"/>
  <c r="O145" i="42"/>
  <c r="O146" i="42"/>
  <c r="O147" i="42"/>
  <c r="O148" i="42"/>
  <c r="O149" i="42"/>
  <c r="O150" i="42"/>
  <c r="O151" i="42"/>
  <c r="O152" i="42"/>
  <c r="O153" i="42"/>
  <c r="O154" i="42"/>
  <c r="O155" i="42"/>
  <c r="O156" i="42"/>
  <c r="O157" i="42"/>
  <c r="O158" i="42"/>
  <c r="O159" i="42"/>
  <c r="O160" i="42"/>
  <c r="O161" i="42"/>
  <c r="O162" i="42"/>
  <c r="O163" i="42"/>
  <c r="O164" i="42"/>
  <c r="O165" i="42"/>
  <c r="O166" i="42"/>
  <c r="O167" i="42"/>
  <c r="O168" i="42"/>
  <c r="O169" i="42"/>
  <c r="O170" i="42"/>
  <c r="O171" i="42"/>
  <c r="O172" i="42"/>
  <c r="O173" i="42"/>
  <c r="O174" i="42"/>
  <c r="O175" i="42"/>
  <c r="O176" i="42"/>
  <c r="O177" i="42"/>
  <c r="O178" i="42"/>
  <c r="O179" i="42"/>
  <c r="O180" i="42"/>
  <c r="O181" i="42"/>
  <c r="O182" i="42"/>
  <c r="O183" i="42"/>
  <c r="O184" i="42"/>
  <c r="O185" i="42"/>
  <c r="O186" i="42"/>
  <c r="O187" i="42"/>
  <c r="O188" i="42"/>
  <c r="O189" i="42"/>
  <c r="O190" i="42"/>
  <c r="O191" i="42"/>
  <c r="O192" i="42"/>
  <c r="O193" i="42"/>
  <c r="O194" i="42"/>
  <c r="O195" i="42"/>
  <c r="O196" i="42"/>
  <c r="O197" i="42"/>
  <c r="O198" i="42"/>
  <c r="O199" i="42"/>
  <c r="O200" i="42"/>
  <c r="O201" i="42"/>
  <c r="O202" i="42"/>
  <c r="O203" i="42"/>
  <c r="O204" i="42"/>
  <c r="O205" i="42"/>
  <c r="O206" i="42"/>
  <c r="O207" i="42"/>
  <c r="O208" i="42"/>
  <c r="O209" i="42"/>
  <c r="O210" i="42"/>
  <c r="O211" i="42"/>
  <c r="O212" i="42"/>
  <c r="O213" i="42"/>
  <c r="O214" i="42"/>
  <c r="O215" i="42"/>
  <c r="O216" i="42"/>
  <c r="O217" i="42"/>
  <c r="O218" i="42"/>
  <c r="O219" i="42"/>
  <c r="O220" i="42"/>
  <c r="O221" i="42"/>
  <c r="O222" i="42"/>
  <c r="O223" i="42"/>
  <c r="O224" i="42"/>
  <c r="O225" i="42"/>
  <c r="O226" i="42"/>
  <c r="O227" i="42"/>
  <c r="O228" i="42"/>
  <c r="O229" i="42"/>
  <c r="O230" i="42"/>
  <c r="O231" i="42"/>
  <c r="O232" i="42"/>
  <c r="O233" i="42"/>
  <c r="O234" i="42"/>
  <c r="O235" i="42"/>
  <c r="O236" i="42"/>
  <c r="O237" i="42"/>
  <c r="O238" i="42"/>
  <c r="O239" i="42"/>
  <c r="O240" i="42"/>
  <c r="O241" i="42"/>
  <c r="O242" i="42"/>
  <c r="O243" i="42"/>
  <c r="O244" i="42"/>
  <c r="O245" i="42"/>
  <c r="O246" i="42"/>
  <c r="O247" i="42"/>
  <c r="O248" i="42"/>
  <c r="O249" i="42"/>
  <c r="O250" i="42"/>
  <c r="O251" i="42"/>
  <c r="O252" i="42"/>
  <c r="O253" i="42"/>
  <c r="O254" i="42"/>
  <c r="O255" i="42"/>
  <c r="O256" i="42"/>
  <c r="O257" i="42"/>
  <c r="O258" i="42"/>
  <c r="AC94" i="35"/>
  <c r="C122" i="35"/>
  <c r="Z14" i="35"/>
  <c r="F195" i="35"/>
  <c r="F196" i="35" s="1"/>
  <c r="G195" i="35"/>
  <c r="G196" i="35" s="1"/>
  <c r="U195" i="35"/>
  <c r="V195" i="35"/>
  <c r="E195" i="35"/>
  <c r="E196" i="35" s="1"/>
  <c r="U194" i="35"/>
  <c r="V194" i="35"/>
  <c r="D169" i="34" l="1"/>
  <c r="D170" i="34" s="1"/>
  <c r="W61" i="34"/>
  <c r="X61" i="34"/>
  <c r="Y61" i="34"/>
  <c r="W62" i="34"/>
  <c r="X62" i="34"/>
  <c r="Y62" i="34"/>
  <c r="W63" i="34"/>
  <c r="X63" i="34"/>
  <c r="Y63" i="34"/>
  <c r="W64" i="34"/>
  <c r="X64" i="34"/>
  <c r="Y64" i="34"/>
  <c r="W65" i="34"/>
  <c r="X65" i="34"/>
  <c r="Y65" i="34"/>
  <c r="W66" i="34"/>
  <c r="X66" i="34"/>
  <c r="Y66" i="34"/>
  <c r="W67" i="34"/>
  <c r="X67" i="34"/>
  <c r="Y67" i="34"/>
  <c r="W68" i="34"/>
  <c r="X68" i="34"/>
  <c r="Y68" i="34"/>
  <c r="W69" i="34"/>
  <c r="X69" i="34"/>
  <c r="Y69" i="34"/>
  <c r="W70" i="34"/>
  <c r="X70" i="34"/>
  <c r="Y70" i="34"/>
  <c r="W71" i="34"/>
  <c r="X71" i="34"/>
  <c r="Y71" i="34"/>
  <c r="W72" i="34"/>
  <c r="X72" i="34"/>
  <c r="Y72" i="34"/>
  <c r="W73" i="34"/>
  <c r="X73" i="34"/>
  <c r="Y73" i="34"/>
  <c r="W74" i="34"/>
  <c r="X74" i="34"/>
  <c r="Y74" i="34"/>
  <c r="Y60" i="34"/>
  <c r="X60" i="34"/>
  <c r="W60" i="34"/>
  <c r="D171" i="34" l="1"/>
  <c r="AC54" i="34"/>
  <c r="D172" i="34" l="1"/>
  <c r="U74" i="34"/>
  <c r="U73" i="34"/>
  <c r="AB61" i="34"/>
  <c r="AB62" i="34" s="1"/>
  <c r="AB63" i="34" s="1"/>
  <c r="E944" i="17"/>
  <c r="D944" i="17"/>
  <c r="D173" i="34" l="1"/>
  <c r="U191" i="35"/>
  <c r="V191" i="35"/>
  <c r="AB64" i="34"/>
  <c r="AB65" i="34" l="1"/>
  <c r="AB66" i="34" l="1"/>
  <c r="V74" i="34"/>
  <c r="E173" i="34" s="1"/>
  <c r="V193" i="35" l="1"/>
  <c r="AB67" i="34"/>
  <c r="V66" i="34"/>
  <c r="V67" i="34"/>
  <c r="V69" i="34"/>
  <c r="E168" i="34" s="1"/>
  <c r="V70" i="34"/>
  <c r="V71" i="34"/>
  <c r="E170" i="34" s="1"/>
  <c r="V72" i="34"/>
  <c r="E171" i="34" s="1"/>
  <c r="V145" i="35" l="1"/>
  <c r="V151" i="35"/>
  <c r="Q193" i="35"/>
  <c r="R193" i="35"/>
  <c r="N193" i="35"/>
  <c r="S193" i="35"/>
  <c r="O193" i="35"/>
  <c r="T193" i="35"/>
  <c r="AB68" i="34"/>
  <c r="D194" i="34"/>
  <c r="E136" i="35"/>
  <c r="E137" i="35"/>
  <c r="E135" i="35" s="1"/>
  <c r="Z123" i="35"/>
  <c r="Z17" i="35" s="1"/>
  <c r="E91" i="35"/>
  <c r="E16" i="35" s="1"/>
  <c r="U14" i="35"/>
  <c r="V14" i="35"/>
  <c r="R151" i="35" l="1"/>
  <c r="R145" i="35"/>
  <c r="Q145" i="35"/>
  <c r="Q151" i="35"/>
  <c r="S151" i="35"/>
  <c r="S145" i="35"/>
  <c r="N151" i="35"/>
  <c r="N145" i="35"/>
  <c r="T145" i="35"/>
  <c r="T151" i="35"/>
  <c r="O151" i="35"/>
  <c r="O145" i="35"/>
  <c r="AB69" i="34"/>
  <c r="P123" i="35"/>
  <c r="P17" i="35" s="1"/>
  <c r="O123" i="35"/>
  <c r="O17" i="35" s="1"/>
  <c r="N123" i="35"/>
  <c r="N17" i="35" s="1"/>
  <c r="M123" i="35"/>
  <c r="M17" i="35" s="1"/>
  <c r="L123" i="35"/>
  <c r="L17" i="35" s="1"/>
  <c r="K123" i="35"/>
  <c r="K17" i="35" s="1"/>
  <c r="J123" i="35"/>
  <c r="J17" i="35" s="1"/>
  <c r="I123" i="35"/>
  <c r="I17" i="35" s="1"/>
  <c r="P91" i="35"/>
  <c r="P16" i="35" s="1"/>
  <c r="O91" i="35"/>
  <c r="O16" i="35" s="1"/>
  <c r="N91" i="35"/>
  <c r="N16" i="35" s="1"/>
  <c r="M91" i="35"/>
  <c r="M16" i="35" s="1"/>
  <c r="L91" i="35"/>
  <c r="L16" i="35" s="1"/>
  <c r="K91" i="35"/>
  <c r="K16" i="35" s="1"/>
  <c r="J91" i="35"/>
  <c r="J16" i="35" s="1"/>
  <c r="I91" i="35"/>
  <c r="I16" i="35" s="1"/>
  <c r="P14" i="35"/>
  <c r="O14" i="35"/>
  <c r="N14" i="35"/>
  <c r="M14" i="35"/>
  <c r="L14" i="35"/>
  <c r="K14" i="35"/>
  <c r="J14" i="35"/>
  <c r="I14" i="35"/>
  <c r="T123" i="35"/>
  <c r="T17" i="35" s="1"/>
  <c r="S123" i="35"/>
  <c r="S17" i="35" s="1"/>
  <c r="R123" i="35"/>
  <c r="R17" i="35" s="1"/>
  <c r="Q123" i="35"/>
  <c r="Q17" i="35" s="1"/>
  <c r="T91" i="35"/>
  <c r="T16" i="35" s="1"/>
  <c r="S91" i="35"/>
  <c r="S16" i="35" s="1"/>
  <c r="R91" i="35"/>
  <c r="R16" i="35" s="1"/>
  <c r="Q91" i="35"/>
  <c r="Q16" i="35" s="1"/>
  <c r="T14" i="35"/>
  <c r="S14" i="35"/>
  <c r="R14" i="35"/>
  <c r="Q14" i="35"/>
  <c r="V123" i="35"/>
  <c r="V17" i="35" s="1"/>
  <c r="U123" i="35"/>
  <c r="U17" i="35" s="1"/>
  <c r="V91" i="35"/>
  <c r="V16" i="35" s="1"/>
  <c r="U91" i="35"/>
  <c r="U16" i="35" s="1"/>
  <c r="M15" i="35" l="1"/>
  <c r="M13" i="35" s="1"/>
  <c r="V15" i="35"/>
  <c r="V13" i="35" s="1"/>
  <c r="K15" i="35"/>
  <c r="K13" i="35" s="1"/>
  <c r="U15" i="35"/>
  <c r="U13" i="35" s="1"/>
  <c r="I15" i="35"/>
  <c r="I13" i="35" s="1"/>
  <c r="N15" i="35"/>
  <c r="N13" i="35" s="1"/>
  <c r="L15" i="35"/>
  <c r="L13" i="35" s="1"/>
  <c r="O15" i="35"/>
  <c r="O13" i="35" s="1"/>
  <c r="Q15" i="35"/>
  <c r="Q13" i="35" s="1"/>
  <c r="J15" i="35"/>
  <c r="J13" i="35" s="1"/>
  <c r="R15" i="35"/>
  <c r="R13" i="35" s="1"/>
  <c r="S15" i="35"/>
  <c r="S13" i="35" s="1"/>
  <c r="T15" i="35"/>
  <c r="T13" i="35" s="1"/>
  <c r="P15" i="35"/>
  <c r="P13" i="35" s="1"/>
  <c r="AB70" i="34"/>
  <c r="AB71" i="34" l="1"/>
  <c r="AB72" i="34" l="1"/>
  <c r="AB73" i="34" l="1"/>
  <c r="AB74" i="34" l="1"/>
  <c r="U61" i="34"/>
  <c r="U62" i="34"/>
  <c r="U63" i="34"/>
  <c r="U64" i="34"/>
  <c r="U65" i="34"/>
  <c r="U66" i="34"/>
  <c r="U67" i="34"/>
  <c r="U68" i="34"/>
  <c r="U69" i="34"/>
  <c r="U70" i="34"/>
  <c r="U71" i="34"/>
  <c r="U72" i="34"/>
  <c r="U60" i="34"/>
  <c r="AA74" i="34" s="1"/>
  <c r="K123" i="34"/>
  <c r="K125" i="34"/>
  <c r="K126" i="34"/>
  <c r="K127" i="34"/>
  <c r="K128" i="34"/>
  <c r="K129" i="34"/>
  <c r="K130" i="34"/>
  <c r="K131" i="34"/>
  <c r="K132" i="34"/>
  <c r="K133" i="34"/>
  <c r="J123" i="34"/>
  <c r="J125" i="34"/>
  <c r="J126" i="34"/>
  <c r="J127" i="34"/>
  <c r="J128" i="34"/>
  <c r="J129" i="34"/>
  <c r="J130" i="34"/>
  <c r="J131" i="34"/>
  <c r="J132" i="34"/>
  <c r="J133" i="34"/>
  <c r="G118" i="34"/>
  <c r="H118" i="34" s="1"/>
  <c r="K118" i="34" s="1"/>
  <c r="G119" i="34"/>
  <c r="H119" i="34" s="1"/>
  <c r="K119" i="34" s="1"/>
  <c r="G117" i="34"/>
  <c r="H117" i="34" s="1"/>
  <c r="H116" i="34"/>
  <c r="O62" i="34"/>
  <c r="O66" i="34"/>
  <c r="O67" i="34"/>
  <c r="O68" i="34"/>
  <c r="O69" i="34"/>
  <c r="O70" i="34"/>
  <c r="O71" i="34"/>
  <c r="O72" i="34"/>
  <c r="O60" i="34"/>
  <c r="N61" i="34"/>
  <c r="N62" i="34"/>
  <c r="N63" i="34"/>
  <c r="N64" i="34"/>
  <c r="N65" i="34"/>
  <c r="N66" i="34"/>
  <c r="N194" i="35" s="1"/>
  <c r="N67" i="34"/>
  <c r="O194" i="35" s="1"/>
  <c r="N68" i="34"/>
  <c r="N69" i="34"/>
  <c r="Q194" i="35" s="1"/>
  <c r="N70" i="34"/>
  <c r="R194" i="35" s="1"/>
  <c r="N71" i="34"/>
  <c r="S194" i="35" s="1"/>
  <c r="N72" i="34"/>
  <c r="T194" i="35" s="1"/>
  <c r="C945" i="17"/>
  <c r="C946" i="17"/>
  <c r="C944" i="17"/>
  <c r="B945" i="17"/>
  <c r="B946" i="17"/>
  <c r="B947" i="17"/>
  <c r="B944" i="17"/>
  <c r="A945" i="17"/>
  <c r="A946" i="17"/>
  <c r="A947" i="17"/>
  <c r="A948" i="17"/>
  <c r="A949" i="17"/>
  <c r="A950" i="17"/>
  <c r="A944" i="17"/>
  <c r="N60" i="34"/>
  <c r="AA73" i="34" l="1"/>
  <c r="H38" i="38"/>
  <c r="M194" i="35"/>
  <c r="H42" i="38"/>
  <c r="H194" i="35"/>
  <c r="H37" i="38"/>
  <c r="L194" i="35"/>
  <c r="H41" i="38"/>
  <c r="K194" i="35"/>
  <c r="H40" i="38"/>
  <c r="J194" i="35"/>
  <c r="H39" i="38"/>
  <c r="H33" i="38"/>
  <c r="P194" i="35"/>
  <c r="H43" i="38"/>
  <c r="P191" i="35"/>
  <c r="AA64" i="34"/>
  <c r="L191" i="35"/>
  <c r="AA62" i="34"/>
  <c r="J191" i="35"/>
  <c r="AA69" i="34"/>
  <c r="Q191" i="35"/>
  <c r="AA61" i="34"/>
  <c r="I191" i="35"/>
  <c r="AA72" i="34"/>
  <c r="T191" i="35"/>
  <c r="AA63" i="34"/>
  <c r="K191" i="35"/>
  <c r="AA70" i="34"/>
  <c r="R191" i="35"/>
  <c r="I194" i="35"/>
  <c r="AA71" i="34"/>
  <c r="S191" i="35"/>
  <c r="AA67" i="34"/>
  <c r="O191" i="35"/>
  <c r="AA66" i="34"/>
  <c r="N191" i="35"/>
  <c r="AA60" i="34"/>
  <c r="H191" i="35"/>
  <c r="AA65" i="34"/>
  <c r="M191" i="35"/>
  <c r="AA68" i="34"/>
  <c r="K117" i="34"/>
  <c r="J117" i="34"/>
  <c r="J119" i="34"/>
  <c r="J118" i="34"/>
  <c r="L66" i="34"/>
  <c r="M66" i="34"/>
  <c r="L67" i="34"/>
  <c r="M67" i="34"/>
  <c r="L69" i="34"/>
  <c r="M69" i="34"/>
  <c r="L70" i="34"/>
  <c r="M70" i="34"/>
  <c r="L71" i="34"/>
  <c r="M71" i="34"/>
  <c r="L72" i="34"/>
  <c r="M72" i="34"/>
  <c r="A958" i="17"/>
  <c r="A957" i="17"/>
  <c r="A956" i="17"/>
  <c r="A955" i="17"/>
  <c r="B50" i="25"/>
  <c r="B49" i="25"/>
  <c r="B48" i="25"/>
  <c r="B47" i="25"/>
  <c r="B46" i="25"/>
  <c r="B45" i="25"/>
  <c r="AC77" i="34"/>
  <c r="L68" i="34" l="1"/>
  <c r="G167" i="34" s="1"/>
  <c r="H167" i="34" s="1"/>
  <c r="Q195" i="35"/>
  <c r="G168" i="34"/>
  <c r="H168" i="34" s="1"/>
  <c r="R195" i="35"/>
  <c r="G169" i="34"/>
  <c r="H169" i="34" s="1"/>
  <c r="T195" i="35"/>
  <c r="G171" i="34"/>
  <c r="H171" i="34" s="1"/>
  <c r="O195" i="35"/>
  <c r="G166" i="34"/>
  <c r="H166" i="34" s="1"/>
  <c r="S195" i="35"/>
  <c r="G170" i="34"/>
  <c r="H170" i="34" s="1"/>
  <c r="N195" i="35"/>
  <c r="G165" i="34"/>
  <c r="H165" i="34" s="1"/>
  <c r="M63" i="34"/>
  <c r="M65" i="34"/>
  <c r="L65" i="34"/>
  <c r="M64" i="34"/>
  <c r="L64" i="34"/>
  <c r="AC70" i="34"/>
  <c r="M68" i="34"/>
  <c r="AC69" i="34"/>
  <c r="AC73" i="34"/>
  <c r="AC67" i="34"/>
  <c r="AC74" i="34"/>
  <c r="AC68" i="34"/>
  <c r="AC71" i="34"/>
  <c r="AC72" i="34"/>
  <c r="L63" i="34"/>
  <c r="L61" i="34"/>
  <c r="L60" i="34"/>
  <c r="G159" i="34" s="1"/>
  <c r="H159" i="34" s="1"/>
  <c r="M60" i="34"/>
  <c r="M62" i="34"/>
  <c r="L62" i="34"/>
  <c r="M61" i="34"/>
  <c r="AC56" i="34"/>
  <c r="P195" i="35" l="1"/>
  <c r="J159" i="34"/>
  <c r="K159" i="34"/>
  <c r="K195" i="35"/>
  <c r="G162" i="34"/>
  <c r="H162" i="34" s="1"/>
  <c r="L195" i="35"/>
  <c r="G163" i="34"/>
  <c r="H163" i="34" s="1"/>
  <c r="I195" i="35"/>
  <c r="G160" i="34"/>
  <c r="H160" i="34" s="1"/>
  <c r="J195" i="35"/>
  <c r="G161" i="34"/>
  <c r="H161" i="34" s="1"/>
  <c r="M195" i="35"/>
  <c r="G164" i="34"/>
  <c r="H164" i="34" s="1"/>
  <c r="H195" i="35"/>
  <c r="Y158" i="35" l="1"/>
  <c r="Y177" i="35"/>
  <c r="Y115" i="35"/>
  <c r="Y76" i="35"/>
  <c r="Y75" i="35"/>
  <c r="Y72" i="35"/>
  <c r="Y110" i="35"/>
  <c r="Y156" i="35"/>
  <c r="Y84" i="35"/>
  <c r="Y162" i="35"/>
  <c r="Y153" i="35"/>
  <c r="Y170" i="35"/>
  <c r="J160" i="34"/>
  <c r="K160" i="34"/>
  <c r="Y103" i="35"/>
  <c r="Y159" i="35"/>
  <c r="Y168" i="35"/>
  <c r="Y117" i="35"/>
  <c r="Y109" i="35"/>
  <c r="Y182" i="35"/>
  <c r="Y178" i="35"/>
  <c r="Y171" i="35"/>
  <c r="Y179" i="35"/>
  <c r="Y174" i="35"/>
  <c r="Y163" i="35"/>
  <c r="Y165" i="35"/>
  <c r="Y102" i="35"/>
  <c r="Y181" i="35"/>
  <c r="Y89" i="35"/>
  <c r="Y119" i="35"/>
  <c r="Y146" i="35"/>
  <c r="Y136" i="35" s="1"/>
  <c r="Y106" i="35"/>
  <c r="Y83" i="35"/>
  <c r="Y82" i="35"/>
  <c r="Y86" i="35"/>
  <c r="Y98" i="35"/>
  <c r="Y166" i="35"/>
  <c r="Y88" i="35"/>
  <c r="Y80" i="35"/>
  <c r="Y111" i="35"/>
  <c r="K164" i="34"/>
  <c r="J164" i="34"/>
  <c r="K162" i="34"/>
  <c r="J162" i="34"/>
  <c r="Y73" i="35"/>
  <c r="Y180" i="35"/>
  <c r="Y169" i="35"/>
  <c r="Y100" i="35"/>
  <c r="Y104" i="35"/>
  <c r="Y85" i="35"/>
  <c r="Y65" i="35"/>
  <c r="Y120" i="35"/>
  <c r="Y173" i="35"/>
  <c r="Y116" i="35"/>
  <c r="Y175" i="35"/>
  <c r="Y67" i="35"/>
  <c r="Y99" i="35"/>
  <c r="Y114" i="35"/>
  <c r="Y113" i="35"/>
  <c r="Y155" i="35"/>
  <c r="Y74" i="35"/>
  <c r="Y81" i="35"/>
  <c r="Y167" i="35"/>
  <c r="Y77" i="35"/>
  <c r="Y121" i="35"/>
  <c r="Y112" i="35"/>
  <c r="Y68" i="35"/>
  <c r="Y176" i="35"/>
  <c r="Y107" i="35"/>
  <c r="Y164" i="35"/>
  <c r="Y78" i="35"/>
  <c r="Y157" i="35"/>
  <c r="Y70" i="35"/>
  <c r="Y172" i="35"/>
  <c r="Y105" i="35"/>
  <c r="Y154" i="35"/>
  <c r="Y101" i="35"/>
  <c r="Y118" i="35"/>
  <c r="Y69" i="35"/>
  <c r="Y160" i="35"/>
  <c r="Y108" i="35"/>
  <c r="Y152" i="35"/>
  <c r="Y79" i="35"/>
  <c r="Y66" i="35"/>
  <c r="Y87" i="35"/>
  <c r="Y161" i="35"/>
  <c r="Y71" i="35"/>
  <c r="Y97" i="35"/>
  <c r="F32" i="34"/>
  <c r="D32" i="34"/>
  <c r="D31" i="34"/>
  <c r="M56" i="34"/>
  <c r="L56" i="34"/>
  <c r="E59" i="34"/>
  <c r="E58" i="34"/>
  <c r="E57" i="34"/>
  <c r="D58" i="34"/>
  <c r="D59" i="34" s="1"/>
  <c r="D60" i="34" s="1"/>
  <c r="Y183" i="35" l="1"/>
  <c r="Y137" i="35" s="1"/>
  <c r="Y135" i="35" s="1"/>
  <c r="Y123" i="35"/>
  <c r="Y17" i="35" s="1"/>
  <c r="Y91" i="35"/>
  <c r="Y16" i="35" s="1"/>
  <c r="V60" i="34"/>
  <c r="O76" i="42" s="1"/>
  <c r="D61" i="34"/>
  <c r="V61" i="34" s="1"/>
  <c r="D84" i="34"/>
  <c r="D120" i="34"/>
  <c r="E159" i="34" l="1"/>
  <c r="P159" i="34" s="1"/>
  <c r="Y15" i="35"/>
  <c r="E160" i="34"/>
  <c r="E120" i="34"/>
  <c r="R120" i="34" s="1"/>
  <c r="E84" i="34"/>
  <c r="AC60" i="34"/>
  <c r="H193" i="35"/>
  <c r="AC61" i="34"/>
  <c r="I193" i="35"/>
  <c r="H196" i="35"/>
  <c r="D121" i="34"/>
  <c r="E121" i="34" s="1"/>
  <c r="D62" i="34"/>
  <c r="D85" i="34"/>
  <c r="E85" i="34" s="1"/>
  <c r="G120" i="34" l="1"/>
  <c r="H120" i="34" s="1"/>
  <c r="M120" i="34" s="1"/>
  <c r="L159" i="34"/>
  <c r="Q159" i="34"/>
  <c r="N159" i="34"/>
  <c r="M159" i="34"/>
  <c r="O159" i="34"/>
  <c r="I145" i="35"/>
  <c r="I151" i="35"/>
  <c r="H12" i="35"/>
  <c r="H145" i="35"/>
  <c r="H151" i="35"/>
  <c r="O160" i="34"/>
  <c r="N160" i="34"/>
  <c r="Q160" i="34"/>
  <c r="P160" i="34"/>
  <c r="M160" i="34"/>
  <c r="L160" i="34"/>
  <c r="H26" i="35"/>
  <c r="H64" i="35"/>
  <c r="H134" i="35"/>
  <c r="H96" i="35"/>
  <c r="K120" i="34"/>
  <c r="J120" i="34"/>
  <c r="G121" i="34"/>
  <c r="H121" i="34" s="1"/>
  <c r="V62" i="34"/>
  <c r="I12" i="35"/>
  <c r="I64" i="35"/>
  <c r="I26" i="35"/>
  <c r="I96" i="35"/>
  <c r="I134" i="35"/>
  <c r="D122" i="34"/>
  <c r="D63" i="34"/>
  <c r="D86" i="34"/>
  <c r="O120" i="34" l="1"/>
  <c r="L120" i="34"/>
  <c r="P120" i="34"/>
  <c r="Q120" i="34"/>
  <c r="N120" i="34"/>
  <c r="E86" i="34"/>
  <c r="E122" i="34"/>
  <c r="J193" i="35"/>
  <c r="P121" i="34"/>
  <c r="N121" i="34"/>
  <c r="J121" i="34"/>
  <c r="O121" i="34" s="1"/>
  <c r="K121" i="34"/>
  <c r="L121" i="34" s="1"/>
  <c r="M121" i="34"/>
  <c r="Q121" i="34"/>
  <c r="AC62" i="34"/>
  <c r="V63" i="34"/>
  <c r="I196" i="35"/>
  <c r="J196" i="35"/>
  <c r="D123" i="34"/>
  <c r="D64" i="34"/>
  <c r="D87" i="34"/>
  <c r="G122" i="34" l="1"/>
  <c r="H122" i="34" s="1"/>
  <c r="L122" i="34" s="1"/>
  <c r="J64" i="35"/>
  <c r="J151" i="35"/>
  <c r="J145" i="35"/>
  <c r="K122" i="34"/>
  <c r="E87" i="34"/>
  <c r="E123" i="34"/>
  <c r="J12" i="35"/>
  <c r="J134" i="35"/>
  <c r="J96" i="35"/>
  <c r="J26" i="35"/>
  <c r="J122" i="34"/>
  <c r="K193" i="35"/>
  <c r="V64" i="34"/>
  <c r="D124" i="34"/>
  <c r="D65" i="34"/>
  <c r="D88" i="34"/>
  <c r="D56" i="34"/>
  <c r="E56" i="34"/>
  <c r="Q122" i="34" l="1"/>
  <c r="P122" i="34"/>
  <c r="M122" i="34"/>
  <c r="N122" i="34"/>
  <c r="O122" i="34"/>
  <c r="G123" i="34"/>
  <c r="H123" i="34" s="1"/>
  <c r="L123" i="34" s="1"/>
  <c r="AC63" i="34"/>
  <c r="K96" i="35"/>
  <c r="K145" i="35"/>
  <c r="K151" i="35"/>
  <c r="L193" i="35"/>
  <c r="E88" i="34"/>
  <c r="E124" i="34"/>
  <c r="N123" i="34"/>
  <c r="K64" i="35"/>
  <c r="K12" i="35"/>
  <c r="K134" i="35"/>
  <c r="K26" i="35"/>
  <c r="K196" i="35"/>
  <c r="V65" i="34"/>
  <c r="D125" i="34"/>
  <c r="D66" i="34"/>
  <c r="D89" i="34"/>
  <c r="Q123" i="34" l="1"/>
  <c r="M123" i="34"/>
  <c r="P123" i="34"/>
  <c r="O123" i="34"/>
  <c r="G124" i="34"/>
  <c r="H124" i="34" s="1"/>
  <c r="K124" i="34" s="1"/>
  <c r="P168" i="34"/>
  <c r="L96" i="35"/>
  <c r="L151" i="35"/>
  <c r="L145" i="35"/>
  <c r="Q171" i="34"/>
  <c r="Q173" i="34"/>
  <c r="N173" i="34"/>
  <c r="M173" i="34"/>
  <c r="O173" i="34"/>
  <c r="P173" i="34"/>
  <c r="J124" i="34"/>
  <c r="L26" i="35"/>
  <c r="L134" i="35"/>
  <c r="L12" i="35"/>
  <c r="L64" i="35"/>
  <c r="M193" i="35"/>
  <c r="E89" i="34"/>
  <c r="E125" i="34"/>
  <c r="L196" i="35"/>
  <c r="D126" i="34"/>
  <c r="E126" i="34" s="1"/>
  <c r="D67" i="34"/>
  <c r="D90" i="34"/>
  <c r="E90" i="34" s="1"/>
  <c r="L124" i="34" l="1"/>
  <c r="P124" i="34"/>
  <c r="N124" i="34"/>
  <c r="O124" i="34"/>
  <c r="M124" i="34"/>
  <c r="G125" i="34"/>
  <c r="H125" i="34" s="1"/>
  <c r="O125" i="34" s="1"/>
  <c r="M134" i="35"/>
  <c r="M145" i="35"/>
  <c r="M151" i="35"/>
  <c r="Q124" i="34"/>
  <c r="M96" i="35"/>
  <c r="M12" i="35"/>
  <c r="M64" i="35"/>
  <c r="M26" i="35"/>
  <c r="G126" i="34"/>
  <c r="N196" i="35"/>
  <c r="M196" i="35"/>
  <c r="D127" i="34"/>
  <c r="E127" i="34" s="1"/>
  <c r="D68" i="34"/>
  <c r="V68" i="34" s="1"/>
  <c r="D91" i="34"/>
  <c r="E91" i="34" s="1"/>
  <c r="N125" i="34" l="1"/>
  <c r="M125" i="34"/>
  <c r="P125" i="34"/>
  <c r="Q125" i="34"/>
  <c r="L125" i="34"/>
  <c r="AC65" i="34"/>
  <c r="H126" i="34"/>
  <c r="L126" i="34" s="1"/>
  <c r="L173" i="34"/>
  <c r="O170" i="34"/>
  <c r="N171" i="34"/>
  <c r="P171" i="34"/>
  <c r="L168" i="34"/>
  <c r="M168" i="34"/>
  <c r="P170" i="34"/>
  <c r="Q168" i="34"/>
  <c r="N168" i="34"/>
  <c r="L170" i="34"/>
  <c r="O171" i="34"/>
  <c r="M170" i="34"/>
  <c r="Q170" i="34"/>
  <c r="N170" i="34"/>
  <c r="L171" i="34"/>
  <c r="O168" i="34"/>
  <c r="M171" i="34"/>
  <c r="P193" i="35"/>
  <c r="G127" i="34"/>
  <c r="AC64" i="34"/>
  <c r="D128" i="34"/>
  <c r="E128" i="34" s="1"/>
  <c r="D69" i="34"/>
  <c r="D92" i="34"/>
  <c r="E92" i="34" s="1"/>
  <c r="E1" i="17"/>
  <c r="E943" i="17"/>
  <c r="N126" i="34" l="1"/>
  <c r="O126" i="34"/>
  <c r="M126" i="34"/>
  <c r="Q126" i="34"/>
  <c r="P126" i="34"/>
  <c r="P151" i="35"/>
  <c r="P145" i="35"/>
  <c r="H127" i="34"/>
  <c r="L127" i="34" s="1"/>
  <c r="G128" i="34"/>
  <c r="D129" i="34"/>
  <c r="E129" i="34" s="1"/>
  <c r="D70" i="34"/>
  <c r="D93" i="34"/>
  <c r="E93" i="34" s="1"/>
  <c r="A943" i="17"/>
  <c r="C943" i="17"/>
  <c r="D943" i="17"/>
  <c r="B943" i="17"/>
  <c r="N127" i="34" l="1"/>
  <c r="O127" i="34"/>
  <c r="M127" i="34"/>
  <c r="Q127" i="34"/>
  <c r="P127" i="34"/>
  <c r="H128" i="34"/>
  <c r="N128" i="34" s="1"/>
  <c r="G129" i="34"/>
  <c r="H129" i="34" s="1"/>
  <c r="Q129" i="34" s="1"/>
  <c r="D130" i="34"/>
  <c r="E130" i="34" s="1"/>
  <c r="D71" i="34"/>
  <c r="D94" i="34"/>
  <c r="E94" i="34" s="1"/>
  <c r="P128" i="34" l="1"/>
  <c r="M128" i="34"/>
  <c r="O128" i="34"/>
  <c r="L128" i="34"/>
  <c r="Q128" i="34"/>
  <c r="N129" i="34"/>
  <c r="L129" i="34"/>
  <c r="O129" i="34"/>
  <c r="P129" i="34"/>
  <c r="M129" i="34"/>
  <c r="G130" i="34"/>
  <c r="H130" i="34" s="1"/>
  <c r="P130" i="34" s="1"/>
  <c r="D131" i="34"/>
  <c r="E131" i="34" s="1"/>
  <c r="D72" i="34"/>
  <c r="D95" i="34"/>
  <c r="E95" i="34" s="1"/>
  <c r="M130" i="34" l="1"/>
  <c r="N130" i="34"/>
  <c r="O130" i="34"/>
  <c r="L130" i="34"/>
  <c r="G131" i="34"/>
  <c r="H131" i="34" s="1"/>
  <c r="L131" i="34" s="1"/>
  <c r="Q130" i="34"/>
  <c r="D132" i="34"/>
  <c r="E132" i="34" s="1"/>
  <c r="D73" i="34"/>
  <c r="V73" i="34" s="1"/>
  <c r="D96" i="34"/>
  <c r="E96" i="34" s="1"/>
  <c r="C60" i="39"/>
  <c r="C59" i="39"/>
  <c r="C58" i="39"/>
  <c r="C51" i="39"/>
  <c r="C49" i="39"/>
  <c r="C46" i="39"/>
  <c r="C45" i="39"/>
  <c r="C44" i="39"/>
  <c r="C43" i="39"/>
  <c r="C42" i="39"/>
  <c r="C41" i="39"/>
  <c r="C40" i="39"/>
  <c r="C21" i="38"/>
  <c r="C20" i="38"/>
  <c r="C19" i="38"/>
  <c r="C9" i="38"/>
  <c r="C8" i="38"/>
  <c r="C7" i="38"/>
  <c r="C6" i="38"/>
  <c r="C183" i="35"/>
  <c r="C137" i="35"/>
  <c r="D235" i="34"/>
  <c r="D143" i="33"/>
  <c r="C122" i="33"/>
  <c r="D17" i="33"/>
  <c r="D16" i="33"/>
  <c r="B79" i="10"/>
  <c r="B69" i="10"/>
  <c r="C58" i="10"/>
  <c r="B56" i="10"/>
  <c r="C53" i="10"/>
  <c r="C52" i="10"/>
  <c r="B51" i="10"/>
  <c r="B48" i="10"/>
  <c r="B5" i="10"/>
  <c r="N69" i="42" l="1"/>
  <c r="P66" i="42"/>
  <c r="Q67" i="42"/>
  <c r="O69" i="42"/>
  <c r="N63" i="42"/>
  <c r="R61" i="42"/>
  <c r="N65" i="42"/>
  <c r="P64" i="42"/>
  <c r="Q65" i="42"/>
  <c r="R63" i="42"/>
  <c r="R59" i="42"/>
  <c r="Q69" i="42"/>
  <c r="N60" i="42"/>
  <c r="P62" i="42"/>
  <c r="P60" i="42"/>
  <c r="Q62" i="42"/>
  <c r="N61" i="42"/>
  <c r="O61" i="42"/>
  <c r="P67" i="42"/>
  <c r="N68" i="42"/>
  <c r="P68" i="42"/>
  <c r="Q64" i="42"/>
  <c r="P63" i="42"/>
  <c r="Q61" i="42"/>
  <c r="R67" i="42"/>
  <c r="Q68" i="42"/>
  <c r="P65" i="42"/>
  <c r="O67" i="42"/>
  <c r="Q59" i="42"/>
  <c r="N62" i="42"/>
  <c r="O63" i="42"/>
  <c r="N67" i="42"/>
  <c r="Q60" i="42"/>
  <c r="Q63" i="42"/>
  <c r="R69" i="42"/>
  <c r="Q66" i="42"/>
  <c r="N64" i="42"/>
  <c r="P69" i="42"/>
  <c r="N66" i="42"/>
  <c r="O59" i="42"/>
  <c r="E172" i="34"/>
  <c r="U193" i="35"/>
  <c r="P187" i="42"/>
  <c r="P202" i="42"/>
  <c r="N95" i="42"/>
  <c r="J95" i="42" s="1"/>
  <c r="P249" i="42"/>
  <c r="N175" i="42"/>
  <c r="J175" i="42" s="1"/>
  <c r="N119" i="42"/>
  <c r="J119" i="42" s="1"/>
  <c r="P84" i="42"/>
  <c r="P180" i="42"/>
  <c r="N188" i="42"/>
  <c r="J188" i="42" s="1"/>
  <c r="N113" i="42"/>
  <c r="J113" i="42" s="1"/>
  <c r="P112" i="42"/>
  <c r="N174" i="42"/>
  <c r="J174" i="42" s="1"/>
  <c r="P224" i="42"/>
  <c r="N162" i="42"/>
  <c r="J162" i="42" s="1"/>
  <c r="P200" i="42"/>
  <c r="P141" i="42"/>
  <c r="P120" i="42"/>
  <c r="P134" i="42"/>
  <c r="P59" i="42"/>
  <c r="P61" i="42"/>
  <c r="N141" i="42"/>
  <c r="J141" i="42" s="1"/>
  <c r="P199" i="42"/>
  <c r="N195" i="42"/>
  <c r="J195" i="42" s="1"/>
  <c r="P126" i="42"/>
  <c r="P78" i="42"/>
  <c r="P244" i="42"/>
  <c r="N214" i="42"/>
  <c r="J214" i="42" s="1"/>
  <c r="N128" i="42"/>
  <c r="J128" i="42" s="1"/>
  <c r="N93" i="42"/>
  <c r="J93" i="42" s="1"/>
  <c r="N209" i="42"/>
  <c r="J209" i="42" s="1"/>
  <c r="P185" i="42"/>
  <c r="N74" i="42"/>
  <c r="J74" i="42" s="1"/>
  <c r="N153" i="42"/>
  <c r="J153" i="42" s="1"/>
  <c r="N187" i="42"/>
  <c r="J187" i="42" s="1"/>
  <c r="N205" i="42"/>
  <c r="J205" i="42" s="1"/>
  <c r="N176" i="42"/>
  <c r="J176" i="42" s="1"/>
  <c r="N149" i="42"/>
  <c r="J149" i="42" s="1"/>
  <c r="N249" i="42"/>
  <c r="J249" i="42" s="1"/>
  <c r="P142" i="42"/>
  <c r="P107" i="42"/>
  <c r="N234" i="42"/>
  <c r="J234" i="42" s="1"/>
  <c r="N134" i="42"/>
  <c r="J134" i="42" s="1"/>
  <c r="P91" i="42"/>
  <c r="P229" i="42"/>
  <c r="P175" i="42"/>
  <c r="N156" i="42"/>
  <c r="J156" i="42" s="1"/>
  <c r="P216" i="42"/>
  <c r="P184" i="42"/>
  <c r="N244" i="42"/>
  <c r="J244" i="42" s="1"/>
  <c r="N231" i="42"/>
  <c r="J231" i="42" s="1"/>
  <c r="N150" i="42"/>
  <c r="J150" i="42" s="1"/>
  <c r="N225" i="42"/>
  <c r="J225" i="42" s="1"/>
  <c r="N120" i="42"/>
  <c r="J120" i="42" s="1"/>
  <c r="P236" i="42"/>
  <c r="P119" i="42"/>
  <c r="N241" i="42"/>
  <c r="J241" i="42" s="1"/>
  <c r="N136" i="42"/>
  <c r="J136" i="42" s="1"/>
  <c r="N196" i="42"/>
  <c r="J196" i="42" s="1"/>
  <c r="N173" i="42"/>
  <c r="J173" i="42" s="1"/>
  <c r="P223" i="42"/>
  <c r="P100" i="42"/>
  <c r="P99" i="42"/>
  <c r="N129" i="42"/>
  <c r="J129" i="42" s="1"/>
  <c r="P155" i="42"/>
  <c r="N183" i="42"/>
  <c r="J183" i="42" s="1"/>
  <c r="P103" i="42"/>
  <c r="P245" i="42"/>
  <c r="N138" i="42"/>
  <c r="J138" i="42" s="1"/>
  <c r="P106" i="42"/>
  <c r="N157" i="42"/>
  <c r="J157" i="42" s="1"/>
  <c r="N59" i="42"/>
  <c r="P127" i="42"/>
  <c r="P98" i="42"/>
  <c r="N103" i="42"/>
  <c r="J103" i="42" s="1"/>
  <c r="P157" i="42"/>
  <c r="N165" i="42"/>
  <c r="J165" i="42" s="1"/>
  <c r="P201" i="42"/>
  <c r="P162" i="42"/>
  <c r="N250" i="42"/>
  <c r="J250" i="42" s="1"/>
  <c r="P136" i="42"/>
  <c r="N81" i="42"/>
  <c r="J81" i="42" s="1"/>
  <c r="P239" i="42"/>
  <c r="P248" i="42"/>
  <c r="P232" i="42"/>
  <c r="P253" i="42"/>
  <c r="P72" i="42"/>
  <c r="P130" i="42"/>
  <c r="P154" i="42"/>
  <c r="N96" i="42"/>
  <c r="J96" i="42" s="1"/>
  <c r="N211" i="42"/>
  <c r="J211" i="42" s="1"/>
  <c r="P258" i="42"/>
  <c r="P177" i="42"/>
  <c r="P257" i="42"/>
  <c r="N242" i="42"/>
  <c r="J242" i="42" s="1"/>
  <c r="N121" i="42"/>
  <c r="J121" i="42" s="1"/>
  <c r="P188" i="42"/>
  <c r="N146" i="42"/>
  <c r="J146" i="42" s="1"/>
  <c r="P90" i="42"/>
  <c r="N86" i="42"/>
  <c r="J86" i="42" s="1"/>
  <c r="N130" i="42"/>
  <c r="J130" i="42" s="1"/>
  <c r="N220" i="42"/>
  <c r="J220" i="42" s="1"/>
  <c r="P133" i="42"/>
  <c r="P190" i="42"/>
  <c r="P151" i="42"/>
  <c r="P192" i="42"/>
  <c r="N255" i="42"/>
  <c r="J255" i="42" s="1"/>
  <c r="P105" i="42"/>
  <c r="N100" i="42"/>
  <c r="J100" i="42" s="1"/>
  <c r="N155" i="42"/>
  <c r="J155" i="42" s="1"/>
  <c r="N189" i="42"/>
  <c r="J189" i="42" s="1"/>
  <c r="N122" i="42"/>
  <c r="J122" i="42" s="1"/>
  <c r="P252" i="42"/>
  <c r="P256" i="42"/>
  <c r="N147" i="42"/>
  <c r="J147" i="42" s="1"/>
  <c r="P228" i="42"/>
  <c r="N184" i="42"/>
  <c r="J184" i="42" s="1"/>
  <c r="P117" i="42"/>
  <c r="N182" i="42"/>
  <c r="J182" i="42" s="1"/>
  <c r="N85" i="42"/>
  <c r="J85" i="42" s="1"/>
  <c r="N253" i="42"/>
  <c r="J253" i="42" s="1"/>
  <c r="N221" i="42"/>
  <c r="J221" i="42" s="1"/>
  <c r="N80" i="42"/>
  <c r="J80" i="42" s="1"/>
  <c r="N143" i="42"/>
  <c r="J143" i="42" s="1"/>
  <c r="N125" i="42"/>
  <c r="J125" i="42" s="1"/>
  <c r="P92" i="42"/>
  <c r="N116" i="42"/>
  <c r="J116" i="42" s="1"/>
  <c r="N198" i="42"/>
  <c r="J198" i="42" s="1"/>
  <c r="P214" i="42"/>
  <c r="N139" i="42"/>
  <c r="J139" i="42" s="1"/>
  <c r="N216" i="42"/>
  <c r="J216" i="42" s="1"/>
  <c r="N151" i="42"/>
  <c r="J151" i="42" s="1"/>
  <c r="P138" i="42"/>
  <c r="P73" i="42"/>
  <c r="N108" i="42"/>
  <c r="J108" i="42" s="1"/>
  <c r="P161" i="42"/>
  <c r="N168" i="42"/>
  <c r="J168" i="42" s="1"/>
  <c r="N148" i="42"/>
  <c r="J148" i="42" s="1"/>
  <c r="N219" i="42"/>
  <c r="J219" i="42" s="1"/>
  <c r="P143" i="42"/>
  <c r="N92" i="42"/>
  <c r="J92" i="42" s="1"/>
  <c r="P104" i="42"/>
  <c r="N197" i="42"/>
  <c r="J197" i="42" s="1"/>
  <c r="P80" i="42"/>
  <c r="N180" i="42"/>
  <c r="J180" i="42" s="1"/>
  <c r="N82" i="42"/>
  <c r="J82" i="42" s="1"/>
  <c r="P183" i="42"/>
  <c r="N110" i="42"/>
  <c r="J110" i="42" s="1"/>
  <c r="P191" i="42"/>
  <c r="N186" i="42"/>
  <c r="J186" i="42" s="1"/>
  <c r="N73" i="42"/>
  <c r="J73" i="42" s="1"/>
  <c r="P167" i="42"/>
  <c r="P158" i="42"/>
  <c r="N115" i="42"/>
  <c r="J115" i="42" s="1"/>
  <c r="N132" i="42"/>
  <c r="J132" i="42" s="1"/>
  <c r="N171" i="42"/>
  <c r="J171" i="42" s="1"/>
  <c r="N163" i="42"/>
  <c r="J163" i="42" s="1"/>
  <c r="N213" i="42"/>
  <c r="J213" i="42" s="1"/>
  <c r="N159" i="42"/>
  <c r="J159" i="42" s="1"/>
  <c r="P156" i="42"/>
  <c r="N126" i="42"/>
  <c r="J126" i="42" s="1"/>
  <c r="P77" i="42"/>
  <c r="P194" i="42"/>
  <c r="N200" i="42"/>
  <c r="J200" i="42" s="1"/>
  <c r="P198" i="42"/>
  <c r="P213" i="42"/>
  <c r="P86" i="42"/>
  <c r="N133" i="42"/>
  <c r="J133" i="42" s="1"/>
  <c r="P242" i="42"/>
  <c r="N142" i="42"/>
  <c r="J142" i="42" s="1"/>
  <c r="N224" i="42"/>
  <c r="J224" i="42" s="1"/>
  <c r="N111" i="42"/>
  <c r="J111" i="42" s="1"/>
  <c r="P85" i="42"/>
  <c r="P145" i="42"/>
  <c r="P97" i="42"/>
  <c r="P139" i="42"/>
  <c r="P96" i="42"/>
  <c r="P246" i="42"/>
  <c r="N112" i="42"/>
  <c r="J112" i="42" s="1"/>
  <c r="P147" i="42"/>
  <c r="N94" i="42"/>
  <c r="J94" i="42" s="1"/>
  <c r="N215" i="42"/>
  <c r="J215" i="42" s="1"/>
  <c r="P172" i="42"/>
  <c r="P203" i="42"/>
  <c r="P146" i="42"/>
  <c r="P206" i="42"/>
  <c r="N154" i="42"/>
  <c r="J154" i="42" s="1"/>
  <c r="P94" i="42"/>
  <c r="P215" i="42"/>
  <c r="N237" i="42"/>
  <c r="J237" i="42" s="1"/>
  <c r="P217" i="42"/>
  <c r="N238" i="42"/>
  <c r="J238" i="42" s="1"/>
  <c r="P160" i="42"/>
  <c r="N169" i="42"/>
  <c r="J169" i="42" s="1"/>
  <c r="N192" i="42"/>
  <c r="J192" i="42" s="1"/>
  <c r="N89" i="42"/>
  <c r="J89" i="42" s="1"/>
  <c r="P222" i="42"/>
  <c r="P219" i="42"/>
  <c r="P159" i="42"/>
  <c r="P124" i="42"/>
  <c r="N257" i="42"/>
  <c r="J257" i="42" s="1"/>
  <c r="P218" i="42"/>
  <c r="N254" i="42"/>
  <c r="J254" i="42" s="1"/>
  <c r="N118" i="42"/>
  <c r="J118" i="42" s="1"/>
  <c r="N178" i="42"/>
  <c r="J178" i="42" s="1"/>
  <c r="N206" i="42"/>
  <c r="J206" i="42" s="1"/>
  <c r="N161" i="42"/>
  <c r="J161" i="42" s="1"/>
  <c r="P95" i="42"/>
  <c r="N104" i="42"/>
  <c r="J104" i="42" s="1"/>
  <c r="N124" i="42"/>
  <c r="J124" i="42" s="1"/>
  <c r="N252" i="42"/>
  <c r="J252" i="42" s="1"/>
  <c r="N179" i="42"/>
  <c r="J179" i="42" s="1"/>
  <c r="P81" i="42"/>
  <c r="P75" i="42"/>
  <c r="P93" i="42"/>
  <c r="N181" i="42"/>
  <c r="J181" i="42" s="1"/>
  <c r="N101" i="42"/>
  <c r="J101" i="42" s="1"/>
  <c r="N135" i="42"/>
  <c r="J135" i="42" s="1"/>
  <c r="N230" i="42"/>
  <c r="J230" i="42" s="1"/>
  <c r="N240" i="42"/>
  <c r="J240" i="42" s="1"/>
  <c r="P210" i="42"/>
  <c r="N193" i="42"/>
  <c r="J193" i="42" s="1"/>
  <c r="P205" i="42"/>
  <c r="P148" i="42"/>
  <c r="N79" i="42"/>
  <c r="J79" i="42" s="1"/>
  <c r="P128" i="42"/>
  <c r="N222" i="42"/>
  <c r="J222" i="42" s="1"/>
  <c r="N97" i="42"/>
  <c r="J97" i="42" s="1"/>
  <c r="N137" i="42"/>
  <c r="J137" i="42" s="1"/>
  <c r="N217" i="42"/>
  <c r="J217" i="42" s="1"/>
  <c r="P169" i="42"/>
  <c r="N251" i="42"/>
  <c r="J251" i="42" s="1"/>
  <c r="P76" i="42"/>
  <c r="P251" i="42"/>
  <c r="P83" i="42"/>
  <c r="P166" i="42"/>
  <c r="N243" i="42"/>
  <c r="J243" i="42" s="1"/>
  <c r="P168" i="42"/>
  <c r="N107" i="42"/>
  <c r="J107" i="42" s="1"/>
  <c r="P204" i="42"/>
  <c r="N167" i="42"/>
  <c r="J167" i="42" s="1"/>
  <c r="P152" i="42"/>
  <c r="P193" i="42"/>
  <c r="N258" i="42"/>
  <c r="J258" i="42" s="1"/>
  <c r="N117" i="42"/>
  <c r="J117" i="42" s="1"/>
  <c r="R175" i="42"/>
  <c r="R248" i="42"/>
  <c r="Q194" i="42"/>
  <c r="R176" i="42"/>
  <c r="Q200" i="42"/>
  <c r="R162" i="42"/>
  <c r="R192" i="42"/>
  <c r="Q86" i="42"/>
  <c r="R153" i="42"/>
  <c r="Q247" i="42"/>
  <c r="Q168" i="42"/>
  <c r="R78" i="42"/>
  <c r="R217" i="42"/>
  <c r="R202" i="42"/>
  <c r="Q95" i="42"/>
  <c r="Q105" i="42"/>
  <c r="Q104" i="42"/>
  <c r="Q228" i="42"/>
  <c r="R187" i="42"/>
  <c r="R100" i="42"/>
  <c r="Q137" i="42"/>
  <c r="Q236" i="42"/>
  <c r="R165" i="42"/>
  <c r="R129" i="42"/>
  <c r="R135" i="42"/>
  <c r="Q170" i="42"/>
  <c r="Q128" i="42"/>
  <c r="Q145" i="42"/>
  <c r="R258" i="42"/>
  <c r="Q152" i="42"/>
  <c r="R238" i="42"/>
  <c r="Q164" i="42"/>
  <c r="Q147" i="42"/>
  <c r="Q227" i="42"/>
  <c r="Q189" i="42"/>
  <c r="R253" i="42"/>
  <c r="R245" i="42"/>
  <c r="Q225" i="42"/>
  <c r="Q184" i="42"/>
  <c r="R84" i="42"/>
  <c r="R193" i="42"/>
  <c r="Q117" i="42"/>
  <c r="Q222" i="42"/>
  <c r="R88" i="42"/>
  <c r="R97" i="42"/>
  <c r="Q182" i="42"/>
  <c r="Q71" i="42"/>
  <c r="R218" i="42"/>
  <c r="Q88" i="42"/>
  <c r="N88" i="42"/>
  <c r="J88" i="42" s="1"/>
  <c r="P132" i="42"/>
  <c r="Q92" i="42"/>
  <c r="Q258" i="42"/>
  <c r="Q140" i="42"/>
  <c r="Q234" i="42"/>
  <c r="R184" i="42"/>
  <c r="Q110" i="42"/>
  <c r="R196" i="42"/>
  <c r="Q159" i="42"/>
  <c r="P221" i="42"/>
  <c r="N99" i="42"/>
  <c r="J99" i="42" s="1"/>
  <c r="P227" i="42"/>
  <c r="P129" i="42"/>
  <c r="P131" i="42"/>
  <c r="N227" i="42"/>
  <c r="J227" i="42" s="1"/>
  <c r="N229" i="42"/>
  <c r="J229" i="42" s="1"/>
  <c r="N71" i="42"/>
  <c r="J71" i="42" s="1"/>
  <c r="P174" i="42"/>
  <c r="P89" i="42"/>
  <c r="P150" i="42"/>
  <c r="N212" i="42"/>
  <c r="J212" i="42" s="1"/>
  <c r="N131" i="42"/>
  <c r="J131" i="42" s="1"/>
  <c r="P109" i="42"/>
  <c r="P235" i="42"/>
  <c r="N223" i="42"/>
  <c r="J223" i="42" s="1"/>
  <c r="P212" i="42"/>
  <c r="P87" i="42"/>
  <c r="N109" i="42"/>
  <c r="J109" i="42" s="1"/>
  <c r="N233" i="42"/>
  <c r="J233" i="42" s="1"/>
  <c r="Q75" i="42"/>
  <c r="Q251" i="42"/>
  <c r="R243" i="42"/>
  <c r="R94" i="42"/>
  <c r="R250" i="42"/>
  <c r="Q107" i="42"/>
  <c r="Q197" i="42"/>
  <c r="R122" i="42"/>
  <c r="R244" i="42"/>
  <c r="R167" i="42"/>
  <c r="R139" i="42"/>
  <c r="R180" i="42"/>
  <c r="R161" i="42"/>
  <c r="R126" i="42"/>
  <c r="Q77" i="42"/>
  <c r="Q135" i="42"/>
  <c r="R214" i="42"/>
  <c r="R119" i="42"/>
  <c r="R240" i="42"/>
  <c r="R90" i="42"/>
  <c r="R231" i="42"/>
  <c r="R108" i="42"/>
  <c r="Q76" i="42"/>
  <c r="Q237" i="42"/>
  <c r="R87" i="42"/>
  <c r="R121" i="42"/>
  <c r="Q100" i="42"/>
  <c r="R226" i="42"/>
  <c r="R166" i="42"/>
  <c r="Q143" i="42"/>
  <c r="Q126" i="42"/>
  <c r="Q125" i="42"/>
  <c r="Q123" i="42"/>
  <c r="Q201" i="42"/>
  <c r="R95" i="42"/>
  <c r="R215" i="42"/>
  <c r="Q162" i="42"/>
  <c r="R227" i="42"/>
  <c r="Q213" i="42"/>
  <c r="R205" i="42"/>
  <c r="Q132" i="42"/>
  <c r="R237" i="42"/>
  <c r="R81" i="42"/>
  <c r="Q181" i="42"/>
  <c r="Q108" i="42"/>
  <c r="P255" i="42"/>
  <c r="N166" i="42"/>
  <c r="J166" i="42" s="1"/>
  <c r="N90" i="42"/>
  <c r="J90" i="42" s="1"/>
  <c r="Q174" i="42"/>
  <c r="Q212" i="42"/>
  <c r="Q80" i="42"/>
  <c r="Q226" i="42"/>
  <c r="P181" i="42"/>
  <c r="P240" i="42"/>
  <c r="N83" i="42"/>
  <c r="J83" i="42" s="1"/>
  <c r="P250" i="42"/>
  <c r="P74" i="42"/>
  <c r="P254" i="42"/>
  <c r="P171" i="42"/>
  <c r="P144" i="42"/>
  <c r="N84" i="42"/>
  <c r="J84" i="42" s="1"/>
  <c r="P196" i="42"/>
  <c r="N170" i="42"/>
  <c r="J170" i="42" s="1"/>
  <c r="P226" i="42"/>
  <c r="N144" i="42"/>
  <c r="J144" i="42" s="1"/>
  <c r="P182" i="42"/>
  <c r="P247" i="42"/>
  <c r="P118" i="42"/>
  <c r="P178" i="42"/>
  <c r="P237" i="42"/>
  <c r="N232" i="42"/>
  <c r="J232" i="42" s="1"/>
  <c r="P110" i="42"/>
  <c r="R183" i="42"/>
  <c r="R71" i="42"/>
  <c r="R221" i="42"/>
  <c r="Q106" i="42"/>
  <c r="R242" i="42"/>
  <c r="R207" i="42"/>
  <c r="Q118" i="42"/>
  <c r="Q253" i="42"/>
  <c r="Q151" i="42"/>
  <c r="R234" i="42"/>
  <c r="Q97" i="42"/>
  <c r="R140" i="42"/>
  <c r="Q256" i="42"/>
  <c r="Q254" i="42"/>
  <c r="R101" i="42"/>
  <c r="R239" i="42"/>
  <c r="Q157" i="42"/>
  <c r="R235" i="42"/>
  <c r="Q188" i="42"/>
  <c r="Q185" i="42"/>
  <c r="Q224" i="42"/>
  <c r="Q179" i="42"/>
  <c r="R77" i="42"/>
  <c r="R208" i="42"/>
  <c r="Q119" i="42"/>
  <c r="R212" i="42"/>
  <c r="R174" i="42"/>
  <c r="R197" i="42"/>
  <c r="R75" i="42"/>
  <c r="R179" i="42"/>
  <c r="Q210" i="42"/>
  <c r="Q232" i="42"/>
  <c r="Q252" i="42"/>
  <c r="Q257" i="42"/>
  <c r="Q163" i="42"/>
  <c r="Q142" i="42"/>
  <c r="R195" i="42"/>
  <c r="R83" i="42"/>
  <c r="R257" i="42"/>
  <c r="R111" i="42"/>
  <c r="R74" i="42"/>
  <c r="R200" i="42"/>
  <c r="Q199" i="42"/>
  <c r="Q250" i="42"/>
  <c r="R186" i="42"/>
  <c r="R103" i="42"/>
  <c r="R124" i="42"/>
  <c r="N190" i="42"/>
  <c r="J190" i="42" s="1"/>
  <c r="P164" i="42"/>
  <c r="N185" i="42"/>
  <c r="J185" i="42" s="1"/>
  <c r="P123" i="42"/>
  <c r="N246" i="42"/>
  <c r="J246" i="42" s="1"/>
  <c r="N247" i="42"/>
  <c r="J247" i="42" s="1"/>
  <c r="P125" i="42"/>
  <c r="N199" i="42"/>
  <c r="J199" i="42" s="1"/>
  <c r="P116" i="42"/>
  <c r="P230" i="42"/>
  <c r="P113" i="42"/>
  <c r="N218" i="42"/>
  <c r="J218" i="42" s="1"/>
  <c r="P79" i="42"/>
  <c r="N78" i="42"/>
  <c r="J78" i="42" s="1"/>
  <c r="N127" i="42"/>
  <c r="J127" i="42" s="1"/>
  <c r="P115" i="42"/>
  <c r="P140" i="42"/>
  <c r="P241" i="42"/>
  <c r="P195" i="42"/>
  <c r="AC66" i="34"/>
  <c r="Q167" i="42"/>
  <c r="R225" i="42"/>
  <c r="R125" i="42"/>
  <c r="R177" i="42"/>
  <c r="Q192" i="42"/>
  <c r="R204" i="42"/>
  <c r="R120" i="42"/>
  <c r="R163" i="42"/>
  <c r="Q150" i="42"/>
  <c r="Q193" i="42"/>
  <c r="Q214" i="42"/>
  <c r="Q166" i="42"/>
  <c r="R173" i="42"/>
  <c r="Q190" i="42"/>
  <c r="Q173" i="42"/>
  <c r="Q79" i="42"/>
  <c r="Q82" i="42"/>
  <c r="Q124" i="42"/>
  <c r="R170" i="42"/>
  <c r="R222" i="42"/>
  <c r="R178" i="42"/>
  <c r="R142" i="42"/>
  <c r="R89" i="42"/>
  <c r="R251" i="42"/>
  <c r="Q85" i="42"/>
  <c r="R210" i="42"/>
  <c r="Q133" i="42"/>
  <c r="R149" i="42"/>
  <c r="Q84" i="42"/>
  <c r="Q78" i="42"/>
  <c r="R160" i="42"/>
  <c r="R191" i="42"/>
  <c r="Q161" i="42"/>
  <c r="Q240" i="42"/>
  <c r="Q215" i="42"/>
  <c r="R137" i="42"/>
  <c r="Q90" i="42"/>
  <c r="R249" i="42"/>
  <c r="R255" i="42"/>
  <c r="R220" i="42"/>
  <c r="Q158" i="42"/>
  <c r="Q219" i="42"/>
  <c r="R72" i="42"/>
  <c r="R190" i="42"/>
  <c r="R150" i="42"/>
  <c r="Q241" i="42"/>
  <c r="P233" i="42"/>
  <c r="P179" i="42"/>
  <c r="N72" i="42"/>
  <c r="J72" i="42" s="1"/>
  <c r="Q230" i="42"/>
  <c r="Q127" i="42"/>
  <c r="R118" i="42"/>
  <c r="Q186" i="42"/>
  <c r="Q235" i="42"/>
  <c r="R116" i="42"/>
  <c r="R136" i="42"/>
  <c r="R182" i="42"/>
  <c r="N202" i="42"/>
  <c r="J202" i="42" s="1"/>
  <c r="P234" i="42"/>
  <c r="N236" i="42"/>
  <c r="J236" i="42" s="1"/>
  <c r="P149" i="42"/>
  <c r="P170" i="42"/>
  <c r="Q70" i="42"/>
  <c r="P243" i="42"/>
  <c r="N248" i="42"/>
  <c r="J248" i="42" s="1"/>
  <c r="P238" i="42"/>
  <c r="P108" i="42"/>
  <c r="P231" i="42"/>
  <c r="P173" i="42"/>
  <c r="N239" i="42"/>
  <c r="J239" i="42" s="1"/>
  <c r="N172" i="42"/>
  <c r="J172" i="42" s="1"/>
  <c r="P70" i="42"/>
  <c r="N208" i="42"/>
  <c r="J208" i="42" s="1"/>
  <c r="N164" i="42"/>
  <c r="J164" i="42" s="1"/>
  <c r="N191" i="42"/>
  <c r="J191" i="42" s="1"/>
  <c r="P220" i="42"/>
  <c r="P197" i="42"/>
  <c r="Q176" i="42"/>
  <c r="Q209" i="42"/>
  <c r="R168" i="42"/>
  <c r="Q180" i="42"/>
  <c r="R230" i="42"/>
  <c r="R158" i="42"/>
  <c r="Q81" i="42"/>
  <c r="R213" i="42"/>
  <c r="Q203" i="42"/>
  <c r="R155" i="42"/>
  <c r="Q129" i="42"/>
  <c r="Q83" i="42"/>
  <c r="R148" i="42"/>
  <c r="R147" i="42"/>
  <c r="Q177" i="42"/>
  <c r="R107" i="42"/>
  <c r="R112" i="42"/>
  <c r="R203" i="42"/>
  <c r="R117" i="42"/>
  <c r="Q131" i="42"/>
  <c r="Q111" i="42"/>
  <c r="Q139" i="42"/>
  <c r="R134" i="42"/>
  <c r="Q72" i="42"/>
  <c r="Q136" i="42"/>
  <c r="Q231" i="42"/>
  <c r="R247" i="42"/>
  <c r="Q207" i="42"/>
  <c r="R229" i="42"/>
  <c r="R233" i="42"/>
  <c r="Q94" i="42"/>
  <c r="R80" i="42"/>
  <c r="R252" i="42"/>
  <c r="Q160" i="42"/>
  <c r="Q144" i="42"/>
  <c r="R93" i="42"/>
  <c r="R82" i="42"/>
  <c r="Q99" i="42"/>
  <c r="R157" i="42"/>
  <c r="R232" i="42"/>
  <c r="R188" i="42"/>
  <c r="R91" i="42"/>
  <c r="Q120" i="42"/>
  <c r="Q187" i="42"/>
  <c r="R102" i="42"/>
  <c r="R76" i="42"/>
  <c r="Q154" i="42"/>
  <c r="Q249" i="42"/>
  <c r="R98" i="42"/>
  <c r="N210" i="42"/>
  <c r="J210" i="42" s="1"/>
  <c r="N158" i="42"/>
  <c r="J158" i="42" s="1"/>
  <c r="N201" i="42"/>
  <c r="J201" i="42" s="1"/>
  <c r="P186" i="42"/>
  <c r="N87" i="42"/>
  <c r="J87" i="42" s="1"/>
  <c r="R104" i="42"/>
  <c r="R128" i="42"/>
  <c r="Q149" i="42"/>
  <c r="Q73" i="42"/>
  <c r="R199" i="42"/>
  <c r="Q245" i="42"/>
  <c r="Q242" i="42"/>
  <c r="R96" i="42"/>
  <c r="Q87" i="42"/>
  <c r="R86" i="42"/>
  <c r="N228" i="42"/>
  <c r="J228" i="42" s="1"/>
  <c r="N204" i="42"/>
  <c r="J204" i="42" s="1"/>
  <c r="N145" i="42"/>
  <c r="J145" i="42" s="1"/>
  <c r="P211" i="42"/>
  <c r="P102" i="42"/>
  <c r="N207" i="42"/>
  <c r="J207" i="42" s="1"/>
  <c r="N160" i="42"/>
  <c r="J160" i="42" s="1"/>
  <c r="N235" i="42"/>
  <c r="J235" i="42" s="1"/>
  <c r="P121" i="42"/>
  <c r="P137" i="42"/>
  <c r="N70" i="42"/>
  <c r="N77" i="42"/>
  <c r="J77" i="42" s="1"/>
  <c r="P225" i="42"/>
  <c r="P209" i="42"/>
  <c r="P71" i="42"/>
  <c r="N203" i="42"/>
  <c r="J203" i="42" s="1"/>
  <c r="P135" i="42"/>
  <c r="N245" i="42"/>
  <c r="J245" i="42" s="1"/>
  <c r="N177" i="42"/>
  <c r="J177" i="42" s="1"/>
  <c r="N152" i="42"/>
  <c r="J152" i="42" s="1"/>
  <c r="Q216" i="42"/>
  <c r="R228" i="42"/>
  <c r="Q114" i="42"/>
  <c r="Q175" i="42"/>
  <c r="R169" i="42"/>
  <c r="Q116" i="42"/>
  <c r="R141" i="42"/>
  <c r="Q244" i="42"/>
  <c r="Q146" i="42"/>
  <c r="Q130" i="42"/>
  <c r="R219" i="42"/>
  <c r="Q221" i="42"/>
  <c r="Q165" i="42"/>
  <c r="R115" i="42"/>
  <c r="R246" i="42"/>
  <c r="R164" i="42"/>
  <c r="R241" i="42"/>
  <c r="Q248" i="42"/>
  <c r="Q238" i="42"/>
  <c r="R131" i="42"/>
  <c r="Q243" i="42"/>
  <c r="Q183" i="42"/>
  <c r="R223" i="42"/>
  <c r="Q191" i="42"/>
  <c r="R206" i="42"/>
  <c r="R256" i="42"/>
  <c r="Q74" i="42"/>
  <c r="R151" i="42"/>
  <c r="Q156" i="42"/>
  <c r="Q255" i="42"/>
  <c r="R254" i="42"/>
  <c r="R143" i="42"/>
  <c r="Q205" i="42"/>
  <c r="R181" i="42"/>
  <c r="Q220" i="42"/>
  <c r="Q103" i="42"/>
  <c r="R110" i="42"/>
  <c r="R172" i="42"/>
  <c r="R92" i="42"/>
  <c r="R130" i="42"/>
  <c r="Q91" i="42"/>
  <c r="R106" i="42"/>
  <c r="Q202" i="42"/>
  <c r="Q233" i="42"/>
  <c r="R113" i="42"/>
  <c r="Q196" i="42"/>
  <c r="Q134" i="42"/>
  <c r="P163" i="42"/>
  <c r="P153" i="42"/>
  <c r="P114" i="42"/>
  <c r="N123" i="42"/>
  <c r="J123" i="42" s="1"/>
  <c r="R138" i="42"/>
  <c r="R99" i="42"/>
  <c r="R154" i="42"/>
  <c r="Q115" i="42"/>
  <c r="Q217" i="42"/>
  <c r="Q229" i="42"/>
  <c r="Q89" i="42"/>
  <c r="R144" i="42"/>
  <c r="Q195" i="42"/>
  <c r="N75" i="42"/>
  <c r="J75" i="42" s="1"/>
  <c r="N98" i="42"/>
  <c r="J98" i="42" s="1"/>
  <c r="N105" i="42"/>
  <c r="J105" i="42" s="1"/>
  <c r="N91" i="42"/>
  <c r="J91" i="42" s="1"/>
  <c r="P189" i="42"/>
  <c r="N76" i="42"/>
  <c r="N102" i="42"/>
  <c r="J102" i="42" s="1"/>
  <c r="P101" i="42"/>
  <c r="N256" i="42"/>
  <c r="J256" i="42" s="1"/>
  <c r="N226" i="42"/>
  <c r="J226" i="42" s="1"/>
  <c r="P176" i="42"/>
  <c r="P122" i="42"/>
  <c r="P208" i="42"/>
  <c r="N106" i="42"/>
  <c r="J106" i="42" s="1"/>
  <c r="P207" i="42"/>
  <c r="N140" i="42"/>
  <c r="J140" i="42" s="1"/>
  <c r="P165" i="42"/>
  <c r="P88" i="42"/>
  <c r="P82" i="42"/>
  <c r="R201" i="42"/>
  <c r="R152" i="42"/>
  <c r="Q155" i="42"/>
  <c r="R211" i="42"/>
  <c r="Q109" i="42"/>
  <c r="Q218" i="42"/>
  <c r="Q102" i="42"/>
  <c r="Q121" i="42"/>
  <c r="R216" i="42"/>
  <c r="Q138" i="42"/>
  <c r="Q211" i="42"/>
  <c r="R145" i="42"/>
  <c r="R123" i="42"/>
  <c r="R171" i="42"/>
  <c r="Q246" i="42"/>
  <c r="Q113" i="42"/>
  <c r="R79" i="42"/>
  <c r="R156" i="42"/>
  <c r="R127" i="42"/>
  <c r="Q141" i="42"/>
  <c r="Q112" i="42"/>
  <c r="R236" i="42"/>
  <c r="Q171" i="42"/>
  <c r="Q93" i="42"/>
  <c r="R85" i="42"/>
  <c r="R194" i="42"/>
  <c r="Q178" i="42"/>
  <c r="Q223" i="42"/>
  <c r="R189" i="42"/>
  <c r="R109" i="42"/>
  <c r="Q239" i="42"/>
  <c r="Q208" i="42"/>
  <c r="Q153" i="42"/>
  <c r="R132" i="42"/>
  <c r="Q98" i="42"/>
  <c r="Q101" i="42"/>
  <c r="R105" i="42"/>
  <c r="R114" i="42"/>
  <c r="R159" i="42"/>
  <c r="Q172" i="42"/>
  <c r="R209" i="42"/>
  <c r="R198" i="42"/>
  <c r="Q198" i="42"/>
  <c r="Q206" i="42"/>
  <c r="R133" i="42"/>
  <c r="R185" i="42"/>
  <c r="Q204" i="42"/>
  <c r="P111" i="42"/>
  <c r="N194" i="42"/>
  <c r="J194" i="42" s="1"/>
  <c r="N114" i="42"/>
  <c r="J114" i="42" s="1"/>
  <c r="Q122" i="42"/>
  <c r="Q169" i="42"/>
  <c r="R73" i="42"/>
  <c r="R146" i="42"/>
  <c r="Q148" i="42"/>
  <c r="R224" i="42"/>
  <c r="Q96" i="42"/>
  <c r="O131" i="34"/>
  <c r="P131" i="34"/>
  <c r="Q131" i="34"/>
  <c r="M131" i="34"/>
  <c r="G132" i="34"/>
  <c r="H132" i="34" s="1"/>
  <c r="L132" i="34" s="1"/>
  <c r="N131" i="34"/>
  <c r="D133" i="34"/>
  <c r="E133" i="34" s="1"/>
  <c r="D74" i="34"/>
  <c r="D97" i="34"/>
  <c r="E97" i="34" s="1"/>
  <c r="J76" i="42" l="1"/>
  <c r="M76" i="42"/>
  <c r="M67" i="42"/>
  <c r="J67" i="42"/>
  <c r="M66" i="42"/>
  <c r="J66" i="42"/>
  <c r="M65" i="42"/>
  <c r="J65" i="42"/>
  <c r="J62" i="42"/>
  <c r="M62" i="42"/>
  <c r="J64" i="42"/>
  <c r="M64" i="42"/>
  <c r="J60" i="42"/>
  <c r="M60" i="42"/>
  <c r="M63" i="42"/>
  <c r="J63" i="42"/>
  <c r="M68" i="42"/>
  <c r="J68" i="42"/>
  <c r="J61" i="42"/>
  <c r="M61" i="42"/>
  <c r="J69" i="42"/>
  <c r="M69" i="42"/>
  <c r="M70" i="42"/>
  <c r="J70" i="42"/>
  <c r="U145" i="35"/>
  <c r="U151" i="35"/>
  <c r="M59" i="42"/>
  <c r="J59" i="42"/>
  <c r="M172" i="34"/>
  <c r="P172" i="34"/>
  <c r="Q172" i="34"/>
  <c r="L172" i="34"/>
  <c r="O172" i="34"/>
  <c r="N172" i="34"/>
  <c r="O132" i="34"/>
  <c r="M132" i="34"/>
  <c r="N132" i="34"/>
  <c r="Q132" i="34"/>
  <c r="P132" i="34"/>
  <c r="G133" i="34"/>
  <c r="H133" i="34" s="1"/>
  <c r="M133" i="34" s="1"/>
  <c r="D134" i="34"/>
  <c r="E134" i="34" s="1"/>
  <c r="R134" i="34" s="1"/>
  <c r="D98" i="34"/>
  <c r="E98" i="34" s="1"/>
  <c r="J259" i="42" l="1"/>
  <c r="Q133" i="34"/>
  <c r="O133" i="34"/>
  <c r="N133" i="34"/>
  <c r="L133" i="34"/>
  <c r="P133" i="34"/>
  <c r="G134" i="34"/>
  <c r="H134" i="34" s="1"/>
  <c r="R26" i="35"/>
  <c r="R134" i="35"/>
  <c r="R64" i="35"/>
  <c r="R96" i="35"/>
  <c r="R12" i="35"/>
  <c r="Q64" i="35"/>
  <c r="Q12" i="35"/>
  <c r="Q134" i="35"/>
  <c r="Q26" i="35"/>
  <c r="Q96" i="35"/>
  <c r="P96" i="35"/>
  <c r="P64" i="35"/>
  <c r="P134" i="35"/>
  <c r="P26" i="35"/>
  <c r="P12" i="35"/>
  <c r="O12" i="35"/>
  <c r="O26" i="35"/>
  <c r="O134" i="35"/>
  <c r="O64" i="35"/>
  <c r="O96" i="35"/>
  <c r="S134" i="35"/>
  <c r="S26" i="35"/>
  <c r="S12" i="35"/>
  <c r="S64" i="35"/>
  <c r="S96" i="35"/>
  <c r="T134" i="35"/>
  <c r="T12" i="35"/>
  <c r="T26" i="35"/>
  <c r="T96" i="35"/>
  <c r="T64" i="35"/>
  <c r="V12" i="35"/>
  <c r="V134" i="35"/>
  <c r="V96" i="35"/>
  <c r="V64" i="35"/>
  <c r="V26" i="35"/>
  <c r="U12" i="35"/>
  <c r="U134" i="35"/>
  <c r="U96" i="35"/>
  <c r="U26" i="35"/>
  <c r="U64" i="35"/>
  <c r="N12" i="35"/>
  <c r="N134" i="35"/>
  <c r="N96" i="35"/>
  <c r="N64" i="35"/>
  <c r="N26" i="35"/>
  <c r="C47" i="39"/>
  <c r="B61" i="10"/>
  <c r="L134" i="34" l="1"/>
  <c r="L143" i="34" s="1"/>
  <c r="G41" i="9" s="1"/>
  <c r="K134" i="34"/>
  <c r="J134" i="34"/>
  <c r="Q134" i="34"/>
  <c r="M134" i="34"/>
  <c r="M144" i="34" s="1"/>
  <c r="G45" i="9" s="1"/>
  <c r="O134" i="34"/>
  <c r="N134" i="34"/>
  <c r="P134" i="34"/>
  <c r="S196" i="35"/>
  <c r="U196" i="35"/>
  <c r="R196" i="35"/>
  <c r="T196" i="35"/>
  <c r="V196" i="35"/>
  <c r="Y46" i="35"/>
  <c r="Y48" i="35"/>
  <c r="Y56" i="35"/>
  <c r="Y30" i="35"/>
  <c r="Y34" i="35"/>
  <c r="Y50" i="35"/>
  <c r="Y55" i="35"/>
  <c r="Y35" i="35"/>
  <c r="Y54" i="35"/>
  <c r="Y40" i="35"/>
  <c r="Y33" i="35"/>
  <c r="Y53" i="35"/>
  <c r="Y41" i="35"/>
  <c r="Y27" i="35"/>
  <c r="Y32" i="35"/>
  <c r="Y31" i="35"/>
  <c r="Y52" i="35"/>
  <c r="Y44" i="35"/>
  <c r="Y43" i="35"/>
  <c r="Y57" i="35"/>
  <c r="Y28" i="35"/>
  <c r="Y37" i="35"/>
  <c r="Q196" i="35"/>
  <c r="P196" i="35"/>
  <c r="O196" i="35"/>
  <c r="Y51" i="35"/>
  <c r="Y49" i="35"/>
  <c r="Y45" i="35"/>
  <c r="Y47" i="35"/>
  <c r="Y36" i="35"/>
  <c r="Y39" i="35"/>
  <c r="Y29" i="35"/>
  <c r="Y38" i="35"/>
  <c r="Y42" i="35"/>
  <c r="A281" i="17"/>
  <c r="A862" i="17"/>
  <c r="A632" i="17"/>
  <c r="J138" i="34" l="1"/>
  <c r="F19" i="35" s="1"/>
  <c r="K142" i="34"/>
  <c r="Y58" i="35"/>
  <c r="Y14" i="35" s="1"/>
  <c r="Y13" i="35" s="1"/>
  <c r="P147" i="34"/>
  <c r="G47" i="9" s="1"/>
  <c r="O146" i="34"/>
  <c r="G43" i="9" s="1"/>
  <c r="N145" i="34"/>
  <c r="G49" i="9" s="1"/>
  <c r="Q148" i="34"/>
  <c r="G51" i="9" s="1"/>
  <c r="W168" i="35"/>
  <c r="X168" i="35" s="1"/>
  <c r="W172" i="35"/>
  <c r="X172" i="35" s="1"/>
  <c r="W106" i="35"/>
  <c r="X106" i="35" s="1"/>
  <c r="W176" i="35"/>
  <c r="X176" i="35" s="1"/>
  <c r="W121" i="35"/>
  <c r="X121" i="35" s="1"/>
  <c r="W67" i="35"/>
  <c r="X67" i="35" s="1"/>
  <c r="W80" i="35"/>
  <c r="X80" i="35" s="1"/>
  <c r="W105" i="35"/>
  <c r="X105" i="35" s="1"/>
  <c r="W101" i="35"/>
  <c r="X101" i="35" s="1"/>
  <c r="W173" i="35"/>
  <c r="X173" i="35" s="1"/>
  <c r="W77" i="35"/>
  <c r="X77" i="35" s="1"/>
  <c r="W79" i="35"/>
  <c r="X79" i="35" s="1"/>
  <c r="W98" i="35"/>
  <c r="X98" i="35" s="1"/>
  <c r="W108" i="35"/>
  <c r="X108" i="35" s="1"/>
  <c r="W178" i="35"/>
  <c r="X178" i="35" s="1"/>
  <c r="W97" i="35"/>
  <c r="W116" i="35"/>
  <c r="X116" i="35" s="1"/>
  <c r="W170" i="35"/>
  <c r="X170" i="35" s="1"/>
  <c r="W86" i="35"/>
  <c r="X86" i="35" s="1"/>
  <c r="W155" i="35"/>
  <c r="X155" i="35" s="1"/>
  <c r="W179" i="35"/>
  <c r="X179" i="35" s="1"/>
  <c r="W89" i="35"/>
  <c r="X89" i="35" s="1"/>
  <c r="W74" i="35"/>
  <c r="X74" i="35" s="1"/>
  <c r="W120" i="35"/>
  <c r="X120" i="35" s="1"/>
  <c r="W177" i="35"/>
  <c r="X177" i="35" s="1"/>
  <c r="W181" i="35"/>
  <c r="X181" i="35" s="1"/>
  <c r="W102" i="35"/>
  <c r="X102" i="35" s="1"/>
  <c r="W100" i="35"/>
  <c r="X100" i="35" s="1"/>
  <c r="W146" i="35"/>
  <c r="W136" i="35" s="1"/>
  <c r="W84" i="35"/>
  <c r="X84" i="35" s="1"/>
  <c r="W164" i="35"/>
  <c r="X164" i="35" s="1"/>
  <c r="W165" i="35"/>
  <c r="X165" i="35" s="1"/>
  <c r="W107" i="35"/>
  <c r="X107" i="35" s="1"/>
  <c r="W182" i="35"/>
  <c r="X182" i="35" s="1"/>
  <c r="W87" i="35"/>
  <c r="X87" i="35" s="1"/>
  <c r="W156" i="35"/>
  <c r="X156" i="35" s="1"/>
  <c r="W160" i="35"/>
  <c r="X160" i="35" s="1"/>
  <c r="W73" i="35"/>
  <c r="X73" i="35" s="1"/>
  <c r="W154" i="35"/>
  <c r="X154" i="35" s="1"/>
  <c r="W152" i="35"/>
  <c r="W161" i="35"/>
  <c r="X161" i="35" s="1"/>
  <c r="W71" i="35"/>
  <c r="X71" i="35" s="1"/>
  <c r="W111" i="35"/>
  <c r="X111" i="35" s="1"/>
  <c r="W180" i="35"/>
  <c r="X180" i="35" s="1"/>
  <c r="W115" i="35"/>
  <c r="X115" i="35" s="1"/>
  <c r="W169" i="35"/>
  <c r="X169" i="35" s="1"/>
  <c r="W157" i="35"/>
  <c r="X157" i="35" s="1"/>
  <c r="W103" i="35"/>
  <c r="X103" i="35" s="1"/>
  <c r="W174" i="35"/>
  <c r="X174" i="35" s="1"/>
  <c r="W70" i="35"/>
  <c r="X70" i="35" s="1"/>
  <c r="W83" i="35"/>
  <c r="X83" i="35" s="1"/>
  <c r="W109" i="35"/>
  <c r="X109" i="35" s="1"/>
  <c r="W81" i="35"/>
  <c r="X81" i="35" s="1"/>
  <c r="W175" i="35"/>
  <c r="X175" i="35" s="1"/>
  <c r="W88" i="35"/>
  <c r="X88" i="35" s="1"/>
  <c r="W167" i="35"/>
  <c r="X167" i="35" s="1"/>
  <c r="W112" i="35"/>
  <c r="X112" i="35" s="1"/>
  <c r="W114" i="35"/>
  <c r="X114" i="35" s="1"/>
  <c r="W117" i="35"/>
  <c r="X117" i="35" s="1"/>
  <c r="W66" i="35"/>
  <c r="X66" i="35" s="1"/>
  <c r="W76" i="35"/>
  <c r="X76" i="35" s="1"/>
  <c r="W159" i="35"/>
  <c r="X159" i="35" s="1"/>
  <c r="W171" i="35"/>
  <c r="X171" i="35" s="1"/>
  <c r="W99" i="35"/>
  <c r="X99" i="35" s="1"/>
  <c r="W153" i="35"/>
  <c r="X153" i="35" s="1"/>
  <c r="W104" i="35"/>
  <c r="X104" i="35" s="1"/>
  <c r="W163" i="35"/>
  <c r="X163" i="35" s="1"/>
  <c r="W158" i="35"/>
  <c r="X158" i="35" s="1"/>
  <c r="W162" i="35"/>
  <c r="X162" i="35" s="1"/>
  <c r="W65" i="35"/>
  <c r="W113" i="35"/>
  <c r="X113" i="35" s="1"/>
  <c r="W68" i="35"/>
  <c r="X68" i="35" s="1"/>
  <c r="W75" i="35"/>
  <c r="X75" i="35" s="1"/>
  <c r="W110" i="35"/>
  <c r="X110" i="35" s="1"/>
  <c r="W69" i="35"/>
  <c r="X69" i="35" s="1"/>
  <c r="W72" i="35"/>
  <c r="X72" i="35" s="1"/>
  <c r="W118" i="35"/>
  <c r="X118" i="35" s="1"/>
  <c r="W119" i="35"/>
  <c r="X119" i="35" s="1"/>
  <c r="W166" i="35"/>
  <c r="X166" i="35" s="1"/>
  <c r="W82" i="35"/>
  <c r="X82" i="35" s="1"/>
  <c r="W85" i="35"/>
  <c r="X85" i="35" s="1"/>
  <c r="W78" i="35"/>
  <c r="X78" i="35" s="1"/>
  <c r="W53" i="35"/>
  <c r="X53" i="35" s="1"/>
  <c r="W44" i="35"/>
  <c r="X44" i="35" s="1"/>
  <c r="W48" i="35"/>
  <c r="X48" i="35" s="1"/>
  <c r="W54" i="35"/>
  <c r="X54" i="35" s="1"/>
  <c r="W47" i="35"/>
  <c r="X47" i="35" s="1"/>
  <c r="W29" i="35"/>
  <c r="X29" i="35" s="1"/>
  <c r="W49" i="35"/>
  <c r="X49" i="35" s="1"/>
  <c r="W50" i="35"/>
  <c r="X50" i="35" s="1"/>
  <c r="W57" i="35"/>
  <c r="X57" i="35" s="1"/>
  <c r="W27" i="35"/>
  <c r="W38" i="35"/>
  <c r="X38" i="35" s="1"/>
  <c r="W45" i="35"/>
  <c r="X45" i="35" s="1"/>
  <c r="W32" i="35"/>
  <c r="X32" i="35" s="1"/>
  <c r="W42" i="35"/>
  <c r="X42" i="35" s="1"/>
  <c r="W28" i="35"/>
  <c r="X28" i="35" s="1"/>
  <c r="W52" i="35"/>
  <c r="X52" i="35" s="1"/>
  <c r="W43" i="35"/>
  <c r="X43" i="35" s="1"/>
  <c r="W40" i="35"/>
  <c r="X40" i="35" s="1"/>
  <c r="W46" i="35"/>
  <c r="X46" i="35" s="1"/>
  <c r="W41" i="35"/>
  <c r="X41" i="35" s="1"/>
  <c r="W55" i="35"/>
  <c r="X55" i="35" s="1"/>
  <c r="W37" i="35"/>
  <c r="X37" i="35" s="1"/>
  <c r="W30" i="35"/>
  <c r="X30" i="35" s="1"/>
  <c r="W34" i="35"/>
  <c r="X34" i="35" s="1"/>
  <c r="W56" i="35"/>
  <c r="X56" i="35" s="1"/>
  <c r="W31" i="35"/>
  <c r="X31" i="35" s="1"/>
  <c r="W39" i="35"/>
  <c r="X39" i="35" s="1"/>
  <c r="W35" i="35"/>
  <c r="X35" i="35" s="1"/>
  <c r="W51" i="35"/>
  <c r="X51" i="35" s="1"/>
  <c r="W36" i="35"/>
  <c r="X36" i="35" s="1"/>
  <c r="W33" i="35"/>
  <c r="X33" i="35" s="1"/>
  <c r="B43" i="25"/>
  <c r="B42" i="25"/>
  <c r="B41" i="25"/>
  <c r="J210" i="34" l="1"/>
  <c r="U210" i="34" s="1"/>
  <c r="G37" i="9"/>
  <c r="X152" i="35"/>
  <c r="X183" i="35" s="1"/>
  <c r="X137" i="35" s="1"/>
  <c r="W183" i="35"/>
  <c r="W137" i="35" s="1"/>
  <c r="W135" i="35" s="1"/>
  <c r="X27" i="35"/>
  <c r="X58" i="35" s="1"/>
  <c r="X14" i="35" s="1"/>
  <c r="W58" i="35"/>
  <c r="W14" i="35" s="1"/>
  <c r="W123" i="35"/>
  <c r="W17" i="35" s="1"/>
  <c r="X97" i="35"/>
  <c r="X123" i="35" s="1"/>
  <c r="X17" i="35" s="1"/>
  <c r="X65" i="35"/>
  <c r="X91" i="35" s="1"/>
  <c r="X16" i="35" s="1"/>
  <c r="W91" i="35"/>
  <c r="W16" i="35" s="1"/>
  <c r="X146" i="35"/>
  <c r="X136" i="35" s="1"/>
  <c r="D213" i="34"/>
  <c r="D18" i="33"/>
  <c r="B54" i="10"/>
  <c r="C91" i="35"/>
  <c r="C15" i="35"/>
  <c r="X15" i="35" l="1"/>
  <c r="X13" i="35" s="1"/>
  <c r="X135" i="35"/>
  <c r="W15" i="35"/>
  <c r="W13" i="35" s="1"/>
  <c r="C61" i="35"/>
  <c r="C16" i="35"/>
  <c r="D111" i="10"/>
  <c r="D109" i="10"/>
  <c r="D108" i="10"/>
  <c r="B80" i="10"/>
  <c r="B77" i="10"/>
  <c r="B44" i="25"/>
  <c r="B40" i="25"/>
  <c r="B39" i="25"/>
  <c r="B65" i="10"/>
  <c r="B35" i="10"/>
  <c r="B33" i="10"/>
  <c r="B34" i="10"/>
  <c r="B32" i="10"/>
  <c r="B31" i="10"/>
  <c r="B30" i="10"/>
  <c r="B29" i="10"/>
  <c r="B14" i="10"/>
  <c r="A915" i="17" l="1"/>
  <c r="H14" i="35"/>
  <c r="G14" i="35"/>
  <c r="F14" i="35"/>
  <c r="E14" i="35"/>
  <c r="D112" i="10" l="1"/>
  <c r="D107" i="10"/>
  <c r="B13" i="10"/>
  <c r="A914" i="17"/>
  <c r="A505" i="17"/>
  <c r="C5" i="38"/>
  <c r="C4" i="38"/>
  <c r="B2" i="38"/>
  <c r="J6" i="36"/>
  <c r="C5" i="36"/>
  <c r="C182" i="35"/>
  <c r="C181" i="35"/>
  <c r="C180" i="35"/>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46" i="35"/>
  <c r="C145" i="35"/>
  <c r="C142" i="35"/>
  <c r="C139" i="35"/>
  <c r="C136" i="35"/>
  <c r="C135" i="35"/>
  <c r="C128" i="35"/>
  <c r="C126" i="35"/>
  <c r="AC123" i="35"/>
  <c r="AC122" i="35"/>
  <c r="AC121" i="35"/>
  <c r="AC120" i="35"/>
  <c r="AC119" i="35"/>
  <c r="AC118" i="35"/>
  <c r="AC117" i="35"/>
  <c r="AC116" i="35"/>
  <c r="AC115" i="35"/>
  <c r="AC114" i="35"/>
  <c r="AC113" i="35"/>
  <c r="AC112" i="35"/>
  <c r="AC111" i="35"/>
  <c r="AC110" i="35"/>
  <c r="AC109" i="35"/>
  <c r="AC108" i="35"/>
  <c r="AC107" i="35"/>
  <c r="AC106" i="35"/>
  <c r="AC105" i="35"/>
  <c r="AC104" i="35"/>
  <c r="AC103" i="35"/>
  <c r="AC102" i="35"/>
  <c r="AC101" i="35"/>
  <c r="AC100" i="35"/>
  <c r="AC99" i="35"/>
  <c r="AC98" i="35"/>
  <c r="AC97" i="35"/>
  <c r="AC96" i="35"/>
  <c r="AC95" i="35"/>
  <c r="AC93" i="35"/>
  <c r="AC17" i="35"/>
  <c r="D264" i="34"/>
  <c r="D260" i="34"/>
  <c r="D233" i="34"/>
  <c r="D178" i="34"/>
  <c r="D177" i="34"/>
  <c r="D152" i="34"/>
  <c r="D151" i="34"/>
  <c r="D138" i="34"/>
  <c r="D102" i="34"/>
  <c r="E161" i="34" s="1"/>
  <c r="D26" i="34"/>
  <c r="D24" i="34"/>
  <c r="D21" i="34"/>
  <c r="D20" i="34"/>
  <c r="D19" i="34"/>
  <c r="D6" i="34"/>
  <c r="B142" i="10"/>
  <c r="B139" i="10"/>
  <c r="B26" i="10"/>
  <c r="B25" i="10"/>
  <c r="B24" i="10"/>
  <c r="B23" i="10"/>
  <c r="B22" i="10"/>
  <c r="B20" i="10"/>
  <c r="B19" i="10"/>
  <c r="B55" i="9"/>
  <c r="B54" i="9"/>
  <c r="B21" i="9"/>
  <c r="B16" i="9"/>
  <c r="B3" i="9"/>
  <c r="A651" i="17" l="1"/>
  <c r="K161" i="34" l="1"/>
  <c r="J161" i="34"/>
  <c r="P161" i="34"/>
  <c r="L161" i="34"/>
  <c r="N161" i="34"/>
  <c r="O161" i="34"/>
  <c r="Q161" i="34"/>
  <c r="C140" i="35"/>
  <c r="G134" i="35"/>
  <c r="F134" i="35"/>
  <c r="E134" i="35"/>
  <c r="Z13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A883" i="17"/>
  <c r="D151" i="35"/>
  <c r="C151" i="35"/>
  <c r="Z150" i="35"/>
  <c r="Z144" i="35"/>
  <c r="L26" i="34"/>
  <c r="D22" i="34"/>
  <c r="D9" i="34"/>
  <c r="M161" i="34" l="1"/>
  <c r="E118" i="38"/>
  <c r="A878" i="17" l="1"/>
  <c r="A877" i="17"/>
  <c r="A876" i="17"/>
  <c r="A875" i="17"/>
  <c r="A874" i="17"/>
  <c r="A873" i="17"/>
  <c r="A872" i="17"/>
  <c r="A871" i="17"/>
  <c r="A870" i="17"/>
  <c r="A869" i="17"/>
  <c r="A868" i="17"/>
  <c r="A867" i="17"/>
  <c r="A866" i="17"/>
  <c r="A865" i="17"/>
  <c r="A864" i="17"/>
  <c r="A863"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A685" i="17"/>
  <c r="A681" i="17" l="1"/>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6" i="17"/>
  <c r="A652" i="17"/>
  <c r="A648" i="17"/>
  <c r="A647" i="17"/>
  <c r="A646" i="17"/>
  <c r="A645" i="17"/>
  <c r="A590" i="17"/>
  <c r="A581" i="17"/>
  <c r="A498" i="17"/>
  <c r="A497" i="17"/>
  <c r="A496" i="17"/>
  <c r="A187" i="17"/>
  <c r="C368" i="39"/>
  <c r="G64" i="39"/>
  <c r="F64" i="39"/>
  <c r="D64" i="39"/>
  <c r="C64" i="39"/>
  <c r="O62" i="39"/>
  <c r="N62" i="39"/>
  <c r="L62" i="39"/>
  <c r="K62" i="39"/>
  <c r="J62" i="39"/>
  <c r="I62" i="39"/>
  <c r="F62" i="39"/>
  <c r="C62" i="39"/>
  <c r="C39" i="39"/>
  <c r="E29" i="39"/>
  <c r="D29" i="39"/>
  <c r="C29" i="39"/>
  <c r="N28" i="39"/>
  <c r="J28" i="39"/>
  <c r="G28" i="39"/>
  <c r="C28" i="39"/>
  <c r="C26" i="39"/>
  <c r="C24" i="39"/>
  <c r="C23" i="39"/>
  <c r="C22" i="39"/>
  <c r="C21" i="39"/>
  <c r="C19" i="39"/>
  <c r="C17" i="39"/>
  <c r="C15" i="39"/>
  <c r="C14" i="39"/>
  <c r="C13" i="39"/>
  <c r="C12" i="39"/>
  <c r="C10" i="39"/>
  <c r="C6" i="39"/>
  <c r="C5" i="39"/>
  <c r="C2" i="39"/>
  <c r="C64" i="36"/>
  <c r="K6" i="36"/>
  <c r="I6" i="36"/>
  <c r="C4" i="36"/>
  <c r="Z95" i="35"/>
  <c r="Z63" i="35"/>
  <c r="Z25" i="35"/>
  <c r="Z11" i="35"/>
  <c r="C4" i="35"/>
  <c r="B2" i="35"/>
  <c r="D263" i="34"/>
  <c r="D258" i="34"/>
  <c r="D224" i="34"/>
  <c r="D222" i="34"/>
  <c r="D219" i="34"/>
  <c r="D217" i="34"/>
  <c r="J83" i="34"/>
  <c r="G83" i="34"/>
  <c r="D79" i="34"/>
  <c r="D142" i="33"/>
  <c r="D134" i="33"/>
  <c r="D125" i="33"/>
  <c r="C124" i="33"/>
  <c r="C123" i="33"/>
  <c r="G118" i="33"/>
  <c r="G117" i="33"/>
  <c r="G116" i="33"/>
  <c r="G115" i="33"/>
  <c r="G114" i="33"/>
  <c r="G113" i="33"/>
  <c r="G112" i="33"/>
  <c r="G111" i="33"/>
  <c r="G110" i="33"/>
  <c r="G109" i="33"/>
  <c r="G108" i="33"/>
  <c r="D107" i="33"/>
  <c r="D106" i="33"/>
  <c r="D64" i="33"/>
  <c r="D50" i="33"/>
  <c r="D47" i="33"/>
  <c r="D38" i="33"/>
  <c r="D36" i="33"/>
  <c r="D34" i="33"/>
  <c r="D32" i="33"/>
  <c r="D30" i="33"/>
  <c r="D23" i="33"/>
  <c r="D22" i="33"/>
  <c r="D19" i="33"/>
  <c r="D14" i="33"/>
  <c r="D13" i="33"/>
  <c r="D11" i="33"/>
  <c r="D10" i="33"/>
  <c r="D5" i="33"/>
  <c r="B152" i="10"/>
  <c r="B135" i="10"/>
  <c r="B112" i="10"/>
  <c r="C85" i="10"/>
  <c r="C84" i="10"/>
  <c r="C83" i="10"/>
  <c r="B72" i="10"/>
  <c r="B64" i="10"/>
  <c r="B60" i="10"/>
  <c r="B59" i="10"/>
  <c r="B47" i="10"/>
  <c r="B37" i="10"/>
  <c r="B12" i="10"/>
  <c r="B9" i="10"/>
  <c r="B6" i="10"/>
  <c r="B4" i="10"/>
  <c r="B79" i="9"/>
  <c r="B77" i="9"/>
  <c r="B75" i="9"/>
  <c r="B34" i="9"/>
  <c r="B32" i="9"/>
  <c r="B30" i="9"/>
  <c r="B22" i="9"/>
  <c r="B15" i="9"/>
  <c r="U226" i="34" l="1"/>
  <c r="U217" i="34"/>
  <c r="E83" i="34"/>
  <c r="D83" i="34"/>
  <c r="M7" i="33" l="1"/>
  <c r="Z91" i="35"/>
  <c r="Z16" i="35" s="1"/>
  <c r="Z15" i="35" s="1"/>
  <c r="Z13" i="35" s="1"/>
  <c r="M14" i="39" l="1"/>
  <c r="M15" i="39" s="1"/>
  <c r="M365" i="39"/>
  <c r="N365" i="39" s="1"/>
  <c r="M364" i="39"/>
  <c r="N364" i="39" s="1"/>
  <c r="M363" i="39"/>
  <c r="N363" i="39" s="1"/>
  <c r="M362" i="39"/>
  <c r="N362" i="39" s="1"/>
  <c r="M361" i="39"/>
  <c r="N361" i="39" s="1"/>
  <c r="M360" i="39"/>
  <c r="N360" i="39" s="1"/>
  <c r="M359" i="39"/>
  <c r="N359" i="39" s="1"/>
  <c r="M358" i="39"/>
  <c r="N358" i="39" s="1"/>
  <c r="M357" i="39"/>
  <c r="N357" i="39" s="1"/>
  <c r="M356" i="39"/>
  <c r="N356" i="39" s="1"/>
  <c r="M355" i="39"/>
  <c r="N355" i="39" s="1"/>
  <c r="M354" i="39"/>
  <c r="N354" i="39" s="1"/>
  <c r="M353" i="39"/>
  <c r="N353" i="39" s="1"/>
  <c r="M352" i="39"/>
  <c r="N352" i="39" s="1"/>
  <c r="M351" i="39"/>
  <c r="N351" i="39" s="1"/>
  <c r="M350" i="39"/>
  <c r="N350" i="39" s="1"/>
  <c r="M349" i="39"/>
  <c r="N349"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M70" i="39"/>
  <c r="N70" i="39" s="1"/>
  <c r="M69" i="39"/>
  <c r="N69" i="39" s="1"/>
  <c r="M68" i="39"/>
  <c r="N68" i="39" s="1"/>
  <c r="L36" i="39"/>
  <c r="M16" i="39" s="1"/>
  <c r="G81" i="9" s="1"/>
  <c r="M67" i="39" l="1"/>
  <c r="N67" i="39" s="1"/>
  <c r="M12" i="39" s="1"/>
  <c r="G77" i="9" s="1"/>
  <c r="M13" i="39" l="1"/>
  <c r="G79" i="9" s="1"/>
  <c r="H22" i="39"/>
  <c r="H23" i="39"/>
  <c r="H24" i="39"/>
  <c r="H21" i="39"/>
  <c r="F30" i="9" l="1"/>
  <c r="F32" i="9"/>
  <c r="M38" i="33"/>
  <c r="M34" i="33"/>
  <c r="M32" i="33"/>
  <c r="M30" i="33"/>
  <c r="B31" i="9" l="1"/>
  <c r="B28" i="9"/>
  <c r="A642" i="17"/>
  <c r="A641" i="17"/>
  <c r="A640" i="17"/>
  <c r="A639" i="17"/>
  <c r="A638" i="17"/>
  <c r="A637" i="17"/>
  <c r="A636" i="17"/>
  <c r="A635" i="17"/>
  <c r="A634" i="17"/>
  <c r="A633"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1" i="17"/>
  <c r="A589" i="17"/>
  <c r="A588" i="17"/>
  <c r="A587" i="17"/>
  <c r="A586" i="17"/>
  <c r="A585" i="17"/>
  <c r="A584" i="17"/>
  <c r="A583" i="17"/>
  <c r="A582"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8" i="17"/>
  <c r="A526"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118" i="38"/>
  <c r="C117" i="38"/>
  <c r="H116" i="38"/>
  <c r="E116" i="38"/>
  <c r="C115" i="38"/>
  <c r="H113" i="38"/>
  <c r="H117" i="38" s="1"/>
  <c r="E113" i="38"/>
  <c r="E117" i="38" s="1"/>
  <c r="D113" i="38"/>
  <c r="C113" i="38"/>
  <c r="D32" i="38"/>
  <c r="C32" i="38"/>
  <c r="H31" i="38"/>
  <c r="E31" i="38"/>
  <c r="C31" i="38"/>
  <c r="C26" i="38"/>
  <c r="C24" i="38"/>
  <c r="C23" i="38"/>
  <c r="C11" i="38"/>
  <c r="B35" i="37"/>
  <c r="B6" i="37"/>
  <c r="C4" i="37"/>
  <c r="B2" i="37"/>
  <c r="H7" i="36"/>
  <c r="G7" i="36"/>
  <c r="G6" i="36"/>
  <c r="F6" i="36"/>
  <c r="E6" i="36"/>
  <c r="D6" i="36"/>
  <c r="C6" i="36"/>
  <c r="C2" i="36"/>
  <c r="C123" i="35"/>
  <c r="G96" i="35"/>
  <c r="F96" i="35"/>
  <c r="E96" i="35"/>
  <c r="D96" i="35"/>
  <c r="C96" i="35"/>
  <c r="C93" i="35"/>
  <c r="G64" i="35"/>
  <c r="F64" i="35"/>
  <c r="E64" i="35"/>
  <c r="D64" i="35"/>
  <c r="C64" i="35"/>
  <c r="C58" i="35"/>
  <c r="C57"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G26" i="35"/>
  <c r="F26" i="35"/>
  <c r="E26" i="35"/>
  <c r="C26" i="35"/>
  <c r="C22" i="35"/>
  <c r="C20" i="35"/>
  <c r="C19" i="35"/>
  <c r="C17" i="35"/>
  <c r="C14" i="35"/>
  <c r="C13" i="35"/>
  <c r="G12" i="35"/>
  <c r="F12" i="35"/>
  <c r="E12" i="35"/>
  <c r="D268" i="34"/>
  <c r="L245" i="34"/>
  <c r="I245" i="34"/>
  <c r="F245" i="34"/>
  <c r="D245" i="34"/>
  <c r="D243" i="34"/>
  <c r="F242" i="34"/>
  <c r="D242" i="34"/>
  <c r="F241" i="34"/>
  <c r="D241" i="34"/>
  <c r="F240" i="34"/>
  <c r="D240" i="34"/>
  <c r="F239" i="34"/>
  <c r="D239" i="34"/>
  <c r="D238" i="34"/>
  <c r="D236" i="34"/>
  <c r="D234" i="34"/>
  <c r="D232" i="34"/>
  <c r="D215" i="34"/>
  <c r="D214" i="34"/>
  <c r="D207" i="34"/>
  <c r="D205" i="34"/>
  <c r="D204" i="34"/>
  <c r="D203" i="34"/>
  <c r="D202" i="34"/>
  <c r="G201" i="34"/>
  <c r="D201" i="34"/>
  <c r="D200" i="34"/>
  <c r="D199" i="34"/>
  <c r="D191" i="34"/>
  <c r="D139" i="34"/>
  <c r="I116" i="34"/>
  <c r="E116" i="34"/>
  <c r="D116" i="34"/>
  <c r="E169" i="34" s="1"/>
  <c r="E167" i="34"/>
  <c r="E166" i="34"/>
  <c r="E165" i="34"/>
  <c r="F107" i="34"/>
  <c r="D107" i="34"/>
  <c r="E164" i="34" s="1"/>
  <c r="D106" i="34"/>
  <c r="E163" i="34" s="1"/>
  <c r="E162"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55" i="10"/>
  <c r="B150" i="10"/>
  <c r="B148" i="10"/>
  <c r="B146" i="10"/>
  <c r="B145" i="10"/>
  <c r="B144" i="10"/>
  <c r="E132" i="10"/>
  <c r="E131" i="10"/>
  <c r="E130" i="10"/>
  <c r="E129" i="10"/>
  <c r="E128" i="10"/>
  <c r="C128" i="10"/>
  <c r="E127" i="10"/>
  <c r="C127" i="10"/>
  <c r="B126" i="10"/>
  <c r="B125" i="10"/>
  <c r="B124" i="10"/>
  <c r="B123" i="10"/>
  <c r="B122" i="10"/>
  <c r="B118" i="10"/>
  <c r="B117" i="10"/>
  <c r="B115" i="10"/>
  <c r="B114" i="10"/>
  <c r="B110" i="10"/>
  <c r="B109" i="10"/>
  <c r="B108" i="10"/>
  <c r="B107" i="10"/>
  <c r="B106" i="10"/>
  <c r="B105" i="10"/>
  <c r="B103" i="10"/>
  <c r="B102" i="10"/>
  <c r="E93" i="10"/>
  <c r="B91" i="10"/>
  <c r="C89" i="10"/>
  <c r="C88" i="10"/>
  <c r="C87" i="10"/>
  <c r="C86" i="10"/>
  <c r="B82" i="10"/>
  <c r="B76" i="10"/>
  <c r="B73" i="10"/>
  <c r="B70" i="10"/>
  <c r="B68" i="10"/>
  <c r="B67" i="10"/>
  <c r="B2" i="10"/>
  <c r="B101" i="9"/>
  <c r="B100" i="9"/>
  <c r="B99" i="9"/>
  <c r="B98" i="9"/>
  <c r="F93" i="9"/>
  <c r="B93" i="9"/>
  <c r="B85" i="9"/>
  <c r="B35" i="9"/>
  <c r="B29" i="9"/>
  <c r="B27" i="9"/>
  <c r="B25" i="9"/>
  <c r="B18" i="9"/>
  <c r="B17" i="9"/>
  <c r="B14" i="9"/>
  <c r="B13" i="9"/>
  <c r="B12" i="9"/>
  <c r="B11" i="9"/>
  <c r="B10" i="9"/>
  <c r="B9" i="9"/>
  <c r="B7" i="9"/>
  <c r="B6" i="9"/>
  <c r="B2" i="9"/>
  <c r="M56" i="33"/>
  <c r="F25" i="9"/>
  <c r="U209" i="34"/>
  <c r="U203" i="34"/>
  <c r="U204" i="34"/>
  <c r="U202" i="34"/>
  <c r="F31" i="9"/>
  <c r="F29" i="9"/>
  <c r="F28" i="9"/>
  <c r="U197" i="34"/>
  <c r="D118" i="34"/>
  <c r="D119" i="34" s="1"/>
  <c r="U12" i="34"/>
  <c r="F91" i="35"/>
  <c r="F16" i="35" s="1"/>
  <c r="G91" i="35"/>
  <c r="G16" i="35" s="1"/>
  <c r="H91" i="35"/>
  <c r="H16" i="35" s="1"/>
  <c r="E123" i="35"/>
  <c r="E17" i="35" s="1"/>
  <c r="E15" i="35" s="1"/>
  <c r="E13" i="35" s="1"/>
  <c r="F123" i="35"/>
  <c r="F17" i="35" s="1"/>
  <c r="G123" i="35"/>
  <c r="G17" i="35" s="1"/>
  <c r="H123" i="35"/>
  <c r="H17" i="35" s="1"/>
  <c r="H202" i="34"/>
  <c r="H203" i="34"/>
  <c r="H204" i="34"/>
  <c r="G205" i="34"/>
  <c r="A91" i="10"/>
  <c r="A102" i="10" s="1"/>
  <c r="A103" i="10" s="1"/>
  <c r="A105" i="10" s="1"/>
  <c r="A122" i="10" s="1"/>
  <c r="A144" i="10" s="1"/>
  <c r="A145" i="10" s="1"/>
  <c r="A146" i="10" s="1"/>
  <c r="A148" i="10" s="1"/>
  <c r="A152" i="10" s="1"/>
  <c r="A155" i="10" s="1"/>
  <c r="B37" i="25"/>
  <c r="B36" i="25"/>
  <c r="B35" i="25"/>
  <c r="B34" i="25"/>
  <c r="B33" i="25"/>
  <c r="B32" i="25"/>
  <c r="B38" i="25"/>
  <c r="B102" i="9"/>
  <c r="E100" i="9"/>
  <c r="B51" i="25"/>
  <c r="A453" i="17"/>
  <c r="E101" i="9"/>
  <c r="E99" i="9"/>
  <c r="G15" i="35" l="1"/>
  <c r="G13" i="35" s="1"/>
  <c r="F15" i="35"/>
  <c r="F13" i="35" s="1"/>
  <c r="H15" i="35"/>
  <c r="H13" i="35" s="1"/>
  <c r="U205" i="34"/>
  <c r="J212" i="34" s="1"/>
  <c r="M164" i="34"/>
  <c r="Q169" i="34"/>
  <c r="P169" i="34"/>
  <c r="M169" i="34"/>
  <c r="L169" i="34"/>
  <c r="Q165" i="34"/>
  <c r="N165" i="34"/>
  <c r="P165" i="34"/>
  <c r="L165" i="34"/>
  <c r="M166" i="34"/>
  <c r="L166" i="34"/>
  <c r="O166" i="34"/>
  <c r="Q166" i="34"/>
  <c r="M162" i="34"/>
  <c r="L162" i="34"/>
  <c r="O162" i="34"/>
  <c r="Q162" i="34"/>
  <c r="P162" i="34"/>
  <c r="O163" i="34"/>
  <c r="N163" i="34"/>
  <c r="L167" i="34"/>
  <c r="M167" i="34"/>
  <c r="Q47" i="34"/>
  <c r="Q42" i="34"/>
  <c r="Q50" i="34"/>
  <c r="Q46" i="34"/>
  <c r="A970" i="17"/>
  <c r="Q45" i="34"/>
  <c r="Q43" i="34"/>
  <c r="Q49" i="34"/>
  <c r="Q51" i="34"/>
  <c r="E938" i="17"/>
  <c r="E929" i="17"/>
  <c r="E930" i="17"/>
  <c r="E937" i="17"/>
  <c r="O61" i="34" s="1"/>
  <c r="E932" i="17"/>
  <c r="E936" i="17"/>
  <c r="E933" i="17"/>
  <c r="E934" i="17"/>
  <c r="K141" i="34"/>
  <c r="G39" i="9" s="1"/>
  <c r="C3" i="25"/>
  <c r="E102" i="9" s="1"/>
  <c r="R62" i="42" l="1"/>
  <c r="O62" i="42"/>
  <c r="O64" i="34"/>
  <c r="N164" i="34"/>
  <c r="O167" i="34"/>
  <c r="K163" i="34"/>
  <c r="J163" i="34"/>
  <c r="Q163" i="34" s="1"/>
  <c r="P164" i="34"/>
  <c r="N167" i="34"/>
  <c r="N166" i="34"/>
  <c r="M165" i="34"/>
  <c r="N169" i="34"/>
  <c r="Q164" i="34"/>
  <c r="Q167" i="34"/>
  <c r="N162" i="34"/>
  <c r="O165" i="34"/>
  <c r="O169" i="34"/>
  <c r="O164" i="34"/>
  <c r="P163" i="34"/>
  <c r="L163" i="34"/>
  <c r="P166" i="34"/>
  <c r="L164" i="34"/>
  <c r="P167" i="34"/>
  <c r="M163" i="34"/>
  <c r="M183" i="34" s="1"/>
  <c r="G65" i="9" s="1"/>
  <c r="O68" i="42"/>
  <c r="R60" i="42"/>
  <c r="O60" i="42"/>
  <c r="R66" i="42"/>
  <c r="R68" i="42"/>
  <c r="O66" i="42"/>
  <c r="R70" i="42"/>
  <c r="O70" i="42"/>
  <c r="O63" i="34"/>
  <c r="O65" i="34"/>
  <c r="P186" i="34" l="1"/>
  <c r="G67" i="9" s="1"/>
  <c r="J177" i="34"/>
  <c r="K181" i="34"/>
  <c r="G57" i="9" s="1"/>
  <c r="L182" i="34"/>
  <c r="G61" i="9" s="1"/>
  <c r="K180" i="34"/>
  <c r="G59" i="9" s="1"/>
  <c r="O185" i="34"/>
  <c r="G63" i="9" s="1"/>
  <c r="Q187" i="34"/>
  <c r="G71" i="9" s="1"/>
  <c r="N184" i="34"/>
  <c r="G69" i="9" s="1"/>
  <c r="R64" i="42"/>
  <c r="O64" i="42"/>
  <c r="O65" i="42"/>
  <c r="G21" i="43" s="1"/>
  <c r="R65" i="42"/>
  <c r="G34" i="9"/>
  <c r="H25" i="43" l="1"/>
  <c r="G25" i="43"/>
  <c r="E20" i="43"/>
  <c r="F20" i="43"/>
  <c r="E25" i="43"/>
  <c r="H23" i="43"/>
  <c r="H24" i="43"/>
  <c r="E22" i="43"/>
  <c r="E21" i="43"/>
  <c r="H22" i="43"/>
  <c r="E18" i="43"/>
  <c r="F19" i="43"/>
  <c r="H18" i="43"/>
  <c r="E19" i="43"/>
  <c r="E24" i="43"/>
  <c r="F25" i="43"/>
  <c r="G19" i="43"/>
  <c r="F24" i="43"/>
  <c r="E23" i="43"/>
  <c r="H21" i="43"/>
  <c r="F22" i="43"/>
  <c r="G24" i="43"/>
  <c r="H20" i="43"/>
  <c r="G22" i="43"/>
  <c r="G20" i="43"/>
  <c r="F21" i="43"/>
  <c r="G23" i="43"/>
  <c r="F18" i="43"/>
  <c r="F23" i="43"/>
  <c r="H19" i="43"/>
  <c r="G18" i="43"/>
  <c r="G54" i="9"/>
  <c r="I192" i="35"/>
  <c r="R192" i="35"/>
  <c r="T192" i="35"/>
  <c r="M192" i="35"/>
  <c r="V192" i="35"/>
  <c r="J192" i="35"/>
  <c r="K192" i="35"/>
  <c r="N192" i="35"/>
  <c r="S192" i="35"/>
  <c r="P192" i="35"/>
  <c r="H192" i="35"/>
  <c r="Q192" i="35"/>
  <c r="L192" i="35"/>
  <c r="U192" i="35"/>
  <c r="O192" i="35"/>
  <c r="H118" i="38"/>
  <c r="G26" i="43" l="1"/>
  <c r="F26" i="43"/>
  <c r="I25" i="43"/>
  <c r="I20" i="43"/>
  <c r="E26" i="43"/>
  <c r="I18" i="43"/>
  <c r="I21" i="43"/>
  <c r="H26" i="43"/>
  <c r="I19" i="43"/>
  <c r="I22" i="43"/>
  <c r="I24" i="43"/>
  <c r="I23" i="43"/>
  <c r="I26"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Fallmann Hubert</author>
  </authors>
  <commentList>
    <comment ref="A23" authorId="0" shapeId="0" xr:uid="{00000000-0006-0000-0B00-000001000000}">
      <text>
        <r>
          <rPr>
            <b/>
            <sz val="9"/>
            <color indexed="81"/>
            <rFont val="Segoe UI"/>
            <family val="2"/>
          </rPr>
          <t>can be deleted</t>
        </r>
      </text>
    </comment>
    <comment ref="A59" authorId="1" shapeId="0" xr:uid="{00000000-0006-0000-0B00-000002000000}">
      <text>
        <r>
          <rPr>
            <b/>
            <sz val="9"/>
            <color indexed="81"/>
            <rFont val="Segoe UI"/>
            <family val="2"/>
          </rPr>
          <t>Removed from list in 2022 update</t>
        </r>
      </text>
    </comment>
    <comment ref="A187" authorId="0" shapeId="0" xr:uid="{00000000-0006-0000-0B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4" authorId="0" shapeId="0" xr:uid="{00000000-0006-0000-0B00-000004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D00-000001000000}">
      <text>
        <r>
          <rPr>
            <b/>
            <sz val="8"/>
            <color indexed="81"/>
            <rFont val="Tahoma"/>
            <family val="2"/>
          </rPr>
          <t>Final link to be added as soon as available.</t>
        </r>
      </text>
    </comment>
    <comment ref="D45" authorId="0" shapeId="0" xr:uid="{00000000-0006-0000-0D00-000002000000}">
      <text>
        <r>
          <rPr>
            <b/>
            <sz val="8"/>
            <color indexed="81"/>
            <rFont val="Tahoma"/>
            <family val="2"/>
          </rPr>
          <t>Final link to be added as soon as available.</t>
        </r>
      </text>
    </comment>
    <comment ref="B1194" authorId="1" shapeId="0" xr:uid="{00000000-0006-0000-0D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D1194" authorId="1" shapeId="0" xr:uid="{00000000-0006-0000-0D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<sst xmlns="http://schemas.openxmlformats.org/spreadsheetml/2006/main" count="4466" uniqueCount="2051">
  <si>
    <t>8a</t>
  </si>
  <si>
    <t>8b</t>
  </si>
  <si>
    <t>10a</t>
  </si>
  <si>
    <t>Proportional fuel attribution at airports</t>
  </si>
  <si>
    <t>10b</t>
  </si>
  <si>
    <t>Support under Article 3c(6) of the EU ETS Directive</t>
  </si>
  <si>
    <t xml:space="preserve"> t CO2</t>
  </si>
  <si>
    <t>Memo-Item: Total zero-rated emissions</t>
  </si>
  <si>
    <t>Memo-Item: Total zero-rated biomass emissions</t>
  </si>
  <si>
    <t>Memo-Item: Total non-zero-rated biomass emissions</t>
  </si>
  <si>
    <t>Memo-Item: Total zero-rated emissions from RFNBO/RCF</t>
  </si>
  <si>
    <t>Memo-Item: Total non-zero-rated emissions from RFNBO/RCF</t>
  </si>
  <si>
    <t>Memo-Item: Total zero-rated emissions from SLCFs</t>
  </si>
  <si>
    <t>Memo-Item: Total non-zero-rated emissions from SLCFs</t>
  </si>
  <si>
    <t>Total reductions claimed from the use of CORSIA eligible fuels:</t>
  </si>
  <si>
    <t>(I)</t>
  </si>
  <si>
    <t>http://data.europa.eu/eli/dir/2003/87/2024-03-01</t>
  </si>
  <si>
    <t>http://data.europa.eu/eli/reg_impl/2018/2066/2024-07-01</t>
  </si>
  <si>
    <t>https://www.bafu.admin.ch/bafu/en/home/topics/climate/info-specialists/reduction-measures/ets/aviation.html</t>
  </si>
  <si>
    <t>(II)</t>
  </si>
  <si>
    <t>(III)</t>
  </si>
  <si>
    <t>1a</t>
  </si>
  <si>
    <t xml:space="preserve">-  </t>
  </si>
  <si>
    <t>2a</t>
  </si>
  <si>
    <t>(IV)</t>
  </si>
  <si>
    <t>(a)</t>
  </si>
  <si>
    <t>(b)</t>
  </si>
  <si>
    <t>(c)</t>
  </si>
  <si>
    <t>(d)</t>
  </si>
  <si>
    <t>(e)</t>
  </si>
  <si>
    <t>ausblenden</t>
  </si>
  <si>
    <t>CNTR_ReportingYear</t>
  </si>
  <si>
    <t>&lt;Please select&gt;</t>
  </si>
  <si>
    <t>CONTR_CORSIAapplied</t>
  </si>
  <si>
    <t>(f)</t>
  </si>
  <si>
    <t>(g)</t>
  </si>
  <si>
    <t>CONTR_onlyCORSIA</t>
  </si>
  <si>
    <t>(h)</t>
  </si>
  <si>
    <t xml:space="preserve">(c) </t>
  </si>
  <si>
    <t xml:space="preserve">(d) </t>
  </si>
  <si>
    <t xml:space="preserve">(e) </t>
  </si>
  <si>
    <t>make grey?</t>
  </si>
  <si>
    <t>Please select or enter name, as appropriate</t>
  </si>
  <si>
    <t>(i)</t>
  </si>
  <si>
    <t>(j)</t>
  </si>
  <si>
    <t>(k)</t>
  </si>
  <si>
    <t>(l)</t>
  </si>
  <si>
    <t>Column for</t>
  </si>
  <si>
    <t>controls</t>
  </si>
  <si>
    <t>make grey</t>
  </si>
  <si>
    <t>(a).i</t>
  </si>
  <si>
    <t>(a).ii</t>
  </si>
  <si>
    <t>(a).iii</t>
  </si>
  <si>
    <t>Properties of the fuels used:</t>
  </si>
  <si>
    <t>Please provide here the calculation factors needed for describing each fuel's properties for calculating the emissions. Input is required only if you are using other fuels than the standard fuels already defined. Please note:</t>
  </si>
  <si>
    <t xml:space="preserve">preliminary EF </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</si>
  <si>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</si>
  <si>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NCV</t>
  </si>
  <si>
    <t>Net calorific value. Proxy data is to be reported for completeness purposes. In this template it is not used for emission calculation.</t>
  </si>
  <si>
    <t>biomass content (sustainable)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</si>
  <si>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</si>
  <si>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 xml:space="preserve">biomass content (non-sustainable) </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</si>
  <si>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</si>
  <si>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Note: If you use a biofuel or mixed fuel, for which the sustainability criteria are demonstrated only for a part of the annual used quantity, you have to define two different fuels here, one with sustainable biomass and one with non-sustainable biomass.</t>
  </si>
  <si>
    <t>Fuel No.</t>
  </si>
  <si>
    <t>Name of fuel</t>
  </si>
  <si>
    <t>preliminary EF 
[t CO2 / t fuel]</t>
  </si>
  <si>
    <t>NCV [GJ/t]</t>
  </si>
  <si>
    <t>biomass content (sustainable) [%]</t>
  </si>
  <si>
    <t>biomass content (non-sustainable) [%]</t>
  </si>
  <si>
    <t>Jet kerosene (Jet A1 or Jet A)</t>
  </si>
  <si>
    <t>Jet gasoline (Jet B)</t>
  </si>
  <si>
    <t>Aviation gasoline (AvGas)</t>
  </si>
  <si>
    <t>end</t>
  </si>
  <si>
    <t>If required, you may add further fuels by inserting rows above this one. This is best done by inserting a copied row.</t>
  </si>
  <si>
    <t>Properties of the fuels used</t>
  </si>
  <si>
    <t>The „preliminary emission factor" is the assumed total emission factor of a mixed fuel or material based on the total carbon content before multiplying it with the fossil fraction to result in the emission factor. For Aviation, the EF is usually reported as t CO2/t.</t>
  </si>
  <si>
    <t>Alternative fuel types</t>
  </si>
  <si>
    <t>Short name</t>
  </si>
  <si>
    <t>Description of the fuel type</t>
  </si>
  <si>
    <t>Support level</t>
  </si>
  <si>
    <t>Advanced aviation biofuel</t>
  </si>
  <si>
    <t>Adv. Biofuel</t>
  </si>
  <si>
    <t>Biofuels produced from the feedstock listed in Part A Annex IX to Directive 2018/2001 and that are certified in compliance with Article 30 of that Directive</t>
  </si>
  <si>
    <t>Aviation Biofuel</t>
  </si>
  <si>
    <t>Biofuel</t>
  </si>
  <si>
    <t>Biofuels produced from feedstock listed in Part B Annex IX to Directive 2018/2001 and that are certified in compliance with Article 30 of that Directive</t>
  </si>
  <si>
    <t>Other aviation biofuel</t>
  </si>
  <si>
    <t>Other Biofuel</t>
  </si>
  <si>
    <t>Biofuels produced from the feedstock not listed in Annex IX to Directive 2018/2001 except for those produced from food and feed crops and that are certified in compliance with Article 30 of that Directive</t>
  </si>
  <si>
    <t>Co-processed advanced biofuel</t>
  </si>
  <si>
    <t>Co-prod. Adv. Biofuel</t>
  </si>
  <si>
    <t>Co-products in a conventional refinery produced from the feedstock listed in Part A Annex IX of Directive 2018/2001 and that are certified in compliance with Article 30 of that Directive</t>
  </si>
  <si>
    <t>Co-processed biofuel</t>
  </si>
  <si>
    <t>Co-prod. Biofuel</t>
  </si>
  <si>
    <t>Co-products in a conventional refinery other than advanced co-processed fuels and that are certified in compliance with Article 30 of that Directive</t>
  </si>
  <si>
    <t>Non-Eligible biofuels</t>
  </si>
  <si>
    <t>Non-El. Biofuel</t>
  </si>
  <si>
    <t>Biofuels that are certified in compliance with Article 30 of Directive 2018/2001 and produced from food and feed crops</t>
  </si>
  <si>
    <t>Non-zero-rated biofuels</t>
  </si>
  <si>
    <t>Non-zero Biofuel</t>
  </si>
  <si>
    <t>Biofuels that are not certified in compliance with Article 30 of Directive 2018/2001</t>
  </si>
  <si>
    <t>RFNBO</t>
  </si>
  <si>
    <t>Drop-in renewable fuels of non-biological origin as defined in Article 2, point (36) of Directive 2018/2001 and that are certified in compliance with Article 30 of that Directive</t>
  </si>
  <si>
    <t>RCF</t>
  </si>
  <si>
    <t>Recycled carbon fuels as defined in Article 2, point (35) of Directive (EU) 2018/2001 and that are certified in compliance with Article 30 of that Directive</t>
  </si>
  <si>
    <t>Non-zero-rated RFNBO</t>
  </si>
  <si>
    <t>Non-zero RFNBO</t>
  </si>
  <si>
    <t>Drop-in renewable fuels of non-biological origin as defined in Article 2, point (36) of Directive 2018/2001 and that are NOT certified in compliance with Article 30 of that Directive</t>
  </si>
  <si>
    <t>Non-zero-rated RCF</t>
  </si>
  <si>
    <t>Non-zero RCF</t>
  </si>
  <si>
    <t>Recycled carbon fuels as defined in Article 2, point (35) of Directive (EU) 2018/2001 and that are NOT certified in compliance with Article 30 of that Directive</t>
  </si>
  <si>
    <t>non-fossil SLCF</t>
  </si>
  <si>
    <t>non-foss SLCF</t>
  </si>
  <si>
    <t>SLCF (fossil)</t>
  </si>
  <si>
    <t>SLCF</t>
  </si>
  <si>
    <t>non-zero-rated SLCF</t>
  </si>
  <si>
    <t>Non-zero SLCF</t>
  </si>
  <si>
    <t>Other</t>
  </si>
  <si>
    <t>Any other drop-in aviation fuel not listed above</t>
  </si>
  <si>
    <t>Other Aviation fuel (Manual input)</t>
  </si>
  <si>
    <t>Other (manual)</t>
  </si>
  <si>
    <t>Any other drop-in aviation fuel not listed above, open to complete manual input, i.e. there is the possibility to enter an emission factor or NCV different from standard aviation fuels, dtermined in accordance with Articles 32 to 35 of the MRR.</t>
  </si>
  <si>
    <t>Manual input</t>
  </si>
  <si>
    <t>Fuel type</t>
  </si>
  <si>
    <t>MRR Category</t>
  </si>
  <si>
    <t>Alternative fuel sub-category</t>
  </si>
  <si>
    <t>Zero rated fuel</t>
  </si>
  <si>
    <t>Eligibility for ETS support</t>
  </si>
  <si>
    <t>Auxiliary data:</t>
  </si>
  <si>
    <t>Standard aviation fuel</t>
  </si>
  <si>
    <t>Sheet name:</t>
  </si>
  <si>
    <t>Has complete data?</t>
  </si>
  <si>
    <t>FuelNameList</t>
  </si>
  <si>
    <t>Is Biofuel?</t>
  </si>
  <si>
    <t>Is RFNBO/RCF?</t>
  </si>
  <si>
    <t>Is SLCF?</t>
  </si>
  <si>
    <t>CNTR_FuelSelection</t>
  </si>
  <si>
    <t>CNTR_FuelListCompleteData</t>
  </si>
  <si>
    <t>CNTR_FuelListNames</t>
  </si>
  <si>
    <t>CNTR_FuelListIsBioFuel</t>
  </si>
  <si>
    <t>CNTR_FuelListIsRF</t>
  </si>
  <si>
    <t>CNTR_FuelListIsSLCF</t>
  </si>
  <si>
    <t>Auxiliary for sorting</t>
  </si>
  <si>
    <t>Fuel list for drop-down (airport sheet)</t>
  </si>
  <si>
    <t>Jet-A</t>
  </si>
  <si>
    <t>Jet-A1</t>
  </si>
  <si>
    <t>Jet-B</t>
  </si>
  <si>
    <t>RFNBO/RCF</t>
  </si>
  <si>
    <t>AvGas</t>
  </si>
  <si>
    <t xml:space="preserve">(b1) </t>
  </si>
  <si>
    <t>CO2 emissions [t CO2]</t>
  </si>
  <si>
    <t>Total zero-rated emissions [t CO2]</t>
  </si>
  <si>
    <t>Zero-rated biomass</t>
  </si>
  <si>
    <t>Zero-rated RFNBO / RCF</t>
  </si>
  <si>
    <t>Zero-rated SLCF</t>
  </si>
  <si>
    <t>Non-zero-rated biomass</t>
  </si>
  <si>
    <t>Non-zero-rated RFNBO / RCF</t>
  </si>
  <si>
    <t>Non-zero-rated SLCF</t>
  </si>
  <si>
    <t>Memo Item: total zero-rated emissions</t>
  </si>
  <si>
    <t>INDICATOR_ETS_TotalZeroRatedEmissions</t>
  </si>
  <si>
    <t>Memo Item: Total emissions using the preliminary emissions factor</t>
  </si>
  <si>
    <t>INDICATOR_ETS_TotalPrelEF_Emissions</t>
  </si>
  <si>
    <t>Memo-item: Total emissions from zero-rated biofuels</t>
  </si>
  <si>
    <t>INDICATOR_ETS_TotalZeroRatedBioEm</t>
  </si>
  <si>
    <t>Memo-item: Total emissions from zero-rated RFNBO / RCF</t>
  </si>
  <si>
    <t>INDICATOR_ETS_TotalZeroRatedRFNBO</t>
  </si>
  <si>
    <t>Memo-item: Total emissions from zero-rated SLCF</t>
  </si>
  <si>
    <t>INDICATOR_ETS_TotalZeroRatedSLCF</t>
  </si>
  <si>
    <t>Memo-item: Total emissions from non-zero-rated biofuels</t>
  </si>
  <si>
    <t>INDICATOR_ETS_TotalNonZeroRatedBioEm</t>
  </si>
  <si>
    <t>Memo-item: Total emissions from non-zero-rated RFNBO / RCF</t>
  </si>
  <si>
    <t>INDICATOR_ETS_TotalNonZeroRatedRFNBO</t>
  </si>
  <si>
    <t>Memo-item: Total emissions from non-zero-rated SLCF</t>
  </si>
  <si>
    <t>INDICATOR_ETS_TotalNonZeroRatedSLCF</t>
  </si>
  <si>
    <t>INDICATOR_CHETS_TotalZeroRatedEmissions</t>
  </si>
  <si>
    <t>INDICATOR_CHETS_TotalPrelEF_Emissions</t>
  </si>
  <si>
    <t>INDICATOR_CHETS_TotalZeroRatedBioEm</t>
  </si>
  <si>
    <t>INDICATOR_CHETS_TotalZeroRatedRFNBO</t>
  </si>
  <si>
    <t>INDICATOR_CHETS_TotalZeroRatedSLCF</t>
  </si>
  <si>
    <t>INDICATOR_CHETS_TotalNonZeroRatedBioEm</t>
  </si>
  <si>
    <t>INDICATOR_CHETS_TotalNonZeroRatedRFNBO</t>
  </si>
  <si>
    <t>INDICATOR_CHETS_TotalNonZeroRatedSLCF</t>
  </si>
  <si>
    <t>Have you been using the simplified approach allowed for small emitters pursuant to Article 55(2) of the MRR?</t>
  </si>
  <si>
    <t>The small emitter tool may furthermore be used by aircraft operators with total annual emissions lower than 3,000 t CO2 per year, related to the reduced scope.</t>
  </si>
  <si>
    <t>&lt;243?</t>
  </si>
  <si>
    <t>&lt;25000? / 3000?</t>
  </si>
  <si>
    <t>Please enter here the total emissions related to the full scope, if relevant.</t>
  </si>
  <si>
    <t>t CO2</t>
  </si>
  <si>
    <t xml:space="preserve">(f) </t>
  </si>
  <si>
    <t>Used quantity of each neat fuel [tonnes]</t>
  </si>
  <si>
    <t>NON ZERO-RATED EMISSIONS [t CO2]</t>
  </si>
  <si>
    <t>ZERO RATED EMISSIONS [t CO2]</t>
  </si>
  <si>
    <t>TOTAL EMISSIONS [t CO2]</t>
  </si>
  <si>
    <t>A</t>
  </si>
  <si>
    <t>B</t>
  </si>
  <si>
    <t>C</t>
  </si>
  <si>
    <t>D</t>
  </si>
  <si>
    <t>E</t>
  </si>
  <si>
    <t xml:space="preserve">Please note that all figures should only refer to flights to be reported under the EU ETS, i.e. relate to the reduced scope. </t>
  </si>
  <si>
    <t>Please complete the following table with the appropriate data for the reporting year. Note that the emission factors presented in section 5(b) are automatically used for calculating these emissions.</t>
  </si>
  <si>
    <t>Please continue by adding further rows above as needed. This must be done by copying an empty row and inserting it thereafter. A simple "insert row" command will NOT be sufficent.</t>
  </si>
  <si>
    <t>&lt;&lt;&lt; Click here to proceed to section 9 "Aircraft data" &gt;&gt;&gt;</t>
  </si>
  <si>
    <t>Do not change any formulae here!</t>
  </si>
  <si>
    <t>Hide row (Aux.values)</t>
  </si>
  <si>
    <t>Fuel Nr.</t>
  </si>
  <si>
    <t>Fuel has entries?</t>
  </si>
  <si>
    <t>Fuel name to display</t>
  </si>
  <si>
    <t>zero-rated?</t>
  </si>
  <si>
    <t>Prel. EF.</t>
  </si>
  <si>
    <t>(final) EF.</t>
  </si>
  <si>
    <t>&lt;&lt;&lt; Click here to proceed to section 10 "Member State specific Content" &gt;&gt;&gt;</t>
  </si>
  <si>
    <t>Proportional fuel attribution at aerodromes</t>
  </si>
  <si>
    <t>Table for Attribution of alternative aviation fuels</t>
  </si>
  <si>
    <t>Aerodrome</t>
  </si>
  <si>
    <t>Eligibility for 100% support (Art. 3c(6) EU ETS Directive)</t>
  </si>
  <si>
    <t>Fuel eligible for support (tonnes)</t>
  </si>
  <si>
    <t>make grey (zero-rated)</t>
  </si>
  <si>
    <t>make grey (eligible)</t>
  </si>
  <si>
    <t>completely grey - if incomplete or fossil only</t>
  </si>
  <si>
    <t>Fuel Type for Summation</t>
  </si>
  <si>
    <t xml:space="preserve">eligibility level </t>
  </si>
  <si>
    <t>TOTAL</t>
  </si>
  <si>
    <t>AUTOMATIC AGGREGATION OF ALTERNATIVE FUEL TYPES</t>
  </si>
  <si>
    <t>Please, indicate here if you do NOT want to apply for the free allocation to support the use of eligible aviation fuels pursuant to Article 3c(6) of the EU ETS Directive.</t>
  </si>
  <si>
    <t>In selecting "TRUE", you are opting-out from the ETS support pursuant to Article 3c(6) of the EU ETS Directive.</t>
  </si>
  <si>
    <t>CNTR_ETS3c6OptOut</t>
  </si>
  <si>
    <t>Aggregated amount of neat fuels eligible for Article 3c(6) support</t>
  </si>
  <si>
    <t>The table below lists the amounts of neat fuels in tonnes, attributed proportionally to eligible flights, as entered in section 10a of this report.</t>
  </si>
  <si>
    <t>The level of support is automatically taken from the fuel definitions in section 5b.</t>
  </si>
  <si>
    <t>Where an airport listed in section 10b is eligible for 100% support in accordance with Article 3c(6) of the EU ETS Directive, this support level is set to 100%.</t>
  </si>
  <si>
    <t>Level of direct ETS support under Article 3c(6)</t>
  </si>
  <si>
    <t>CNTR_grey application</t>
  </si>
  <si>
    <t>Fuels entered in Section 10a [tonnes]</t>
  </si>
  <si>
    <t>Total Volume</t>
  </si>
  <si>
    <t>Advanced Aviation Biofuel</t>
  </si>
  <si>
    <t>(a1)</t>
  </si>
  <si>
    <t>(a2)</t>
  </si>
  <si>
    <t>EU ETS</t>
  </si>
  <si>
    <t>a)</t>
  </si>
  <si>
    <t>b)</t>
  </si>
  <si>
    <t>t</t>
  </si>
  <si>
    <t>b1)</t>
  </si>
  <si>
    <t>c)</t>
  </si>
  <si>
    <t>c1)</t>
  </si>
  <si>
    <t>c2)</t>
  </si>
  <si>
    <t>c3)</t>
  </si>
  <si>
    <t>c4)</t>
  </si>
  <si>
    <t>c5)</t>
  </si>
  <si>
    <t>ReportingYears</t>
  </si>
  <si>
    <t>Name of this sheet</t>
  </si>
  <si>
    <t>EUconst_Eligible</t>
  </si>
  <si>
    <t>EUconst_NotEligible</t>
  </si>
  <si>
    <t>Euconst_ErrMsgNumerOfFlights</t>
  </si>
  <si>
    <t>memberstates</t>
  </si>
  <si>
    <t>worldcountries</t>
  </si>
  <si>
    <t>Euconst_MPReferenceDateTypes</t>
  </si>
  <si>
    <t>opstatus</t>
  </si>
  <si>
    <t>flighttypes</t>
  </si>
  <si>
    <t>operationscope</t>
  </si>
  <si>
    <t>Title</t>
  </si>
  <si>
    <t>LegalStatus</t>
  </si>
  <si>
    <t>freightandmail</t>
  </si>
  <si>
    <t>Passengermass</t>
  </si>
  <si>
    <t>indrange</t>
  </si>
  <si>
    <t>1-5</t>
  </si>
  <si>
    <t>5-10</t>
  </si>
  <si>
    <t>11-20</t>
  </si>
  <si>
    <t>21-30</t>
  </si>
  <si>
    <t>31-50</t>
  </si>
  <si>
    <t>51-100</t>
  </si>
  <si>
    <t>101-200</t>
  </si>
  <si>
    <t>200+</t>
  </si>
  <si>
    <t>ManSys</t>
  </si>
  <si>
    <t>YesNo</t>
  </si>
  <si>
    <t>TrueFalse</t>
  </si>
  <si>
    <t>MSversiontracking</t>
  </si>
  <si>
    <t>SelectPrimaryInfoSource</t>
  </si>
  <si>
    <t>notapplicable</t>
  </si>
  <si>
    <t>NewUpdate</t>
  </si>
  <si>
    <t>BooleanValues</t>
  </si>
  <si>
    <t>UpliftDataSource</t>
  </si>
  <si>
    <t>TankDataSource</t>
  </si>
  <si>
    <t>Frequency</t>
  </si>
  <si>
    <t>parameters</t>
  </si>
  <si>
    <t>UncertThreshold</t>
  </si>
  <si>
    <t>&lt;2.5%</t>
  </si>
  <si>
    <t>&lt;5.0%</t>
  </si>
  <si>
    <t>UncertTierResult</t>
  </si>
  <si>
    <t>SourceClass</t>
  </si>
  <si>
    <t>MeasMethod</t>
  </si>
  <si>
    <t>DensMethod</t>
  </si>
  <si>
    <t>Fuel types</t>
  </si>
  <si>
    <t>UncertValue</t>
  </si>
  <si>
    <t>CommissionApprovedTools</t>
  </si>
  <si>
    <t>CompetentAuthorities</t>
  </si>
  <si>
    <t>aviationauthorities</t>
  </si>
  <si>
    <t>CORSIA_FuelsList</t>
  </si>
  <si>
    <t>EU_EF_forCORSIAFuelList</t>
  </si>
  <si>
    <t>CNTR_EFListSelected</t>
  </si>
  <si>
    <t>EF_SystemSelection</t>
  </si>
  <si>
    <t>CNTR_EFSystemselected</t>
  </si>
  <si>
    <t>MSLanguages</t>
  </si>
  <si>
    <t>MemberStatesWithSwiss</t>
  </si>
  <si>
    <t>CNST_AltFuels</t>
  </si>
  <si>
    <t>Fossil Alternative Fuel</t>
  </si>
  <si>
    <t>CNST_AltFuelTypes</t>
  </si>
  <si>
    <t>CNST_AltFuelTypesShort</t>
  </si>
  <si>
    <t>CNST_AltFuelsZero</t>
  </si>
  <si>
    <t>CNST_AltFuelsEligible</t>
  </si>
  <si>
    <t>CNST_AltFuelsSupportRate</t>
  </si>
  <si>
    <t>CNST_AltFuelsIsBio</t>
  </si>
  <si>
    <t>CNST_AltFuelsIsRF</t>
  </si>
  <si>
    <t>CNST_AltFuelsIsLCF</t>
  </si>
  <si>
    <t>non-zero-rated RFNBO</t>
  </si>
  <si>
    <t>non-zero-rated RCF</t>
  </si>
  <si>
    <t>Other (Fossil)</t>
  </si>
  <si>
    <t>manual input</t>
  </si>
  <si>
    <t>CNST_Biofuels</t>
  </si>
  <si>
    <t>CNST_RFNBO/RCF</t>
  </si>
  <si>
    <t>CNST_SLCF</t>
  </si>
  <si>
    <t>CNST_FossilAltFuel</t>
  </si>
  <si>
    <t>END</t>
  </si>
  <si>
    <t>CNST_MainFuelTypes</t>
  </si>
  <si>
    <t>CNST_MainFuelEFref</t>
  </si>
  <si>
    <t>CNST_MainFuelNCVref</t>
  </si>
  <si>
    <t>ERRmsg_SelectMainFuel</t>
  </si>
  <si>
    <t>Select main fuel!</t>
  </si>
  <si>
    <t>ERRmsg_Incomplete</t>
  </si>
  <si>
    <t>Incomplete!</t>
  </si>
  <si>
    <t>Text_Fuel</t>
  </si>
  <si>
    <t>Fuel</t>
  </si>
  <si>
    <t>CNST_EligibilityLevels</t>
  </si>
  <si>
    <t>ErrMsg_YouOptOut</t>
  </si>
  <si>
    <t>ErrMsg_Art3c6OK</t>
  </si>
  <si>
    <t>maybe to be added later!</t>
  </si>
  <si>
    <t>TEXT (English Original) - don't change!</t>
  </si>
  <si>
    <t>xxx</t>
  </si>
  <si>
    <t>ANNUAL EMISSIONS MONITORING PLAN</t>
  </si>
  <si>
    <t>CONTENTS</t>
  </si>
  <si>
    <t>Guidelines and conditions</t>
  </si>
  <si>
    <t>Monitoring Plan versions</t>
  </si>
  <si>
    <t>Identification of the aircraft operator</t>
  </si>
  <si>
    <t>Contact details</t>
  </si>
  <si>
    <t>Emission sources and fleet characteristics</t>
  </si>
  <si>
    <t>Eligibility for simplified approaches</t>
  </si>
  <si>
    <t>Activity data</t>
  </si>
  <si>
    <t>Uncertainty assessment</t>
  </si>
  <si>
    <t>Emission factors</t>
  </si>
  <si>
    <t>Simplified calculation of CO2 emissions</t>
  </si>
  <si>
    <t>Data Gaps</t>
  </si>
  <si>
    <t>Management</t>
  </si>
  <si>
    <t>Data Flow Activities</t>
  </si>
  <si>
    <t>Control Activities</t>
  </si>
  <si>
    <t>List of definitions and abbreviations used</t>
  </si>
  <si>
    <t>Additional information</t>
  </si>
  <si>
    <t>Member State specific further information</t>
  </si>
  <si>
    <t>Information about this file:</t>
  </si>
  <si>
    <t>This monitoring plan was submitted by:</t>
  </si>
  <si>
    <t>Unique Identifier of the aircraft operator (CRCO No.):</t>
  </si>
  <si>
    <t>Version Number of this monitoring plan:</t>
  </si>
  <si>
    <t>If your competent authority requires you to hand in a signed paper copy of the monitoring plan, please use the space below for signature:</t>
  </si>
  <si>
    <t>Date</t>
  </si>
  <si>
    <t>Name and Signature of 
legally responsible person</t>
  </si>
  <si>
    <t>Template version information:</t>
  </si>
  <si>
    <t>Template provided by:</t>
  </si>
  <si>
    <t>Publication date:</t>
  </si>
  <si>
    <t>Language version:</t>
  </si>
  <si>
    <t>Reference filename:</t>
  </si>
  <si>
    <t>GUIDELINES AND CONDITIONS</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</si>
  <si>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</si>
  <si>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t>The Directive can be downloaded from:</t>
  </si>
  <si>
    <t>http://eur-lex.europa.eu/legal-content/EN/TXT/HTML/?uri=CELEX:02003L0087-20151029&amp;qid=1447163831856&amp;from=EN</t>
  </si>
  <si>
    <t>The Monitoring and Reporting Regulation (Commission Regulation (EU) No. 601/2012, hereinafter the "MRR"), defines further requirements for monitoring and reporting. The MRR can be downloaded from:</t>
  </si>
  <si>
    <t>http://eur-lex.europa.eu/legal-content/EN/TXT/PDF/?uri=CELEX:02012R0601-20140730&amp;qid=1447163892338&amp;from=EN</t>
  </si>
  <si>
    <t>Article 12 of the MRR sets out specific requirements for the content and submission of the monitoring plan and its updates. Article 12 outlines the importance of the Monitoring plan as follows:</t>
  </si>
  <si>
    <t>The monitoring plan shall consist of a detailed, complete and transparent documentation of the monitoring methodology of a specific installation or aircraft operator and shall contain at least the elements laid down in Annex I.</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</si>
  <si>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</si>
  <si>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</si>
  <si>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</si>
  <si>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All Commission guidance documents on the Monitoring and Reporting Regulation can be found at:</t>
  </si>
  <si>
    <t>http://ec.europa.eu/clima/policies/ets/monitoring/index_en.htm</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</si>
  <si>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</si>
  <si>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Accordingly, all references to Member States in this template should be interpreted as including all 31 EEA States. The EEA comprises the 28 EU Member States, Iceland, Liechtenstein and Norway.</t>
  </si>
  <si>
    <t>Before you use this file, please carry out the following steps:</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</si>
  <si>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</si>
  <si>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</si>
  <si>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 xml:space="preserve">Identify the Competent Authority (CA) responsible for your case in that administering Member State (there may be more than one CA per Member State). </t>
  </si>
  <si>
    <t>Check the CA's webpage or directly contact the CA in order to find out if you have the correct version of the template. The template version is clearly indicated on the cover page of this file.</t>
  </si>
  <si>
    <t>Some Member States may require you to use an alternative system, such as Internet-based forms instead of a spreadsheet. Check your administering Member State requirements. In this case the CA will provide further information to you.</t>
  </si>
  <si>
    <t>Read carefully the instructions below for filling this template.</t>
  </si>
  <si>
    <t>This Monitoring Plan must be submitted to your Competent Authority to the following address:</t>
  </si>
  <si>
    <t>Detail address to be provided by the Member State</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</si>
  <si>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</si>
  <si>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</si>
  <si>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You must implement and keep records of all modifications to the monitoring plan in accordance with Article 16 of the MRR.</t>
  </si>
  <si>
    <t>Contact your Competent Authority if you need assistance to complete your Monitoring Plan. Some Member States have produced guidance documents which you may find useful.</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</si>
  <si>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</si>
  <si>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</si>
  <si>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Information sources:</t>
  </si>
  <si>
    <t>EU Websites:</t>
  </si>
  <si>
    <t>EU-Legislation:</t>
  </si>
  <si>
    <t xml:space="preserve">http://eur-lex.europa.eu/en/index.htm </t>
  </si>
  <si>
    <t>EU ETS general:</t>
  </si>
  <si>
    <t>http://ec.europa.eu/clima/policies/ets/index_en.htm</t>
  </si>
  <si>
    <t xml:space="preserve">Aviation EU ETS: </t>
  </si>
  <si>
    <t>http://ec.europa.eu/clima/policies/transport/aviation/index_en.htm</t>
  </si>
  <si>
    <t xml:space="preserve">Monitoring and Reporting in the EU ETS: </t>
  </si>
  <si>
    <t>Other Websites:</t>
  </si>
  <si>
    <t>&lt;to be provided by Member State&gt;</t>
  </si>
  <si>
    <t>Helpdesk:</t>
  </si>
  <si>
    <t>&lt;to be provided by Member State, if relevant&gt;</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</si>
  <si>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</si>
  <si>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</si>
  <si>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It is recommended that you go through the file from start to end. There are a few functions which will guide you through the form which depend on previous input, such as cells changing colour if an input is not needed (see colour codes below).</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</si>
  <si>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</si>
  <si>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</si>
  <si>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</si>
  <si>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</si>
  <si>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</si>
  <si>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</si>
  <si>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input fields.</t>
  </si>
  <si>
    <t>Green fields show automatically calculated results. Red text indicates error messages (missing data etc.).</t>
  </si>
  <si>
    <t>Shaded fields indicate that an input in another field makes the input here irrelevant.</t>
  </si>
  <si>
    <t>Grey shaded areas should be filled by Member States before publishing customized version of the template.</t>
  </si>
  <si>
    <t>Member State-specific guidance is listed here:</t>
  </si>
  <si>
    <t>A. Monitoring Plan versions</t>
  </si>
  <si>
    <t>List of monitoring plan versions</t>
  </si>
  <si>
    <t>This sheet is used for tracking the actual version of the monitoring plan. Each version of the monitoring plan should have a unique version number, and a reference date.</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</si>
  <si>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</si>
  <si>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The status of the monitoring plan at the reference date should be described in the "status" column. Possible status types include "submitted to the competent authority (CA)", "approved by the CA", "working draft" etc.</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</si>
  <si>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</si>
  <si>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Version No</t>
  </si>
  <si>
    <t>Reference date</t>
  </si>
  <si>
    <t>Status at reference date</t>
  </si>
  <si>
    <t>Chapters where modifications have been made. 
Brief explanation of changes</t>
  </si>
  <si>
    <t>Please add more lines if necessary</t>
  </si>
  <si>
    <t>IDENTIFICATION OF THE AIRCRAFT OPERATOR AND DESCRIPTION OF ACTIVITIES</t>
  </si>
  <si>
    <t>Identification of Aircraft Operator</t>
  </si>
  <si>
    <t>Please enter the name of the aircraft operator:</t>
  </si>
  <si>
    <t>This name should be the legal entity carrying out the aviation activities defined in Annex I of the EU ETS Directive</t>
  </si>
  <si>
    <t>Unique Identifier as stated in the Commission's list of aircraft operators:</t>
  </si>
  <si>
    <t>This identifier can be found on the list published by the Commission pursuant to Article 18a(3) of the EU ETS Directive.</t>
  </si>
  <si>
    <t>Please choose the primary monitoring plan:</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</si>
  <si>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</si>
  <si>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Is this a new or an updated monitoring plan?</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</si>
  <si>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</si>
  <si>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</si>
  <si>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t>Actual version number of the monitoring plan</t>
  </si>
  <si>
    <t>Note: This number will also be displayed on the cover page of this file. It should be consistent with your entry in section 1.</t>
  </si>
  <si>
    <t>&lt;&lt;&lt; If you have selected the t-km monitoring plan under 2(c), click here to proceed to section 3a &gt;&gt;&gt;</t>
  </si>
  <si>
    <t>If different to the name given in 2(a), please also enter the name of the aircraft operator as it appears on the Commission's list of operators:</t>
  </si>
  <si>
    <t>The name of the aircraft operator on the list pursuant to Article 18a(3) of the EU ETS Directive may be different to the actual aircraft operator's name entered in 2(a) above.</t>
  </si>
  <si>
    <t>Please enter the unique ICAO designator used in the call sign for Air Traffic Control (ATC) purposes, where available:</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</si>
  <si>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</si>
  <si>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Where a unique ICAO designator for ATC purposes is not available, please provide the aircraft registration markings used in the call sign for ATC purposes for the aircraft you operate.</t>
  </si>
  <si>
    <t>If a unique ICAO designator is not available, enter the identification for ATC purposes (tail numbers) of all the aircraft you operate as used in box 7 of the flight plan.  (Please separate each registration with a semicolon.) Otherwise enter "n.a." and proceed.</t>
  </si>
  <si>
    <t>Please enter the administering Member State of the aircraft operator</t>
  </si>
  <si>
    <t>pursuant to Art. 18a of the Directive.</t>
  </si>
  <si>
    <t>Competent authority in this Member State:</t>
  </si>
  <si>
    <t>In some Member States there is more than one Competent Authority dealing with the EU ETS for aircraft operators. Please enter the name of the appropriate authority, if applicable. Otherwise choose "n.a.".</t>
  </si>
  <si>
    <t>Please enter the number and issuing authority of the Air Operator Certificate (AOC) and Operating Licence granted by a Member State if available:</t>
  </si>
  <si>
    <t>Air Operator Certificate:</t>
  </si>
  <si>
    <t>AOC Issuing authority:</t>
  </si>
  <si>
    <t>Operating Licence:</t>
  </si>
  <si>
    <t>Issuing authority:</t>
  </si>
  <si>
    <t>Please enter the address of the aircraft operator, including postcode and country:</t>
  </si>
  <si>
    <t>Address Line 1</t>
  </si>
  <si>
    <t>Address Line 2</t>
  </si>
  <si>
    <t>City</t>
  </si>
  <si>
    <t>State/Province/Region</t>
  </si>
  <si>
    <t>Postcode/ZIP</t>
  </si>
  <si>
    <t>Country</t>
  </si>
  <si>
    <t>Email address</t>
  </si>
  <si>
    <t>If different to the information given above in part (k), please enter the contact address of the aircraft operator (including postcode) in the administering Member State, if any:</t>
  </si>
  <si>
    <t>Please provide details of the ownership structure of your firm and whether you have subsidiaries or parent companies</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</si>
  <si>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</si>
  <si>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note that your Administering Member State may ask you further details about contact addresses and company structure (see worksheet "MS specific content").</t>
  </si>
  <si>
    <t>Description of the activities of the aircraft operator falling under Annex I of the EU ETS Directive</t>
  </si>
  <si>
    <t>Please specify whether you are a commercial or non-commercial air transport operator, whether you operate scheduled, non-scheduled flights or both and, whether the scope of your operations covers only the EEA or also non EEA countries.</t>
  </si>
  <si>
    <t>Operator status</t>
  </si>
  <si>
    <t>Commercial air transport operators: Please attach a copy of Annex I of your AOC to this monitoring plan as evidence.</t>
  </si>
  <si>
    <t>Scheduling of flights</t>
  </si>
  <si>
    <t>Scope of operations</t>
  </si>
  <si>
    <t>Please provide further description of your activities as necessary.</t>
  </si>
  <si>
    <t xml:space="preserve"> Contact details and Address for Service</t>
  </si>
  <si>
    <t>Who can we contact about your monitoring plan?</t>
  </si>
  <si>
    <t>It will help us to have someone who we can contact directly with any questions about your monitoring plan. The person you name should have the authority to act on your behalf. This could be an agent acting on behalf of the aircraft operator.</t>
  </si>
  <si>
    <t>Title:</t>
  </si>
  <si>
    <t>First Name:</t>
  </si>
  <si>
    <t>Surname:</t>
  </si>
  <si>
    <t>Job title:</t>
  </si>
  <si>
    <t>Organisation name (if acting on behalf of the aircraft operator):</t>
  </si>
  <si>
    <t>Telephone number:</t>
  </si>
  <si>
    <t>Email address:</t>
  </si>
  <si>
    <t>&lt;&lt;&lt; If you have selected the t-km monitoring plan under 2(c), click here to proceed to section 4 &gt;&gt;&gt;</t>
  </si>
  <si>
    <t>Please provide an address for receipt of correspondence</t>
  </si>
  <si>
    <t xml:space="preserve">
</t>
  </si>
  <si>
    <t>You must provide an address for receipt of notices or other documents under or in connection with the EU Greenhouse Gas Emissions Trading Scheme. Please provide an electronic address and a postal address, if applicable, within the administering Member State.</t>
  </si>
  <si>
    <t>Address Line 1:</t>
  </si>
  <si>
    <t>Address Line 2:</t>
  </si>
  <si>
    <t>City:</t>
  </si>
  <si>
    <t>State/Province/Region:</t>
  </si>
  <si>
    <t>Postcode/ZIP:</t>
  </si>
  <si>
    <t>Country:</t>
  </si>
  <si>
    <t>&lt;&lt;&lt; Click here to proceed to next section &gt;&gt;&gt;</t>
  </si>
  <si>
    <t>EMISSION SOURCES and FLEET CHARACTERISTICS</t>
  </si>
  <si>
    <t>About your operations</t>
  </si>
  <si>
    <t>Under 2(c) you have chosen:</t>
  </si>
  <si>
    <r>
      <t xml:space="preserve">Please provide a list of the aircraft types operated at the </t>
    </r>
    <r>
      <rPr>
        <b/>
        <u/>
        <sz val="10"/>
        <rFont val="Arial"/>
        <family val="2"/>
      </rPr>
      <t>time of submission of this monitoring plan</t>
    </r>
    <r>
      <rPr>
        <b/>
        <sz val="10"/>
        <rFont val="Arial"/>
        <family val="2"/>
      </rPr>
      <t>.</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</si>
  <si>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</si>
  <si>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</si>
  <si>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</si>
  <si>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For each aircraft type you have to specify which fuels will be used (which "source streams" will be associated with the emission sources). You can do that by entering "1" or "TRUE" in the appropriate fields. Leave the field blank if the fuel is not used.</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</si>
  <si>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</si>
  <si>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t>Date of submission of monitoring plan:</t>
  </si>
  <si>
    <t xml:space="preserve">
Generic aircraft type 
(ICAO aircraft type designator)</t>
  </si>
  <si>
    <t xml:space="preserve">
Sub-type (optional input)</t>
  </si>
  <si>
    <t xml:space="preserve">
Number of aircraft operated at time of submission</t>
  </si>
  <si>
    <t>jet kerosene
(Jet A1 or Jet A)</t>
  </si>
  <si>
    <t>jet gasoline 
(Jet B)</t>
  </si>
  <si>
    <t>aviation gasoline (AvGas)</t>
  </si>
  <si>
    <t>other alternative fuel</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</si>
  <si>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</si>
  <si>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</si>
  <si>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Please provide an indicative list of additional aircraft types expected to be used.</t>
  </si>
  <si>
    <t xml:space="preserve">Please note that this list should not include any of the aircraft listed in table 4(a) above.  Where available, please also provide an estimated number of aircraft per type, either as a number or an indicative range. </t>
  </si>
  <si>
    <t xml:space="preserve">
Estimated number of aircraft to be operated</t>
  </si>
  <si>
    <t>&lt;&lt;&lt; If you have chosen the t-km monitoring plan, click here to continue with section 4(f). &gt;&gt;&gt;</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</si>
  <si>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</si>
  <si>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</si>
  <si>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</si>
  <si>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</si>
  <si>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t>Title of procedure</t>
  </si>
  <si>
    <t>Reference for procedure</t>
  </si>
  <si>
    <t xml:space="preserve">
</t>
  </si>
  <si>
    <t>Brief description of procedure</t>
  </si>
  <si>
    <t>Post or department responsible for data maintenance</t>
  </si>
  <si>
    <t>Location where records are kept</t>
  </si>
  <si>
    <t>Name of system used (where applicable)</t>
  </si>
  <si>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</si>
  <si>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</si>
  <si>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</si>
  <si>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</si>
  <si>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t>Please provide details about the procedures for determining whether flights are covered by Annex I of the Directive, ensuring completeness and avoiding double counting.</t>
  </si>
  <si>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</si>
  <si>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</si>
  <si>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rFont val="Arial"/>
        <family val="2"/>
      </rPr>
      <t>2</t>
    </r>
    <r>
      <rPr>
        <b/>
        <sz val="10"/>
        <rFont val="Arial"/>
        <family val="2"/>
      </rPr>
      <t xml:space="preserve"> emissions for Annex 1 activities.</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</si>
  <si>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</si>
  <si>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t>The figure should only include those flights, which are covered by EU ETS.</t>
  </si>
  <si>
    <r>
      <t>tonnes CO</t>
    </r>
    <r>
      <rPr>
        <b/>
        <vertAlign val="subscript"/>
        <sz val="8"/>
        <rFont val="Arial"/>
        <family val="2"/>
      </rPr>
      <t>2</t>
    </r>
  </si>
  <si>
    <r>
      <t>tonnes CO</t>
    </r>
    <r>
      <rPr>
        <b/>
        <vertAlign val="subscript"/>
        <sz val="8"/>
        <color theme="0" tint="-0.34998626667073579"/>
        <rFont val="Arial"/>
        <family val="2"/>
      </rPr>
      <t>2</t>
    </r>
  </si>
  <si>
    <t>Eligibility for simplified procedures for small emitters</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</si>
  <si>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</si>
  <si>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</si>
  <si>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</si>
  <si>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&lt;&lt;&lt; If you have chosen "False", please continue directly to section 6. &gt;&gt;&gt;</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</si>
  <si>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</si>
  <si>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</si>
  <si>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</si>
  <si>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</si>
  <si>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t>&lt;&lt;&lt; Click here to proceed to section 9 "Simplified Calculation" &gt;&gt;&gt;</t>
  </si>
  <si>
    <r>
      <t>CALCULATION OF CO</t>
    </r>
    <r>
      <rPr>
        <b/>
        <vertAlign val="subscript"/>
        <sz val="14"/>
        <rFont val="Arial"/>
        <family val="2"/>
      </rPr>
      <t>2</t>
    </r>
    <r>
      <rPr>
        <b/>
        <sz val="14"/>
        <rFont val="Arial"/>
        <family val="2"/>
      </rPr>
      <t xml:space="preserve"> EMISSIONS </t>
    </r>
  </si>
  <si>
    <r>
      <t>CALCULATION OF CO</t>
    </r>
    <r>
      <rPr>
        <b/>
        <vertAlign val="subscript"/>
        <sz val="14"/>
        <color theme="0" tint="-0.34998626667073579"/>
        <rFont val="Arial"/>
        <family val="2"/>
      </rPr>
      <t>2</t>
    </r>
    <r>
      <rPr>
        <b/>
        <sz val="14"/>
        <color theme="0" tint="-0.34998626667073579"/>
        <rFont val="Arial"/>
        <family val="2"/>
      </rPr>
      <t xml:space="preserve"> EMISSIONS </t>
    </r>
  </si>
  <si>
    <t>&lt;&lt;&lt; Go to Section 9 if eligible for simplified calculation &gt;&gt;&gt;</t>
  </si>
  <si>
    <r>
      <t xml:space="preserve">Please specify the methodology used to measure fuel consumption for </t>
    </r>
    <r>
      <rPr>
        <b/>
        <u/>
        <sz val="10"/>
        <rFont val="Arial"/>
        <family val="2"/>
      </rPr>
      <t>each aircraft type</t>
    </r>
    <r>
      <rPr>
        <b/>
        <sz val="10"/>
        <rFont val="Arial"/>
        <family val="2"/>
      </rPr>
      <t>.</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</si>
  <si>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</si>
  <si>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t>In each case, the method chosen should provide for the most complete and timely data combined with the lowest uncertainty without incurring unreasonable costs. 
Note that the Aircraft types are automatically taken from section 4(a).</t>
  </si>
  <si>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</si>
  <si>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</si>
  <si>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</si>
  <si>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</si>
  <si>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Generic aircraft type (ICAO aircraft type designator) and sub-type</t>
  </si>
  <si>
    <t>Method (A/B)</t>
  </si>
  <si>
    <t>Data source used to determine fuel uplift</t>
  </si>
  <si>
    <t>Methods for transmitting, storing and retrieving data</t>
  </si>
  <si>
    <t>Please continue on a separate sheet as required.</t>
  </si>
  <si>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</si>
  <si>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</si>
  <si>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t xml:space="preserve">
</t>
  </si>
  <si>
    <r>
      <t xml:space="preserve">Please provide details about the procedure to be used for defining the monitoring methodology for </t>
    </r>
    <r>
      <rPr>
        <b/>
        <u/>
        <sz val="10"/>
        <rFont val="Arial"/>
        <family val="2"/>
      </rPr>
      <t>additional aircraft types</t>
    </r>
    <r>
      <rPr>
        <b/>
        <sz val="10"/>
        <rFont val="Arial"/>
        <family val="2"/>
      </rPr>
      <t>.</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</si>
  <si>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</si>
  <si>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</si>
  <si>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r>
      <t>Name of system</t>
    </r>
    <r>
      <rPr>
        <sz val="8"/>
        <rFont val="Arial"/>
        <family val="2"/>
      </rPr>
      <t xml:space="preserve"> used (where applicable).</t>
    </r>
  </si>
  <si>
    <r>
      <t>Name of system</t>
    </r>
    <r>
      <rPr>
        <sz val="8"/>
        <color theme="0" tint="-0.34998626667073579"/>
        <rFont val="Arial"/>
        <family val="2"/>
      </rPr>
      <t xml:space="preserve"> used (where applicable).</t>
    </r>
  </si>
  <si>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</si>
  <si>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</si>
  <si>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</si>
  <si>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</si>
  <si>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Generic aircraft type (ICAO aircraft type designator)  and sub-type</t>
  </si>
  <si>
    <t>Method to determine actual density values of fuel uplifts</t>
  </si>
  <si>
    <t>Method to determine actual density values of fuel in tanks</t>
  </si>
  <si>
    <t>Justification for using standard value if measurement is not feasible, and other remarks</t>
  </si>
  <si>
    <t>Please continue on a separate sheet if required.</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</si>
  <si>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</si>
  <si>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</si>
  <si>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</si>
  <si>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</si>
  <si>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</si>
  <si>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Type of deviation</t>
  </si>
  <si>
    <t>Justification of special circumstances</t>
  </si>
  <si>
    <t>Aerodromes for which deviation applies</t>
  </si>
  <si>
    <t>Uncertainty Assessment</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</si>
  <si>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</si>
  <si>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</si>
  <si>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</si>
  <si>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Uncertainty of measurement of fuel remaining in the tank</t>
  </si>
  <si>
    <t>Are fuel uplifts determined solely by the invoiced quantity of fuel or other appropriate information provided by the supplier?</t>
  </si>
  <si>
    <t>If no:</t>
  </si>
  <si>
    <t>Measurement equipment
uncertainty
(+/-%)</t>
  </si>
  <si>
    <t>Location of evidence of routine checks of the fuel measurement systems</t>
  </si>
  <si>
    <t>Please identify the main sources of uncertainty and their associated levels of uncertainty for your fuel consumption measurements.</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</si>
  <si>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</si>
  <si>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Source of uncertainty</t>
  </si>
  <si>
    <t>Level of uncertainty</t>
  </si>
  <si>
    <t>Comments on level of uncertainty</t>
  </si>
  <si>
    <t>Please provide details about the uncertainty threshold you intend to meet for each source stream (fuel type).</t>
  </si>
  <si>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</si>
  <si>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</si>
  <si>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</si>
  <si>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Source stream (Fuel type)</t>
  </si>
  <si>
    <r>
      <t>Estimated annual fossil CO</t>
    </r>
    <r>
      <rPr>
        <b/>
        <vertAlign val="subscript"/>
        <sz val="8"/>
        <rFont val="Arial"/>
        <family val="2"/>
      </rPr>
      <t>2</t>
    </r>
    <r>
      <rPr>
        <b/>
        <sz val="8"/>
        <rFont val="Arial"/>
        <family val="2"/>
      </rPr>
      <t xml:space="preserve"> emissions from each fuel</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</si>
  <si>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</si>
  <si>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rFont val="Arial"/>
        <family val="2"/>
      </rPr>
      <t>2</t>
    </r>
    <r>
      <rPr>
        <b/>
        <sz val="8"/>
        <rFont val="Arial"/>
        <family val="2"/>
      </rPr>
      <t xml:space="preserve"> emissions </t>
    </r>
  </si>
  <si>
    <r>
      <t>% of total estimated CO</t>
    </r>
    <r>
      <rPr>
        <b/>
        <vertAlign val="subscript"/>
        <sz val="8"/>
        <color theme="0" tint="-0.34998626667073579"/>
        <rFont val="Arial"/>
        <family val="2"/>
      </rPr>
      <t>2</t>
    </r>
    <r>
      <rPr>
        <b/>
        <sz val="8"/>
        <color theme="0" tint="-0.34998626667073579"/>
        <rFont val="Arial"/>
        <family val="2"/>
      </rPr>
      <t xml:space="preserve"> emissions </t>
    </r>
  </si>
  <si>
    <t>Source stream classification</t>
  </si>
  <si>
    <t>Fuel consumption uncertainty</t>
  </si>
  <si>
    <t>Tier number</t>
  </si>
  <si>
    <t>Std Fuels</t>
  </si>
  <si>
    <t>Alternatives</t>
  </si>
  <si>
    <t>Biofuels</t>
  </si>
  <si>
    <t>Total for all fuel types:</t>
  </si>
  <si>
    <t>Estimate given under section 4(f):</t>
  </si>
  <si>
    <t>Difference:</t>
  </si>
  <si>
    <t>Please provide evidence that each source stream meets the overall uncertainty threshold as stipulated in table 7(c) above.</t>
  </si>
  <si>
    <t>Evidence may be in the form of manufacturer or fuel supplier specifications.</t>
  </si>
  <si>
    <t>Please reference the file/document attached to your monitoring plan in the box below.</t>
  </si>
  <si>
    <t>Complete the following table with information about the procedure used to ensure that the total uncertainty of fuel measurements will comply with the requirements of the selected tier.</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</si>
  <si>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</si>
  <si>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Complete the following table with information about the procedure used to ensure regular cross-checks between uplift quantity as provided by invoices and uplift quantity indicated by on-board measurement.</t>
  </si>
  <si>
    <t>Where deviations are observed, corrective actions must be taken in accordance with Article 63 of the MRR.</t>
  </si>
  <si>
    <t>Please confirm that you will use the following standard emission factors for commercial standard aviation fuels</t>
  </si>
  <si>
    <t>Type of aviation fuel</t>
  </si>
  <si>
    <t>Default IPCC value
(tonnes CO2 /tonne fuel)</t>
  </si>
  <si>
    <t>Confirm</t>
  </si>
  <si>
    <t>If applicable, please provide a description of the procedure used to determine the emission factors, net calorific values and biomass content of alternative fuels (source streams).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</si>
  <si>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</si>
  <si>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</si>
  <si>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</si>
  <si>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t>For each source stream, succinctly describe the approach to be used for sampling fuels and materials for the determination of emission factor, net calorific value and biomass content  for each fuel or material batch</t>
  </si>
  <si>
    <t>Source stream (fuel type)</t>
  </si>
  <si>
    <t>Parameter</t>
  </si>
  <si>
    <t>Description</t>
  </si>
  <si>
    <t>conform with Standard (EN, ISO,...)</t>
  </si>
  <si>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</si>
  <si>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</si>
  <si>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t>For each source stream, succinctly describe the approach to be used for analysing fuels and materials for the determination of emission factor, net calorific value and biomass content for each fuel or material batch (if applicable to the selected tier).</t>
  </si>
  <si>
    <t>conform with Standard (EN, ISO...)</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</si>
  <si>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</si>
  <si>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Name of laboratory</t>
  </si>
  <si>
    <t>Analytical procedures</t>
  </si>
  <si>
    <t>Is laboratory EN ISO/IEC17025 accredited for this analysis?</t>
  </si>
  <si>
    <t>If no, reference evidence to be submitted</t>
  </si>
  <si>
    <r>
      <t>SIMPLIFIED CALCULATION OF CO</t>
    </r>
    <r>
      <rPr>
        <b/>
        <vertAlign val="subscript"/>
        <sz val="14"/>
        <rFont val="Arial"/>
        <family val="2"/>
      </rPr>
      <t>2</t>
    </r>
    <r>
      <rPr>
        <b/>
        <sz val="14"/>
        <rFont val="Arial"/>
        <family val="2"/>
      </rPr>
      <t xml:space="preserve"> EMISSIONS</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</si>
  <si>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</si>
  <si>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t>Simplified calculation</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</si>
  <si>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</si>
  <si>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Entries here are only required / allowed if you have entered in section 5(b) that you intend to use simplified procedures to estimate fuel consumption.</t>
  </si>
  <si>
    <t>Please specify the name or reference of the Commission approved tool used to estimate fuel consumption.</t>
  </si>
  <si>
    <t>Please confirm that the following standard emission factors for commercial standard aviation fuels will be used to calculate emissions</t>
  </si>
  <si>
    <r>
      <t>Default IPCC value (tCO</t>
    </r>
    <r>
      <rPr>
        <b/>
        <vertAlign val="subscript"/>
        <sz val="8"/>
        <rFont val="Arial"/>
        <family val="2"/>
      </rPr>
      <t xml:space="preserve">2 </t>
    </r>
    <r>
      <rPr>
        <b/>
        <sz val="8"/>
        <rFont val="Arial"/>
        <family val="2"/>
      </rPr>
      <t>/ t)</t>
    </r>
  </si>
  <si>
    <r>
      <t>Default IPCC value (tCO</t>
    </r>
    <r>
      <rPr>
        <b/>
        <vertAlign val="subscript"/>
        <sz val="8"/>
        <color theme="0" tint="-0.34998626667073579"/>
        <rFont val="Arial"/>
        <family val="2"/>
      </rPr>
      <t xml:space="preserve">2 </t>
    </r>
    <r>
      <rPr>
        <b/>
        <sz val="8"/>
        <color theme="0" tint="-0.34998626667073579"/>
        <rFont val="Arial"/>
        <family val="2"/>
      </rPr>
      <t>/ t)</t>
    </r>
  </si>
  <si>
    <t>If using an alternative fuel (including biofuel), please outline the proposed emission factor and net calorific value to be used and justify the methodology used.</t>
  </si>
  <si>
    <t>&lt;&lt;&lt; Click here to proceed to section 11 "Management" &gt;&gt;&gt;</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</si>
  <si>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</si>
  <si>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a brief description of the method to be used to estimate fuel consumption when data is missing according to the conditions as outlined above.</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</si>
  <si>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</si>
  <si>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a short description of the methodology to treat data gaps regarding other parameters than fuel consumption, if applicable.</t>
  </si>
  <si>
    <t>DESCRIPTION OF PROCEDURES FOR DATA MANAGEMENT AND CONTROL ACTIVITIES</t>
  </si>
  <si>
    <t>Please identify the responsibilities for monitoring and reporting (Article 61 of the MRR)</t>
  </si>
  <si>
    <t>Please identify the relevant job titles/posts and provide a succinct summary of their role relevant to monitoring and reporting. Only those with overall responsibility and other key roles should be listed below (i.e. do not include delegated responsibilities)</t>
  </si>
  <si>
    <t>These could be outlined in a tree diagram or organisational chart attached to your submission</t>
  </si>
  <si>
    <t>Job title/post</t>
  </si>
  <si>
    <t>Responsibilities</t>
  </si>
  <si>
    <t>Please provide details about the procedure for managing the assignment of responsibilities and competences of personnel responsible for monitoring and reporting, in accordance with Article 58(3)(c) of the MRR.</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</si>
  <si>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</si>
  <si>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Please provide details about the procedure for regular evaluation of the monitoring plan's appropriateness, covering in particular any potential measures for the improvement of the monitoring methodology.</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</si>
  <si>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</si>
  <si>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Please provide details about the procedures of the data flow activities that ensure data reported under EU ETS does not contain misstatements and is in conformance with the approved plan and Regulation.</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</si>
  <si>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</si>
  <si>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</si>
  <si>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</si>
  <si>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Diagram reference</t>
    </r>
    <r>
      <rPr>
        <sz val="8"/>
        <color theme="0" tint="-0.34998626667073579"/>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</si>
  <si>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</si>
  <si>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</si>
  <si>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rFont val="Arial"/>
        <family val="2"/>
      </rPr>
      <t xml:space="preserve"> used (where applicable).</t>
    </r>
  </si>
  <si>
    <r>
      <t>Name of IT system</t>
    </r>
    <r>
      <rPr>
        <sz val="8"/>
        <color theme="0" tint="-0.34998626667073579"/>
        <rFont val="Arial"/>
        <family val="2"/>
      </rPr>
      <t xml:space="preserve"> used (where applicable).</t>
    </r>
  </si>
  <si>
    <r>
      <t>List of EN</t>
    </r>
    <r>
      <rPr>
        <sz val="8"/>
        <rFont val="Arial"/>
        <family val="2"/>
      </rPr>
      <t xml:space="preserve"> or other </t>
    </r>
    <r>
      <rPr>
        <u/>
        <sz val="8"/>
        <rFont val="Arial"/>
        <family val="2"/>
      </rPr>
      <t>standards</t>
    </r>
    <r>
      <rPr>
        <sz val="8"/>
        <rFont val="Arial"/>
        <family val="2"/>
      </rPr>
      <t xml:space="preserve"> applied (where relevant)</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</si>
  <si>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</si>
  <si>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rFont val="Arial"/>
        <family val="2"/>
      </rPr>
      <t>primary data sources</t>
    </r>
  </si>
  <si>
    <r>
      <t xml:space="preserve">List of </t>
    </r>
    <r>
      <rPr>
        <u/>
        <sz val="8"/>
        <color theme="0" tint="-0.34998626667073579"/>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</si>
  <si>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</si>
  <si>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</si>
  <si>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t>Please attach a representation of the data flow for the calculation of emissions, including responsibility for retrieving and storing each type of data.  If necessary, please refer to additional information, submitted with your completed plan.</t>
  </si>
  <si>
    <t>Control activities</t>
  </si>
  <si>
    <t>Please provide details about the procedures used to assess inherent risks and control risks.</t>
  </si>
  <si>
    <t>The brief description should identify how the assessments of inherent risks ("errors") and control risks ("slips") are undertaken when establishing an effective control system.</t>
  </si>
  <si>
    <t>Please provide details about the procedures used to ensure quality assurance of measuring equipment and information technology used for data flow activities.</t>
  </si>
  <si>
    <t>The brief description should identify how all relevant measurement equipment is calibrated or checked at regular intervals, if applicable, and how information technology is tested and controlled, including access control, back-up, recovery and security.</t>
  </si>
  <si>
    <t>Please provide details about the procedures used to ensure regular internal reviews and validation of data.</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</si>
  <si>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</si>
  <si>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Please provide details about the procedures used to handle corrections and corrective actions.</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</si>
  <si>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</si>
  <si>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</si>
  <si>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</si>
  <si>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provide details about the procedures used to manage record keeping and documentation.</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</si>
  <si>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</si>
  <si>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</si>
  <si>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</si>
  <si>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Does your organisation have a documented environmental</t>
    </r>
    <r>
      <rPr>
        <b/>
        <sz val="10"/>
        <color indexed="10"/>
        <rFont val="Arial"/>
        <family val="2"/>
      </rPr>
      <t xml:space="preserve"> </t>
    </r>
    <r>
      <rPr>
        <b/>
        <sz val="10"/>
        <rFont val="Arial"/>
        <family val="2"/>
      </rPr>
      <t>management system?  Please choose the most relevant response.</t>
    </r>
  </si>
  <si>
    <t>Does your organisation have a documented environmental management system?  Please choose the most relevant response.</t>
  </si>
  <si>
    <t>If the Environmental Management System is certified by an accredited organisation and the system incorporates procedures relevant to EU ETS monitoring and reporting, please specify to which standard e.g. ISO14001, EMAS, etc.</t>
  </si>
  <si>
    <t>Please list any abbreviations, acronyms or definitions that you have used in completing this monitoring plan.</t>
  </si>
  <si>
    <t>Abbreviation</t>
  </si>
  <si>
    <t>Definition</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</si>
  <si>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</si>
  <si>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</si>
  <si>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provide file name(s) (if in an electronic format) or document reference number(s) (if hard copy) below:</t>
  </si>
  <si>
    <t>File name/Reference</t>
  </si>
  <si>
    <t>Document description</t>
  </si>
  <si>
    <t>Comments</t>
  </si>
  <si>
    <t>Space for further Comments:</t>
  </si>
  <si>
    <t>Please select</t>
  </si>
  <si>
    <t>Austria</t>
  </si>
  <si>
    <t>Belgium</t>
  </si>
  <si>
    <t>Bulgaria</t>
  </si>
  <si>
    <t>Croatia</t>
  </si>
  <si>
    <t>Cyprus</t>
  </si>
  <si>
    <t>Czechia</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</si>
  <si>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</si>
  <si>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</si>
  <si>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</si>
  <si>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</si>
  <si>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</si>
  <si>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</si>
  <si>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</si>
  <si>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</si>
  <si>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</si>
  <si>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</si>
  <si>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</si>
  <si>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</si>
  <si>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</si>
  <si>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</si>
  <si>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</si>
  <si>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</si>
  <si>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</si>
  <si>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</si>
  <si>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</si>
  <si>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</si>
  <si>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</si>
  <si>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</si>
  <si>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</si>
  <si>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</si>
  <si>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</si>
  <si>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Afghanistan</t>
  </si>
  <si>
    <t>Albania</t>
  </si>
  <si>
    <t>Algeria</t>
  </si>
  <si>
    <t>American Samoa</t>
  </si>
  <si>
    <t>Andorra</t>
  </si>
  <si>
    <t>Angola</t>
  </si>
  <si>
    <t>Anguilla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</si>
  <si>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</si>
  <si>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</si>
  <si>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</si>
  <si>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</si>
  <si>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</si>
  <si>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</si>
  <si>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</si>
  <si>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</si>
  <si>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</si>
  <si>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</si>
  <si>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</si>
  <si>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</si>
  <si>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</si>
  <si>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</si>
  <si>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</si>
  <si>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</si>
  <si>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Bosnia and Herzegovina</t>
  </si>
  <si>
    <t>Botswana</t>
  </si>
  <si>
    <t>Brazil</t>
  </si>
  <si>
    <t>Virgin Islands, British</t>
  </si>
  <si>
    <t>Brunei Darussalam</t>
  </si>
  <si>
    <t>Burkina Faso</t>
  </si>
  <si>
    <t>Burundi</t>
  </si>
  <si>
    <t>Cambodia</t>
  </si>
  <si>
    <t>Cameroon</t>
  </si>
  <si>
    <t>Canada</t>
  </si>
  <si>
    <t>Cape Verde</t>
  </si>
  <si>
    <t>Cayman Islands</t>
  </si>
  <si>
    <t>Central African Republic</t>
  </si>
  <si>
    <t>Chad</t>
  </si>
  <si>
    <t>Channel Islands</t>
  </si>
  <si>
    <t>Chile</t>
  </si>
  <si>
    <t>China</t>
  </si>
  <si>
    <t>Hong Kong SAR</t>
  </si>
  <si>
    <t>Macao SAR</t>
  </si>
  <si>
    <t>Colombia</t>
  </si>
  <si>
    <t>Comoros</t>
  </si>
  <si>
    <t>Congo</t>
  </si>
  <si>
    <t>Cook Islands</t>
  </si>
  <si>
    <t>Costa Rica</t>
  </si>
  <si>
    <t>Côte d'Ivoire</t>
  </si>
  <si>
    <t>Cuba</t>
  </si>
  <si>
    <t>Korea, Democratic People's Republic of</t>
  </si>
  <si>
    <t>Congo, The Democratic Republic of the</t>
  </si>
  <si>
    <t>Djibouti</t>
  </si>
  <si>
    <t>Dominica</t>
  </si>
  <si>
    <t>Dominican Republic</t>
  </si>
  <si>
    <t>Ecuador</t>
  </si>
  <si>
    <t>Egypt</t>
  </si>
  <si>
    <t>El Salvador</t>
  </si>
  <si>
    <t>Equatorial Guinea</t>
  </si>
  <si>
    <t>Eritrea</t>
  </si>
  <si>
    <t>Ethiopia</t>
  </si>
  <si>
    <t>Faroe Islands</t>
  </si>
  <si>
    <t>Falkland Islands (Malvinas)</t>
  </si>
  <si>
    <t>Fiji</t>
  </si>
  <si>
    <t>French Guiana</t>
  </si>
  <si>
    <t>French Polynesia</t>
  </si>
  <si>
    <t>Gabon</t>
  </si>
  <si>
    <t>Gambia</t>
  </si>
  <si>
    <t>Georgia</t>
  </si>
  <si>
    <t>Ghana</t>
  </si>
  <si>
    <t>Gibraltar</t>
  </si>
  <si>
    <t>Greenland</t>
  </si>
  <si>
    <t>Grenada</t>
  </si>
  <si>
    <t>Guadeloupe</t>
  </si>
  <si>
    <t>Guam</t>
  </si>
  <si>
    <t>Guatemala</t>
  </si>
  <si>
    <t>Guernsey</t>
  </si>
  <si>
    <t>Guinea</t>
  </si>
  <si>
    <t>Guinea-Bissau</t>
  </si>
  <si>
    <t>Guyana</t>
  </si>
  <si>
    <t>Haiti</t>
  </si>
  <si>
    <t>Holy See (Vatican City State)</t>
  </si>
  <si>
    <t>Honduras</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</si>
  <si>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</si>
  <si>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</si>
  <si>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</si>
  <si>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</si>
  <si>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</si>
  <si>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</si>
  <si>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</si>
  <si>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</si>
  <si>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</si>
  <si>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</si>
  <si>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</si>
  <si>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</si>
  <si>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</si>
  <si>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</si>
  <si>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</si>
  <si>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</si>
  <si>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</si>
  <si>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</si>
  <si>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</si>
  <si>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Libya</t>
  </si>
  <si>
    <t>Madagascar</t>
  </si>
  <si>
    <t>Malawi</t>
  </si>
  <si>
    <t>Malaysia</t>
  </si>
  <si>
    <t>Maldives</t>
  </si>
  <si>
    <t>Mali</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</si>
  <si>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</si>
  <si>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</si>
  <si>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</si>
  <si>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</si>
  <si>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</si>
  <si>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</si>
  <si>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</si>
  <si>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</si>
  <si>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</si>
  <si>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</si>
  <si>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</si>
  <si>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</si>
  <si>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</si>
  <si>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</si>
  <si>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</si>
  <si>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</si>
  <si>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</si>
  <si>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</si>
  <si>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</si>
  <si>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</si>
  <si>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</si>
  <si>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</si>
  <si>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</si>
  <si>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</si>
  <si>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</si>
  <si>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</si>
  <si>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Palestinian Territory, Occupied</t>
  </si>
  <si>
    <t>Oman</t>
  </si>
  <si>
    <t>Pakistan</t>
  </si>
  <si>
    <t>Palau</t>
  </si>
  <si>
    <t>Panama</t>
  </si>
  <si>
    <t>Papua New Guinea</t>
  </si>
  <si>
    <t>Paraguay</t>
  </si>
  <si>
    <t>Peru</t>
  </si>
  <si>
    <t>Philippines</t>
  </si>
  <si>
    <t>Pitcairn</t>
  </si>
  <si>
    <t>Puerto Rico</t>
  </si>
  <si>
    <t>Qatar</t>
  </si>
  <si>
    <t>Korea, Republic of</t>
  </si>
  <si>
    <t>Moldova, Republic of</t>
  </si>
  <si>
    <t>Réunion</t>
  </si>
  <si>
    <t>Russian Federation</t>
  </si>
  <si>
    <t>Rwanda</t>
  </si>
  <si>
    <t>Saint Barthélemy</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</si>
  <si>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</si>
  <si>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</si>
  <si>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</si>
  <si>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</si>
  <si>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</si>
  <si>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</si>
  <si>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</si>
  <si>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</si>
  <si>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</si>
  <si>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</si>
  <si>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</si>
  <si>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</si>
  <si>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</si>
  <si>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</si>
  <si>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</si>
  <si>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</si>
  <si>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</si>
  <si>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</si>
  <si>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</si>
  <si>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</si>
  <si>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</si>
  <si>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</si>
  <si>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</si>
  <si>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</si>
  <si>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</si>
  <si>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</si>
  <si>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</si>
  <si>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Macedonia, The Former Yugoslav Republic of</t>
  </si>
  <si>
    <t>Timor-Leste</t>
  </si>
  <si>
    <t>Togo</t>
  </si>
  <si>
    <t>Tokelau</t>
  </si>
  <si>
    <t>Tonga</t>
  </si>
  <si>
    <t>Trinidad and Tobago</t>
  </si>
  <si>
    <t>Tunisia</t>
  </si>
  <si>
    <t>Turkey</t>
  </si>
  <si>
    <t>Turkmenistan</t>
  </si>
  <si>
    <t>Turks and Caicos Islands</t>
  </si>
  <si>
    <t>Tuvalu</t>
  </si>
  <si>
    <t>Uganda</t>
  </si>
  <si>
    <t>Ukraine</t>
  </si>
  <si>
    <t>United Arab Emirates</t>
  </si>
  <si>
    <t>Tanzania, United Republic of</t>
  </si>
  <si>
    <t>United States</t>
  </si>
  <si>
    <t>Virgin Islands, U.S.</t>
  </si>
  <si>
    <t>Uruguay</t>
  </si>
  <si>
    <t>Uzbekistan</t>
  </si>
  <si>
    <t>Vanuatu</t>
  </si>
  <si>
    <t>Venezuela, Bolivarian Republic of</t>
  </si>
  <si>
    <t>Viet Nam</t>
  </si>
  <si>
    <t>Wallis and Futuna Islands</t>
  </si>
  <si>
    <t>Western Sahara</t>
  </si>
  <si>
    <t>Yemen</t>
  </si>
  <si>
    <t>Zambia</t>
  </si>
  <si>
    <t>Zimbabwe</t>
  </si>
  <si>
    <t>submitted to competent authority</t>
  </si>
  <si>
    <t>approved by competent authority</t>
  </si>
  <si>
    <t>rejected by competent authority</t>
  </si>
  <si>
    <t>returned with remarks</t>
  </si>
  <si>
    <t>working draft</t>
  </si>
  <si>
    <t>Commercial</t>
  </si>
  <si>
    <t>Non-commercial</t>
  </si>
  <si>
    <t>Scheduled flights</t>
  </si>
  <si>
    <t>Non-scheduled flights</t>
  </si>
  <si>
    <t>Scheduled and non-scheduled flights</t>
  </si>
  <si>
    <t>Only intra-EEA flights</t>
  </si>
  <si>
    <t>Flights inside and outside the EEA</t>
  </si>
  <si>
    <t>Captain</t>
  </si>
  <si>
    <t>Mr</t>
  </si>
  <si>
    <t>Mrs</t>
  </si>
  <si>
    <t>Ms</t>
  </si>
  <si>
    <t>Miss</t>
  </si>
  <si>
    <t>Dr</t>
  </si>
  <si>
    <t>Company / Limited Liability Partnership</t>
  </si>
  <si>
    <t>Partnership</t>
  </si>
  <si>
    <t>Individual / Sole Trader</t>
  </si>
  <si>
    <t>Actual/standard mass from Mass &amp; Balance documentation</t>
  </si>
  <si>
    <t>Alternative methodology</t>
  </si>
  <si>
    <t>100 kg default</t>
  </si>
  <si>
    <t>Mass contained in Mass &amp; Balance documentation</t>
  </si>
  <si>
    <t>No documented environmental management system in place</t>
  </si>
  <si>
    <t>Documented environmental management system in place</t>
  </si>
  <si>
    <t>Certified environmental management system in place</t>
  </si>
  <si>
    <t>Use by Competent Authority only</t>
  </si>
  <si>
    <t>To be filled in by aircraft operator</t>
  </si>
  <si>
    <t>Monitoring Plan for Annual Emissions</t>
  </si>
  <si>
    <t>Monitoring Plan for  Tonne-Kilometre Data</t>
  </si>
  <si>
    <t>n.a.</t>
  </si>
  <si>
    <t>New monitoring plan</t>
  </si>
  <si>
    <t>Updated monitoring plan</t>
  </si>
  <si>
    <t>As measured by fuel supplier</t>
  </si>
  <si>
    <t>On-board measuring equipment</t>
  </si>
  <si>
    <t>Taken from fuel supplier (delivery notes or invoices)</t>
  </si>
  <si>
    <t>Recorded in Mass &amp; Balance documentation</t>
  </si>
  <si>
    <t>Recorded in aircraft technical log</t>
  </si>
  <si>
    <t>Transmitted electronically from aircraft to operator</t>
  </si>
  <si>
    <t>Daily</t>
  </si>
  <si>
    <t>Weekly</t>
  </si>
  <si>
    <t>Monthly</t>
  </si>
  <si>
    <t>Annual</t>
  </si>
  <si>
    <t>EF</t>
  </si>
  <si>
    <t>NCV &amp; EF</t>
  </si>
  <si>
    <t>Biogenic content</t>
  </si>
  <si>
    <t>NCV, EF &amp; bio</t>
  </si>
  <si>
    <t>Major</t>
  </si>
  <si>
    <t>Minor</t>
  </si>
  <si>
    <t>De minimis</t>
  </si>
  <si>
    <t>Actual density in aircraft tanks</t>
  </si>
  <si>
    <t>Actual density of uplift</t>
  </si>
  <si>
    <t>Standard value (0.8kg/litre)</t>
  </si>
  <si>
    <t>Jet kerosene</t>
  </si>
  <si>
    <t>Jet gasoline</t>
  </si>
  <si>
    <t>Aviation gasoline</t>
  </si>
  <si>
    <t>Alternative</t>
  </si>
  <si>
    <t>unknown</t>
  </si>
  <si>
    <t>Commission approved tools</t>
  </si>
  <si>
    <t>Small Emitters Tool - Eurocontrol's fuel consumption estimation tool</t>
  </si>
  <si>
    <t>Environment Agency</t>
  </si>
  <si>
    <t>Ministry of Environment</t>
  </si>
  <si>
    <t>Civil Aviation Authority</t>
  </si>
  <si>
    <t>Ministry of Transport</t>
  </si>
  <si>
    <t>Afghanistan - Ministry of Transport and Civil Aviation</t>
  </si>
  <si>
    <t>Algeria - Établissement Nationale de la Navigation Aérienne (ENNA)</t>
  </si>
  <si>
    <t>Angola - Instituto Nacional da Aviação Civil</t>
  </si>
  <si>
    <t>Argentina - Comando de Regiones Aéreas</t>
  </si>
  <si>
    <t>Armenia - General Department of Civil Aviation</t>
  </si>
  <si>
    <t>Australia - Civil Aviation Safety Authority</t>
  </si>
  <si>
    <t>Austria - Ministry of Transport, Innovation and Technology</t>
  </si>
  <si>
    <t>Bahrain - Civil Aviation Affairs</t>
  </si>
  <si>
    <t>Belgium - Service public fédéral Mobilité et Transports</t>
  </si>
  <si>
    <t>Bermuda - Bermuda Department of Civil Aviation (DCA)</t>
  </si>
  <si>
    <t>Bolivia - Dirección General de Aeronáutica Civil</t>
  </si>
  <si>
    <t>Bosnia and Herzegovina - Department of Civil Aviation</t>
  </si>
  <si>
    <t>Botswana - Ministry of Works &amp; Transport — Department of Civil Aviation</t>
  </si>
  <si>
    <t>Brazil - Agência Nacional de Aviação Civil (ANAC)</t>
  </si>
  <si>
    <t>Brunei Darussalam - Department of Civil Aviation</t>
  </si>
  <si>
    <t>Bulgaria - Civil Aviation Administration</t>
  </si>
  <si>
    <t>Cambodia - Ministry of Public Works and Transport</t>
  </si>
  <si>
    <t>Canada - Canadian Transportation Agency</t>
  </si>
  <si>
    <t>Cape Verde - Agência de Aviação Civil (AAC)</t>
  </si>
  <si>
    <t>Cayman - Civil Aviation Authority (CAA) of the Cayman Islands</t>
  </si>
  <si>
    <t>Chile - Dirección General de Aeronáutica Civil</t>
  </si>
  <si>
    <t>China - Air Traffic Management Bureau (ATMB), General Administration of Civil Aviation of China</t>
  </si>
  <si>
    <t>Colombia - República de Colombia Aeronáutica Civil</t>
  </si>
  <si>
    <t>Costa Rica - Dirección General de Aviación Civil</t>
  </si>
  <si>
    <t>Croatia - Civil Aviation Authority</t>
  </si>
  <si>
    <t>Cuba - Instituto de Aeronáutica Civil de Cuba</t>
  </si>
  <si>
    <t>Cyprus - Department of Civil Aviation of Cyprus</t>
  </si>
  <si>
    <t>Czechia - Civil Aviation Authority</t>
  </si>
  <si>
    <t>Denmark - Civil Aviation Administration</t>
  </si>
  <si>
    <t>Dominican Republic - Instituto Dominicano de Aviación Civil</t>
  </si>
  <si>
    <t>Ecuador - Dirección General de Aviación Civil del Ecuador</t>
  </si>
  <si>
    <t>Egypt - Ministry of Civil Aviation</t>
  </si>
  <si>
    <t>El Salvador - Autoridad de Aviación Civil – El Salvador</t>
  </si>
  <si>
    <t>Estonia - Estonian Civil Aviation Administration</t>
  </si>
  <si>
    <t>Fiji - Civil Aviation Authority</t>
  </si>
  <si>
    <t>Finland - Civil Aviation Authority</t>
  </si>
  <si>
    <t>France - Direction Générale de I' Aviation Civile (DGAC)</t>
  </si>
  <si>
    <t>Gambia - Gambia Civil Aviation Authority</t>
  </si>
  <si>
    <t>Germany - Air Navigation Services</t>
  </si>
  <si>
    <t>Ghana - Ghana Civil Aviation Authority</t>
  </si>
  <si>
    <t>Greece - Hellenic Civil Aviation Authority</t>
  </si>
  <si>
    <t>Hungary - Directorate for Air Transport</t>
  </si>
  <si>
    <t>Iceland - Civil Aviation Administration</t>
  </si>
  <si>
    <t>India - Directorate General of Civil Aviation</t>
  </si>
  <si>
    <t>Indonesia - Direktorat Jenderal Perhubungan Udara</t>
  </si>
  <si>
    <t>Iran, Islamic Republic of - Civil Aviation Organization of Iran</t>
  </si>
  <si>
    <t>Ireland - Irish Aviation Authority</t>
  </si>
  <si>
    <t>Israel - Civil Aviation Authority</t>
  </si>
  <si>
    <t>Italy - Agenzia Nazionale della Sicurezza del Volo</t>
  </si>
  <si>
    <t>Jamaica - Civil Aviation Authority</t>
  </si>
  <si>
    <t>Japan - Ministry of Land, Infrastructure and Transport</t>
  </si>
  <si>
    <t>Jordan - Civil Aviation Regulatory Commission (CARC) (formerly called "Jordan Civil Aviation Authority (JCAA)")</t>
  </si>
  <si>
    <t>Kenya - Kenya Civil Aviation Authority</t>
  </si>
  <si>
    <t>Kuwait - Directorate General of Civil Aviation</t>
  </si>
  <si>
    <t>Latvia - Civil Aviation Agency</t>
  </si>
  <si>
    <t>Lebanon - Lebanese Civil Aviation Authority</t>
  </si>
  <si>
    <t>Libyan Arab Jamahiriya - Libyan Civil Aviation Authority</t>
  </si>
  <si>
    <t>Lithuania - Directorate of Civil Aviation</t>
  </si>
  <si>
    <t>Malaysia - Department of Civil Aviation</t>
  </si>
  <si>
    <t>Maldives - Civil Aviation Department</t>
  </si>
  <si>
    <t>Malta - Department of Civil Aviation</t>
  </si>
  <si>
    <t>Mexico - Secretaría de Comunicaciones y Transportes</t>
  </si>
  <si>
    <t>Mongolia - Civil Aviation Authority</t>
  </si>
  <si>
    <t>Montenegro - Ministry Maritime Affairs, Transportation and Telecommunications</t>
  </si>
  <si>
    <t>Morocco - Ministère des Transports</t>
  </si>
  <si>
    <t>Namibia - Directorate of Civil Aviation (DCA Namibia)</t>
  </si>
  <si>
    <t>Nepal - Civil Aviation Authority of Nepal</t>
  </si>
  <si>
    <t>Netherlands - Directorate General of Civil Aviation and Freight Transport (DGTL)</t>
  </si>
  <si>
    <t>New Zealand - Airways Corporation of New Zealand</t>
  </si>
  <si>
    <t>Nicaragua - Instituto Nicaragüense de Aeronáutica Civíl</t>
  </si>
  <si>
    <t>Nigeria - Nigerian Civil Aviation Authority (NCAA)</t>
  </si>
  <si>
    <t>Norway - Civil Aviation Authority</t>
  </si>
  <si>
    <t>Oman - Directorate General of Civil Aviation and Meteorology</t>
  </si>
  <si>
    <t>Pakistan - Civil Aviation Authority</t>
  </si>
  <si>
    <t>Paraguay - Dirección Nacional de Aeronáutica Civil (DINAC)</t>
  </si>
  <si>
    <t>Peru - Dirección General de Aeronáutica Civil</t>
  </si>
  <si>
    <t>Philippines - Air Transportation Office (ATO)</t>
  </si>
  <si>
    <t>Poland - Civil Aviation Office</t>
  </si>
  <si>
    <t>Portugal - Instituto Nacional de Aviação Civil</t>
  </si>
  <si>
    <t>Republic of Korea - Ministry of Construction and Transportation</t>
  </si>
  <si>
    <t>Republic of Moldova - Civil Aviation Administration</t>
  </si>
  <si>
    <t>Romania - Romanian Civil Aeronautical Authority</t>
  </si>
  <si>
    <t>Russian Federation - State Civil Aviation Authority</t>
  </si>
  <si>
    <t>Saudi Arabia - Ministry of Defense and Aviation Presidency of Civil Aviation</t>
  </si>
  <si>
    <t>Serbia - Civil Aviation Directorate</t>
  </si>
  <si>
    <t>Seychelles - Directorate of Civil Aviation, Ministry of Tourism</t>
  </si>
  <si>
    <t>Singapore - Civil Aviation Authority of Singapore</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</si>
  <si>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</si>
  <si>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</si>
  <si>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</si>
  <si>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</si>
  <si>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</si>
  <si>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</si>
  <si>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Sudan - Civil Aviation Authority</t>
  </si>
  <si>
    <t>Suriname - Civil Aviation Department of Suriname</t>
  </si>
  <si>
    <t>Sweden - Swedish Civil Aviation Authority</t>
  </si>
  <si>
    <t>Switzerland - Federal Office for Civil Aviation (FOCA)</t>
  </si>
  <si>
    <t>Thailand - Department of Civil Aviation</t>
  </si>
  <si>
    <t>North Macedonia - Civil Aviation Administration</t>
  </si>
  <si>
    <t>The former Yugoslav Republic of Macedonia - Civil Aviation Administration</t>
  </si>
  <si>
    <t>Tonga - Ministry of Civil Aviation</t>
  </si>
  <si>
    <t>Trinidad and Tobago - Civil Aviation Authority</t>
  </si>
  <si>
    <t>Tunisia - Office de l'aviation civile et des aéroports</t>
  </si>
  <si>
    <t>Turkey - Directorate General of Civil Aviation</t>
  </si>
  <si>
    <t>Uganda - Civil Aviation Authority</t>
  </si>
  <si>
    <t>Ukraine - Civil Aviation Authority</t>
  </si>
  <si>
    <t>United Kingdom Civil Aviation Authority</t>
  </si>
  <si>
    <t>United Arab Emirates - General Civil Aviation Authority (GCAA)</t>
  </si>
  <si>
    <t>United Republic of Tanzania - Tanzania Civil Aviation Authority (TCAA)</t>
  </si>
  <si>
    <t>United States - Federal Aviation Administration</t>
  </si>
  <si>
    <t>Uruguay - Dirección Nacional de Aviación Civil e Infraestructura Aeronáutica (DINACIA)</t>
  </si>
  <si>
    <t>Vanuatu - Vanuatu Civil Aviation Authority</t>
  </si>
  <si>
    <t>Yemen - Civil Aviation and Meteorological Authority (CAMA)</t>
  </si>
  <si>
    <t>Zambia - Department of Civil Aviation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</si>
  <si>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</si>
  <si>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</si>
  <si>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</si>
  <si>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</si>
  <si>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</si>
  <si>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</si>
  <si>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</si>
  <si>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</si>
  <si>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</si>
  <si>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</si>
  <si>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</si>
  <si>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</si>
  <si>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</si>
  <si>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</si>
  <si>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</si>
  <si>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</si>
  <si>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</si>
  <si>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</si>
  <si>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</si>
  <si>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</si>
  <si>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</si>
  <si>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</si>
  <si>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</si>
  <si>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</si>
  <si>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</si>
  <si>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</si>
  <si>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</si>
  <si>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t>Payload (Freight and Mail)</t>
  </si>
  <si>
    <t>Are you required to have Mass and Balance documentation for the relevant flights?</t>
  </si>
  <si>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</si>
  <si>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</si>
  <si>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</si>
  <si>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</si>
  <si>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</si>
  <si>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</si>
  <si>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</si>
  <si>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</si>
  <si>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</si>
  <si>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</si>
  <si>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</si>
  <si>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</si>
  <si>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</si>
  <si>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Curaçao</t>
  </si>
  <si>
    <t>Kosovo, United Nations Interim Administration Mission</t>
  </si>
  <si>
    <t>Saint Helena, Ascension and Tristan da Cunha</t>
  </si>
  <si>
    <t>Sint Maarten (Dutch Part)</t>
  </si>
  <si>
    <t>South Georgia and the South Sandwich Islands</t>
  </si>
  <si>
    <t>South Sudan</t>
  </si>
  <si>
    <t>Taiwan</t>
  </si>
  <si>
    <t>Ireland - Commission for Aviation Regulation</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</si>
  <si>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</si>
  <si>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</si>
  <si>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</si>
  <si>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</si>
  <si>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</si>
  <si>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</si>
  <si>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</si>
  <si>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</si>
  <si>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ANNUAL EMISSIONS REPORT FOR AIRCRAFT OPERATORS</t>
  </si>
  <si>
    <t>Reporting year</t>
  </si>
  <si>
    <t>Identification of the verifier</t>
  </si>
  <si>
    <t>Information about the monitoring plan</t>
  </si>
  <si>
    <t>Total emissions</t>
  </si>
  <si>
    <t>Use of simplified procedures</t>
  </si>
  <si>
    <t>Approach for data gaps</t>
  </si>
  <si>
    <t>Detailed emissions data</t>
  </si>
  <si>
    <t>Aircraft data</t>
  </si>
  <si>
    <t>Annex: Emissions per aerodrome pair</t>
  </si>
  <si>
    <t>Reporting year:</t>
  </si>
  <si>
    <t>Information about this report:</t>
  </si>
  <si>
    <t>Total emissions of the aircraft operator:</t>
  </si>
  <si>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</si>
  <si>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 xml:space="preserve">This is the amount of allowances to be surrendered by the aircraft operator, as calculated in section 5(c). This figure should only include emissions to be reported under the EU ETS, i.e. relate to the reduced scope. </t>
  </si>
  <si>
    <t>Memo-Item: Total (sustainable) biomass emissions</t>
  </si>
  <si>
    <t>Memo-Item: Total non-sustainable biomass emissions</t>
  </si>
  <si>
    <t>Article 67(3) of the MRR requires:</t>
  </si>
  <si>
    <t>The annual emission reports and tonne-kilometre data reports shall at least contain the information listed in Annex X.</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</si>
  <si>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</si>
  <si>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</si>
  <si>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</si>
  <si>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This is the final version of the annual emissions report template for aircraft operators, as re-endorsed by the Climate Change Committee by written procedure in December 2015.</t>
  </si>
  <si>
    <t>http://ec.europa.eu/clima/policies/ets/monitoring/documentation_en.htm</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</si>
  <si>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</si>
  <si>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</si>
  <si>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</si>
  <si>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</si>
  <si>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</si>
  <si>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This emission report must be submitted to your Competent Authority ("CA") to the following address:</t>
  </si>
  <si>
    <t>Contact your Competent Authority if you need assistance to complete your Annual Emissions Report. Some Member States have produced guidance documents which you may find useful in addition to the Commission's guidance mentioned above.</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</si>
  <si>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</si>
  <si>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</si>
  <si>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</si>
  <si>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</si>
  <si>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</si>
  <si>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</si>
  <si>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Note: Formulae must be checked and corrected in particular whenever rows and/or columns are added by aircraft operators.</t>
  </si>
  <si>
    <t>GENERAL INFORMATION ABOUT THIS REPORT</t>
  </si>
  <si>
    <t>Reporting Year</t>
  </si>
  <si>
    <t>This is the year in which the reported aviation activities took place, i.e. 2013 for the report which you submit by 31 March 2014.</t>
  </si>
  <si>
    <t>Identification of the Aircraft Operator</t>
  </si>
  <si>
    <t>This name should be the legal entity carrying out the aviation activities defined in Annex I of the EU ETS Directive.</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</si>
  <si>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</si>
  <si>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If a unique ICAO designator is not available, enter the identification for ATC purposes (tail numbers) of all the aircraft you operate as used in box 7 of the flight plan.  Please separate each registration with a semicolon (";"). Otherwise enter "n.a." and proceed.</t>
  </si>
  <si>
    <t>Telephone Number:</t>
  </si>
  <si>
    <t>Who can we contact about your annual emission report?</t>
  </si>
  <si>
    <t>It will help the competent authority to have someone who they can contact directly with any questions about your report. The person you name should have the authority to act on your behalf. This may be an agent acting on behalf of the aircraft operator.</t>
  </si>
  <si>
    <t>You must provide an address for receipt of notices or other documents under or in connection with the EU Greenhouse Gas Emissions Trading Scheme. Please provide an electronic address and a postal address within the administering Member State.</t>
  </si>
  <si>
    <t>Name and address of the verifier of your annual emission report</t>
  </si>
  <si>
    <t>Company Name:</t>
  </si>
  <si>
    <t>Contact person for the verifier:</t>
  </si>
  <si>
    <t>It will help the competent authority to have someone who they can contact directly with any questions about verification of your report. The person you name should be familiar with this report.</t>
  </si>
  <si>
    <t>Information about the verifier's accreditation:</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</si>
  <si>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</si>
  <si>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</si>
  <si>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Member State where accreditation has been granted:</t>
  </si>
  <si>
    <t>Registration number issued by the accreditation body:</t>
  </si>
  <si>
    <t>The availability of such registration information may depend on the accrediting Member State's practice of accreditation of verifiers.</t>
  </si>
  <si>
    <t>&lt;&lt;&lt; Click here to proceed to section 4 "Information about the monitoring plan" &gt;&gt;&gt;</t>
  </si>
  <si>
    <t>EMISSION DATA OVERVIEW</t>
  </si>
  <si>
    <t>Version number of the latest approved monitoring plan:</t>
  </si>
  <si>
    <t>Date of approval of the used monitoring plan:</t>
  </si>
  <si>
    <t>Have there been any deviations from your approved monitoring plan during the reporting year?</t>
  </si>
  <si>
    <t>If you have answered "True", please describe all relevant changes in the operations and all deviations from your approved monitoring plan, providing information about each deviation and the consequence for the calculation of annual emissions.</t>
  </si>
  <si>
    <t>Total number of flights in the reporting year covered by the EU ETS:</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</si>
  <si>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</si>
  <si>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Jet kerosene (jet A1 or jet A)</t>
  </si>
  <si>
    <t>Fuel consumption and Emissions</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</si>
  <si>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</si>
  <si>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</si>
  <si>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</si>
  <si>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</si>
  <si>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 xml:space="preserve">Please enter here the total fuel consumption of each fuel in tonnes in the reporting year. Please note that this figure should only include fuel consumption to be reported under the EU ETS, i.e. relate to the reduced scope. </t>
  </si>
  <si>
    <t>CO2 emissions 
[t CO2]</t>
  </si>
  <si>
    <t>This is the amount of "fossil" emissions (including emissions from biomass for which no evidence for compliance with the sustainability criteria has been provided). It is identical to the emissions for which allowances are to be surrendered.</t>
  </si>
  <si>
    <t>CO2 from sustainable biomass</t>
  </si>
  <si>
    <t xml:space="preserve">This figure shows as a memo-item the emissions from sustainable biomass. </t>
  </si>
  <si>
    <t>CO2 from non-sustainable biomass</t>
  </si>
  <si>
    <t>This figure shows as a memo-item the emissions from non-sustainable biomass. Note that these emissions are part of the "fossil" emissions and do not need to be added once more.</t>
  </si>
  <si>
    <t>(final) EF 
[t CO2 / t fuel]</t>
  </si>
  <si>
    <t>fuel consumption [tonnes]</t>
  </si>
  <si>
    <t>If required, you may add further fuels by inserting rows above this one. This is best done by inserting a copied row. However, formulae will need corrections!</t>
  </si>
  <si>
    <t>Total CO2 emissions in the reporting year:</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</si>
  <si>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</si>
  <si>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</si>
  <si>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Memo Item: Sustainable biomass:</t>
  </si>
  <si>
    <t>Memo Item: Non-sustainable biomass:</t>
  </si>
  <si>
    <t>Fuel use per aircraft type:</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</si>
  <si>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</si>
  <si>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Generic Aircraft types using this fuel (ICAO designators separated by semicolons)</t>
  </si>
  <si>
    <t>Have you been using the simplified approach allowed for small emitters pursuant to Article 54(2) of the MRR?</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</si>
  <si>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</si>
  <si>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Small emitters are aircraft operators which operate fewer than 243 flights per period for three consecutive four-month periods and aircraft operators with total annual emissions lower than 25,000 t CO2 per year, related to the EU ETS full scope.</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</si>
  <si>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</si>
  <si>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t>Please report the total number of full scope flights covered by the EU ETS in each four-month period during the reporting year for which you are the aircraft operator:</t>
  </si>
  <si>
    <t>The local time of departure of the flight determines in which four-month period that flight shall be taken into account.</t>
  </si>
  <si>
    <t>Four-month period</t>
  </si>
  <si>
    <t>Number of flights</t>
  </si>
  <si>
    <t>January to April</t>
  </si>
  <si>
    <t>May to August</t>
  </si>
  <si>
    <t>September to December</t>
  </si>
  <si>
    <t>Total:</t>
  </si>
  <si>
    <t>Total emissions in the reporting year:</t>
  </si>
  <si>
    <t>Please enter here the total emissions related to the full scope.</t>
  </si>
  <si>
    <t>Confirmation of eligibility for simplified approach:</t>
  </si>
  <si>
    <t>Note: If you are using the simplified approach for small emitters, but have exceeded the applicable threshold (which is indicated here by the message "not eligible"), the following consequences apply in accordance with Article 54(4) of the MRR:</t>
  </si>
  <si>
    <t>The aircraft operator shall notify the competent authority thereof without undue delay and submit a significant modification of the monitoring plan within the meaning of point (vi) of Article 15(4)(a) to the competent authority for approval.</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</si>
  <si>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</si>
  <si>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</si>
  <si>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</si>
  <si>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</si>
  <si>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The table should be filled as follows:</t>
  </si>
  <si>
    <t>Reference</t>
  </si>
  <si>
    <t>Here the data gap should be specified, either by referencing the aircraft, aerodrome, flight numbers etc. for which the data gap occurred, and/or the start and end date of the period where the gap occurred.</t>
  </si>
  <si>
    <t>Reason</t>
  </si>
  <si>
    <t>Please describe here the reason why the data gap occurred.</t>
  </si>
  <si>
    <t>Type</t>
  </si>
  <si>
    <t>Please describe here the type of data gap, such as "density measurement not available", "fuel uplift not available", "flights missing activity list", etc.</t>
  </si>
  <si>
    <t>Replacement method</t>
  </si>
  <si>
    <t>please indicate the method of determining surrogate data, by referencing the procedure in your monitoring plan, or by "small emitter tool" etc.</t>
  </si>
  <si>
    <t>Emissions</t>
  </si>
  <si>
    <t>Please give here the amount of emissions which are affected by the data gap. This figure must be INCLUDED in section 5.</t>
  </si>
  <si>
    <t>&lt;&lt;&lt; Click here to proceed to section 8 "Detailed emission data" &gt;&gt;&gt;</t>
  </si>
  <si>
    <t>EMISSION DATA PER COUNTRY AND FUEL</t>
  </si>
  <si>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</si>
  <si>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The following table is used for control purposes only. Please make sure that the totals are consistent with the result of section 5(c). The following sections (b) and (c) should be filled without any double counting of emissions.</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</si>
  <si>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</si>
  <si>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</si>
  <si>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Emissions from each Fuel [t CO2]</t>
  </si>
  <si>
    <t>TOTAL [t CO2]</t>
  </si>
  <si>
    <t>Jet kerosene (jet A1 or 
jet A)</t>
  </si>
  <si>
    <t>Alternative fuel 1</t>
  </si>
  <si>
    <t>&lt;add more fuels before this column&gt;</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</si>
  <si>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</si>
  <si>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Total aggregated CO2 emissions from all flights relating to the reduced scope of the EU ETS Directive (= B + C)</t>
  </si>
  <si>
    <t>of which departure MS is the same as arrival MS (domestic flights, =sum of section (b))</t>
  </si>
  <si>
    <t>of which all other intra EEA flights</t>
  </si>
  <si>
    <t>emissions from all flights departing from a Member State to another Member State (=sum of section (c))</t>
  </si>
  <si>
    <t>emissions from all flights arriving at a Member State from a third country (=sum of section (d))</t>
  </si>
  <si>
    <t>Total emissions entered in section 5(c):</t>
  </si>
  <si>
    <t>Difference to data given in this sheet:</t>
  </si>
  <si>
    <t>Aggregated CO2 emissions from all flights of which departure Member State is the same as arrival Member State (domestic flights):</t>
  </si>
  <si>
    <t>Please complete the following table with the appropriate data for the reporting year.</t>
  </si>
  <si>
    <t>Member State of departure and arrival</t>
  </si>
  <si>
    <t>Sum of domestic flights:</t>
  </si>
  <si>
    <t>Aggregated CO2 emissions from all flights departing from each Member State to another Member State:</t>
  </si>
  <si>
    <t>Member State of departure</t>
  </si>
  <si>
    <t>State of arrival</t>
  </si>
  <si>
    <t>&lt; Please add additional rows above this row, if needed &gt;</t>
  </si>
  <si>
    <t>Aggregated CO2 emissions from all flights arriving at each Member State from a third country:</t>
  </si>
  <si>
    <t>State of departure</t>
  </si>
  <si>
    <t>Member State of arrival</t>
  </si>
  <si>
    <t>Aggregated CO2 emissions from all flights arriving at each MS from third countries:</t>
  </si>
  <si>
    <t>Provide details for each aircraft used during the year covered by this report for which you are the aircraft operator, and which has been used for activities covered by Annex I of the EU ETS Directive.</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</si>
  <si>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</si>
  <si>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Aircraft type (ICAO aircraft type designator)</t>
  </si>
  <si>
    <t>Aircraft subtype (as specified in the monitoring plan, if applicable)</t>
  </si>
  <si>
    <t>Aircraft registration number</t>
  </si>
  <si>
    <t>Owner of the aircraft (if known)
 In the case of leased-in aircraft, the lessor</t>
  </si>
  <si>
    <t>If the aircraft has not belonged to your fleet for the whole reporting year:</t>
  </si>
  <si>
    <t>Starting date</t>
  </si>
  <si>
    <t>End date</t>
  </si>
  <si>
    <t>Please continue by adding further rows as needed.</t>
  </si>
  <si>
    <t>&lt;&lt;&lt; Click here to proceed to section 11 "Emissions per aerodrome pair" &gt;&gt;&gt;</t>
  </si>
  <si>
    <t>Additional emissions data</t>
  </si>
  <si>
    <t>Please indicate if the data in this annex is considered confidential:</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</si>
  <si>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</si>
  <si>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Please provide the data (totals during the reporting period, related to the reduced scope) in the table below per aerodrome pair.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</si>
  <si>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</si>
  <si>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</si>
  <si>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Aerodrome Pair (use 4-letter ICAO designator)</t>
  </si>
  <si>
    <t>Total number of flights per aerodrome pair</t>
  </si>
  <si>
    <r>
      <t>Total emissions</t>
    </r>
    <r>
      <rPr>
        <b/>
        <sz val="8"/>
        <rFont val="Arial"/>
        <family val="2"/>
      </rPr>
      <t xml:space="preserve">
[t CO2]</t>
    </r>
  </si>
  <si>
    <t>Total emissions
[t CO2]</t>
  </si>
  <si>
    <t>Aerodrome of departure</t>
  </si>
  <si>
    <t>Aerodrome of arrival</t>
  </si>
  <si>
    <t>end of list</t>
  </si>
  <si>
    <t>Totals:</t>
  </si>
  <si>
    <t>Total number of flights</t>
  </si>
  <si>
    <t>Reporting year totals:</t>
  </si>
  <si>
    <t>Compare data entered in section 5:</t>
  </si>
  <si>
    <t>eligible</t>
  </si>
  <si>
    <t>not eligible</t>
  </si>
  <si>
    <t>Number is different from input in section 5(a)!</t>
  </si>
  <si>
    <t>Italy - ENAC - Ente Nazionale per l'Aviazione Civile</t>
  </si>
  <si>
    <t>This Annual Emissions Report was submitted by:</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</si>
  <si>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</si>
  <si>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t xml:space="preserve">Please note that all figures should only include emissions to be reported under the EU ETS, i.e. relate to the reduced scope. </t>
  </si>
  <si>
    <t>NEW 2019</t>
  </si>
  <si>
    <t>Used for combined reporting under the EU ETS and ICAO CORSIA</t>
  </si>
  <si>
    <t>2nd Draft for Discussion within the TWG on MRVA</t>
  </si>
  <si>
    <r>
      <t xml:space="preserve">Detailed emissions data </t>
    </r>
    <r>
      <rPr>
        <sz val="10"/>
        <rFont val="Calibri"/>
        <family val="2"/>
      </rPr>
      <t>–</t>
    </r>
    <r>
      <rPr>
        <sz val="10"/>
        <rFont val="Arial"/>
        <family val="2"/>
      </rPr>
      <t xml:space="preserve"> EU ETS</t>
    </r>
  </si>
  <si>
    <t>Annex: Emissions per aerodrome pair – EU ETS</t>
  </si>
  <si>
    <t>CORSIA emissions data</t>
  </si>
  <si>
    <t>Version number of this emission report</t>
  </si>
  <si>
    <t>This emission report is used for CORSIA:</t>
  </si>
  <si>
    <t>Total emissions of the aircraft operator from flights reportable under the EU ETS:</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</si>
  <si>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</si>
  <si>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</si>
  <si>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</si>
  <si>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</si>
  <si>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Legal basis</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</si>
  <si>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</si>
  <si>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The EU ETS Directive can be retrieved from:</t>
  </si>
  <si>
    <t>http://data.europa.eu/eli/dir/2003/87/2020-01-01</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</si>
  <si>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</si>
  <si>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</si>
  <si>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That delegated act can be downloaded from:</t>
  </si>
  <si>
    <t>https://eur-lex.europa.eu/eli/reg_del/2019/1603/oj</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</si>
  <si>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</si>
  <si>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</si>
  <si>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</si>
  <si>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</si>
  <si>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</si>
  <si>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</si>
  <si>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</si>
  <si>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 xml:space="preserve">The SARPs are supplemented by the "Environmental Technical Manual, Volume IV — Carbon Offsetting and Reduction Scheme for International Aviation (CORSIA)" (Doc 9501), referred to as the "ETM", and further "ICAO CORSIA Implementation Elements". </t>
  </si>
  <si>
    <t>The SARPs, the ETM and all Implementation Elements are available under the following address:</t>
  </si>
  <si>
    <t>https://www.icao.int/environmental-protection/CORSIA/Pages/default.aspx</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</si>
  <si>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</si>
  <si>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Scope and relevance</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</si>
  <si>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</si>
  <si>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</si>
  <si>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"full scope".</t>
  </si>
  <si>
    <t>Non-commercial air transport operators which emit less than 1 000 t CO2 per year under the "full scope" of the EU ETS.</t>
  </si>
  <si>
    <t>Note that under the EU ETS some simplified monitoring, reporting and verification requirements apply for small emitters. This template guides you whether you are allowed to use the simplified approaches (see section (6) of this template).</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</si>
  <si>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</si>
  <si>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</si>
  <si>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</si>
  <si>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Guidance on this template</t>
  </si>
  <si>
    <t>According to the delegated act pursuant to Article 28c of the EU ETS Directive, this template is also to be used for CORSIA reporting.</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</si>
  <si>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</si>
  <si>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</si>
  <si>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t xml:space="preserve">https://ec.europa.eu/clima/policies/ets/monitoring_en#tab-0-1 </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</si>
  <si>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</si>
  <si>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</si>
  <si>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</si>
  <si>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</si>
  <si>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CORSIA Website:</t>
  </si>
  <si>
    <t>Sections added to the EU ETS template related to information required for CORSIA are identified by a light blue frame.</t>
  </si>
  <si>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</si>
  <si>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Reporting Year and Scope</t>
  </si>
  <si>
    <t>Version number of this emission report:</t>
  </si>
  <si>
    <t>This should be a natural number (starting from 1) helping the verifier and competent authority to identify the version of the report verified.</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</si>
  <si>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</si>
  <si>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</si>
  <si>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</si>
  <si>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</si>
  <si>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</si>
  <si>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</si>
  <si>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</si>
  <si>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</si>
  <si>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</si>
  <si>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</si>
  <si>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</si>
  <si>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Please confirm if you want to use this emission report for CORSIA:</t>
  </si>
  <si>
    <t>Are you required to comply with CORSIA in another state?</t>
  </si>
  <si>
    <t>Please confirm to which other state you will report under CORSIA:</t>
  </si>
  <si>
    <t>Some aircraft operators have an obligation under CORSIA only, i.e. no obligation under the EU ETS. If you are filling this emissions report for CORSIA purposes only, please confirm below that this is the case.</t>
  </si>
  <si>
    <t>Please confirm if you have an obligation under the EU ETS:</t>
  </si>
  <si>
    <t>This identifier can be found on the list published by the Commission pursuant to Article 18a(3) of the EU ETS Directive. If the aircraft operator is not yet listed, please state "NA" (not applicable).</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</si>
  <si>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</si>
  <si>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 Keep empty, if not applicable.</t>
  </si>
  <si>
    <t>The name of the aircraft operator on the list pursuant to Article 18a(3) of the EU ETS Directive may be different to the actual aircraft operator's name entered in 2(a) above.Keep empty, if not applicable.</t>
  </si>
  <si>
    <t>If you don't find the appropriate name of the issueing authority in the drop-down list, you can enter ist name like in a normal text field.</t>
  </si>
  <si>
    <t>Legal representative of the aircraft operator</t>
  </si>
  <si>
    <t>Please provide contact information of a representative who is legally responsible for the aircraft operator, for the purpose of compliance with the EU ETS, or CORSIA rules, as applicable.</t>
  </si>
  <si>
    <t>Where small emitters make use of this simplification, this section can be left empty.</t>
  </si>
  <si>
    <t>Contact person for the accredited verifier:</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</si>
  <si>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</si>
  <si>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Further information on alternative fuels:</t>
  </si>
  <si>
    <t>Please provide important information related to the biomass content of alternative fuels used here. Life cycle emissions should be calculated according to the methods provided by the Renewable Energy Directive (RED).</t>
  </si>
  <si>
    <t>Note that here only biofuels used for EU ETS purposes are to be listed. "CORSIA eligible fuels", if applicable, are to be reported in section (12)(b1) of this template.</t>
  </si>
  <si>
    <t>Feedstock</t>
  </si>
  <si>
    <t>Conversion process</t>
  </si>
  <si>
    <t>Life cycle emissions</t>
  </si>
  <si>
    <t>Please specify which fuel consumption estimation tool you have used:</t>
  </si>
  <si>
    <t>If you have chosen "Other" under point (e) above, which one?</t>
  </si>
  <si>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</si>
  <si>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</si>
  <si>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</si>
  <si>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</si>
  <si>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</si>
  <si>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</si>
  <si>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</si>
  <si>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an aeroplane operator with annual CO2 emissions from international flights, as defined in Annex 16, Volume IV, Part II, Chapter 1, 1.1.2 and Chapter 2, 2.1 of less than 500 000 tonnes, shall use either a Fuel Use Monitoring Method or an emission estimation tool.</t>
  </si>
  <si>
    <t xml:space="preserve">For the reporting years 2021 until 2035  (in accordance with Annex 16, Volume IV, Part II, Chapter 2, 2.2.1.3) </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</si>
  <si>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</si>
  <si>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</si>
  <si>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t>Please give here the amount of emissions which are affected by the data gap. This figure must be INCLUDED in section 5 and/or section 12 depending on the type.</t>
  </si>
  <si>
    <t>If required, you may add further rows above the "end" markers by inserting rows above this one. This is best done by inserting a copied row.</t>
  </si>
  <si>
    <t>Percentage of EU ETS flights for which data gaps occurred (rounded to nearest 0.1%)</t>
  </si>
  <si>
    <t>Percentage of international (CORSIA) flights for which data gaps occurred (rounded to nearest 0.1%)</t>
  </si>
  <si>
    <t>Note: If unclear in the table above, whether data gaps apply to EU ETS, CORSIA, or both types of data, please add relevant information in the table, e.g. by specifying it in the "type" column.</t>
  </si>
  <si>
    <t>EMISSION DATA PER COUNTRY AND FUEL – EU ETS</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</si>
  <si>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</si>
  <si>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</si>
  <si>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</si>
  <si>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</si>
  <si>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Fuel used</t>
  </si>
  <si>
    <t>used for EU ETS</t>
  </si>
  <si>
    <t>used for CORSIA (if applicable)</t>
  </si>
  <si>
    <t>other</t>
  </si>
  <si>
    <t>Please continue by adding further rows as needed (above the "end" markers). This must be done by copying an empty row and inserting it thereafter. A simple "insert row" command will NOT be sufficent.</t>
  </si>
  <si>
    <t>Additional emissions data – EU ETS</t>
  </si>
  <si>
    <t>(12) CORSIA REPORTING</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</si>
  <si>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</si>
  <si>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You can select here either to use the default emission factors required by EU ETS legislation, or the default values provided by the SARPs for CORSIA:</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</si>
  <si>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</si>
  <si>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Explanation for the data below: Please complete the list underneath. All aerodrome pairs that were operated during the reporting year have to be reported.</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</si>
  <si>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</si>
  <si>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</si>
  <si>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</si>
  <si>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Summary of reported international flights and emissions</t>
  </si>
  <si>
    <r>
      <t>Total CO</t>
    </r>
    <r>
      <rPr>
        <vertAlign val="subscript"/>
        <sz val="10"/>
        <rFont val="Arial"/>
        <family val="2"/>
      </rPr>
      <t>2</t>
    </r>
    <r>
      <rPr>
        <sz val="10"/>
        <rFont val="Arial"/>
        <family val="2"/>
      </rPr>
      <t xml:space="preserve"> emissions from international flights (in tonnes):</t>
    </r>
  </si>
  <si>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</si>
  <si>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</si>
  <si>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</si>
  <si>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t>Total number of international flights during reporting period:</t>
  </si>
  <si>
    <t xml:space="preserve">   Total number of international flights subject to offsetting requirements:</t>
  </si>
  <si>
    <t>Total emissions reductions claimed from the use of CORSIA eligible fuels (in tonnes):</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</si>
  <si>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</si>
  <si>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Summary of fuel quantities (in tonnes):</t>
  </si>
  <si>
    <t>CORSIA eligible fuels claimed (only applicable from reporting year 2021 onwards)</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</si>
  <si>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</si>
  <si>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Total mass of the neat CORSIA eligible fuel (in tonnes)</t>
  </si>
  <si>
    <t>Life Cycle Emissions</t>
  </si>
  <si>
    <t>Emission reductions claimed</t>
  </si>
  <si>
    <t>Unit</t>
  </si>
  <si>
    <t>Total emission reductions from the use of CORSIA eligible fuel(s) claimed:</t>
  </si>
  <si>
    <t>Table of all aerodrome pairs</t>
  </si>
  <si>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</si>
  <si>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https://www.icao.int/environmental-protection/CORSIA/Pages/state-pairs.aspx</t>
  </si>
  <si>
    <t>Departure</t>
  </si>
  <si>
    <t>Arrival</t>
  </si>
  <si>
    <r>
      <t>CO</t>
    </r>
    <r>
      <rPr>
        <vertAlign val="subscript"/>
        <sz val="10"/>
        <rFont val="Arial"/>
        <family val="2"/>
      </rPr>
      <t>2</t>
    </r>
    <r>
      <rPr>
        <sz val="10"/>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</si>
  <si>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estimated with a tool?</t>
    </r>
  </si>
  <si>
    <t>Total No. of flights</t>
  </si>
  <si>
    <t>Total amount of fuel used (in tonnes)</t>
  </si>
  <si>
    <t>Fuel conversion factors</t>
  </si>
  <si>
    <r>
      <t>CO</t>
    </r>
    <r>
      <rPr>
        <vertAlign val="subscript"/>
        <sz val="10"/>
        <rFont val="Arial"/>
        <family val="2"/>
      </rPr>
      <t>2</t>
    </r>
    <r>
      <rPr>
        <sz val="10"/>
        <rFont val="Arial"/>
        <family val="2"/>
      </rPr>
      <t xml:space="preserve"> emissions (in tonnes)</t>
    </r>
  </si>
  <si>
    <r>
      <t>CO</t>
    </r>
    <r>
      <rPr>
        <vertAlign val="subscript"/>
        <sz val="10"/>
        <color theme="0" tint="-0.34998626667073579"/>
        <rFont val="Arial"/>
        <family val="2"/>
      </rPr>
      <t>2</t>
    </r>
    <r>
      <rPr>
        <sz val="10"/>
        <color theme="0" tint="-0.34998626667073579"/>
        <rFont val="Arial"/>
        <family val="2"/>
      </rPr>
      <t xml:space="preserve"> emissions (in tonnes)</t>
    </r>
  </si>
  <si>
    <t>Subject to offsetting requirements?</t>
  </si>
  <si>
    <t>ICAO airport code</t>
  </si>
  <si>
    <t>State</t>
  </si>
  <si>
    <t>North Macedonia</t>
  </si>
  <si>
    <t>Small Emitters Tool (SET) - Eurocontrol's fuel consumption estimation tool</t>
  </si>
  <si>
    <t>ESF (Eurocontrol EU ETS Support Facility) populated by the SET</t>
  </si>
  <si>
    <t>Kazakhstan - Civil Aviation Committee</t>
  </si>
  <si>
    <t>Malta - Transport Malta - Civil Aviation Directorate</t>
  </si>
  <si>
    <t>CORSIA</t>
  </si>
  <si>
    <t>Bulgarian</t>
  </si>
  <si>
    <t>Spanish</t>
  </si>
  <si>
    <t>Croatian</t>
  </si>
  <si>
    <t>Czech</t>
  </si>
  <si>
    <t>Danish</t>
  </si>
  <si>
    <t>German</t>
  </si>
  <si>
    <t>Estonian</t>
  </si>
  <si>
    <t>Greek</t>
  </si>
  <si>
    <t>English</t>
  </si>
  <si>
    <t>French</t>
  </si>
  <si>
    <t>Icelandic</t>
  </si>
  <si>
    <t>Italian</t>
  </si>
  <si>
    <t>Latvian</t>
  </si>
  <si>
    <t>Lithuanian</t>
  </si>
  <si>
    <t>Hungarian</t>
  </si>
  <si>
    <t>Maltese</t>
  </si>
  <si>
    <t>Norwegian</t>
  </si>
  <si>
    <t>Dutch</t>
  </si>
  <si>
    <t>Polish</t>
  </si>
  <si>
    <t>Portuguese</t>
  </si>
  <si>
    <t>Romanian</t>
  </si>
  <si>
    <t>Slovak</t>
  </si>
  <si>
    <t>Slovenian</t>
  </si>
  <si>
    <t>Finnish</t>
  </si>
  <si>
    <t>Swedish</t>
  </si>
  <si>
    <t>Final Draft for endorsement by the CCC</t>
  </si>
  <si>
    <t>This is the final version of the annual emission report template endorsed by the Climate Change Committee by written procedure ending in January 2020.</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</si>
  <si>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</si>
  <si>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</si>
  <si>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</si>
  <si>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</si>
  <si>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</si>
  <si>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</si>
  <si>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</si>
  <si>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</si>
  <si>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</si>
  <si>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</si>
  <si>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</si>
  <si>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</si>
  <si>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</si>
  <si>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New 2020</t>
  </si>
  <si>
    <t>Used for combined reporting under the EU ETS, the Swiss ETS and ICAO CORSIA</t>
  </si>
  <si>
    <t>Detailed emissions data – CH ETS</t>
  </si>
  <si>
    <t>Annex: Emissions per aerodrome pair – EU ETS and CH ETS</t>
  </si>
  <si>
    <t>Total emissions of the aircraft operator from flights reportable under the CH ETS (Swiss ETS):</t>
  </si>
  <si>
    <t>This is the amount of allowances to be surrendered by the aircraft operator for compliance under the CH ETS, as calculated in section 5(d).</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</si>
  <si>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</si>
  <si>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</si>
  <si>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</si>
  <si>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</si>
  <si>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The excluded flights are covered by the Swiss ETS.</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</si>
  <si>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</si>
  <si>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</si>
  <si>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Information about the Swiss ETS can be obtained from the following address:</t>
  </si>
  <si>
    <t xml:space="preserve">https://www.bafu.admin.ch/bafu/en/home/topics/climate/info-specialists/climate-policy/emissions-trading/informationen-fuer-luftfahrzeugbetreiber.html </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</si>
  <si>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</si>
  <si>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 (with a correction of July 2021).</t>
  </si>
  <si>
    <t>Sections added to this template related to information required for the CH ETS are identified by a light red frame.</t>
  </si>
  <si>
    <t>Sections that are particularly relevant for both, EU ETS and CH ETS, are marked by red shading.</t>
  </si>
  <si>
    <t>Note: it is assumed, that one joint monitoring plan for the EU ETS, the CH ETS and CORSIA is used.</t>
  </si>
  <si>
    <t>Total emissions in EU ETS and CH ETS</t>
  </si>
  <si>
    <t>For limiting administrative burden, this sections (a) and (b) should cover emissions of both systems, EU ETS and CH ETS.</t>
  </si>
  <si>
    <t>Total number of flights in the reporting year:</t>
  </si>
  <si>
    <t>Total number of flights in the reporting year covered by the CH ETS:</t>
  </si>
  <si>
    <t>Total number of flights in the reporting year covered by an ETS:</t>
  </si>
  <si>
    <t>Fuel consumption and emissions in the EU ETS</t>
  </si>
  <si>
    <t>Total CO2 emissions (EU ETS) in the reporting year:</t>
  </si>
  <si>
    <t>Fuel consumption and emissions in the CH ETS</t>
  </si>
  <si>
    <t xml:space="preserve">For instructions on filling this section see above under section (c). </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</si>
  <si>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</si>
  <si>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</si>
  <si>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For limiting administrative burden, this sections (a) to (f) should cover emissions of both systems, EU ETS and CH ETS.</t>
  </si>
  <si>
    <t>For limiting administrative burden, this sections (a) and (b) should cover emissions of both systems, EU ETS and CH ETS. Data gaps relevant for CORSIA can be included, too.</t>
  </si>
  <si>
    <t>Percentage of EU/CH ETS flights for which data gaps occurred (rounded to nearest 0.1%)</t>
  </si>
  <si>
    <t>Note: If unclear in the table above, whether data gaps apply to EU ETS, CH ETS, CORSIA, or more than one data set, please add relevant information in the table, e.g. by specifying it in the "type" column.</t>
  </si>
  <si>
    <t>Hide row for reduced scope</t>
  </si>
  <si>
    <t>Aggregated CO2 emissions from all flights departing from each Member State to another Member State or Switzerland:</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</si>
  <si>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</si>
  <si>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</si>
  <si>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</si>
  <si>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</si>
  <si>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</si>
  <si>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</si>
  <si>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Domestic flights:</t>
  </si>
  <si>
    <t>State of departure and arrival</t>
  </si>
  <si>
    <t>Aggregated CO2 emissions from all flights departing from Switzerland to an EEA Member State: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</si>
  <si>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</si>
  <si>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used for CH ETS</t>
  </si>
  <si>
    <t>Additional emissions data – EU ETS and CH ETS</t>
  </si>
  <si>
    <t>For reducing administrative burden, this Annex should include both flights covered by the EU ETS and CH ETS</t>
  </si>
  <si>
    <t>Energy Agency</t>
  </si>
  <si>
    <t>new 2022</t>
  </si>
  <si>
    <t>http://data.europa.eu/eli/dir/2003/87/2021-01-01</t>
  </si>
  <si>
    <t>The Monitoring and Reporting Regulation (Commission Implementing Regulation (EU) No 2018/2066, as amended, hereinafter the "MRR"), defines further requirements for monitoring and reporting. The MRR can be downloaded from:</t>
  </si>
  <si>
    <t>http://data.europa.eu/eli/reg_impl/2018/2066/2022-01-01</t>
  </si>
  <si>
    <t>Brexit and the UK ETS</t>
  </si>
  <si>
    <t>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t>
  </si>
  <si>
    <t>Flights from the EEA to the UK are included in the EU ETS. Flights from the UK to the EEA and domestic flights in the UK are included in the UK ETS.</t>
  </si>
  <si>
    <t>The Trade and Cooperation Agreement between the EU and the UK can be downloaded here:</t>
  </si>
  <si>
    <t>https://ec.europa.eu/info/strategy/relations-non-eu-countries/relations-united-kingdom/eu-uk-trade-and-cooperation-agreement_en</t>
  </si>
  <si>
    <t>Information about the UK ETS can be obtained from the following address:</t>
  </si>
  <si>
    <t>https://www.gov.uk/guidance/complying-with-the-uk-ets-as-an-aircraft-operator</t>
  </si>
  <si>
    <t>https://ec.europa.eu/clima/system/files/2022-01/gd2_guidance_aircraft_en.pdf</t>
  </si>
  <si>
    <t>Article 68(3) of the MRR requires:</t>
  </si>
  <si>
    <t>This is the final version, dated 18 November 2020, providing an update of the final version of the annual emission report template endorsed by the Climate Change Committee by written procedure ending in January 2020 (with corrections of July 2021 and February 2022).</t>
  </si>
  <si>
    <t>This is the final version, dated 18 November 2020, providing an update of the final version of the annual emission report template endorsed by the Climate Change Committee by written procedure ending in January 2020 (with corrections of July 2021 and January 2022).</t>
  </si>
  <si>
    <t>https://ec.europa.eu/clima/eu-action/eu-emissions-trading-system-eu-ets/monitoring-reporting-and-verification-eu-ets-emissions_en</t>
  </si>
  <si>
    <t>Accordingly, all references to Member States in this template should be interpreted as including all 30 EEA States. The EEA comprises the 27 EU Member States, Iceland, Liechtenstein and Norway.</t>
  </si>
  <si>
    <t>https://ec.europa.eu/clima/eu-action/eu-emissions-trading-system-eu-ets_en</t>
  </si>
  <si>
    <t>https://ec.europa.eu/clima/eu-action/transport-emissions/reducing-emissions-aviation_en</t>
  </si>
  <si>
    <t>of which all other intra EEA flights, and flights from EEA to Switzerland or UK</t>
  </si>
  <si>
    <t>emissions from all flights departing from a Member State to another Member State, Switzerland or UK (=sum of section 8(c))</t>
  </si>
  <si>
    <t>Note that for the purposes of the EU ETS, the threshold applies to the sum of all flights within EEA, outgoing from EEA and incoming to EEA, including those incoming from Switzerland and the UK.</t>
  </si>
  <si>
    <t>Aggregated CO2 emissions from all flights departing from each Member State to another Member State, to Switzerland, or to the UK</t>
  </si>
  <si>
    <t>Note: If you are using the simplified approach for small emitters, but have exceeded the applicable threshold (which is indicated here by the message "not eligible"), the following consequences apply in accordance with Article 55(4) of the MRR:</t>
  </si>
  <si>
    <t>Updated version 2022</t>
  </si>
  <si>
    <t>New 2023</t>
  </si>
  <si>
    <t>http://data.europa.eu/eli/dir/2003/87/2023-06-05</t>
  </si>
  <si>
    <t>http://data.europa.eu/eli/reg_impl/2018/2066/2022-08-28</t>
  </si>
  <si>
    <t>Türkiye</t>
  </si>
  <si>
    <t>Türkiye - Directorate General of Civil Aviation</t>
  </si>
  <si>
    <t>https://climate.ec.europa.eu/system/files/2023-05/gd2_guidance_aircraft_en.pdf</t>
  </si>
  <si>
    <t>http://data.europa.eu/eli/reg_impl/2023/2122/oj</t>
  </si>
  <si>
    <t>Updated version for emissions of 2023 (Version of 11 March 2024)</t>
  </si>
  <si>
    <t>2023 Emissions for calculation of free allocation in 2024 and 2025</t>
  </si>
  <si>
    <t>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</si>
  <si>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This template also reflects the latest amendments of the MRR by Commission Implementing Regulation (EU) 2023/2122 of 12 October 2023:</t>
  </si>
  <si>
    <t>As has been mentioned above under point (I), CORSIA is implemented in the EU through the EU ETS Directive, the implementing act pursuent to Article 28c of the Directive, and the MRR. Furthermore, rules of the Accreditation and Verification Regulation (Commission Implementing Regulation (EU) 2018/2067, hereinafter the "AVR") apply.</t>
  </si>
  <si>
    <t>However, general information on CORSIA are available on ICAO's website:</t>
  </si>
  <si>
    <t>This template is the only template that should be used by aircraft operators for reporting their annual emissions, in line with the MRR and the AVR.</t>
  </si>
  <si>
    <t>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</si>
  <si>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"extended full scope".</t>
  </si>
  <si>
    <t>Non-commercial air transport operators which emit less than 1 000 t CO2 per year under the "extended full scope" of the EU ETS.</t>
  </si>
  <si>
    <t xml:space="preserve">Scope changes from 2023: </t>
  </si>
  <si>
    <t>From 2023, flights from Switzerland to the UK are included in the CH ETS. Section 8b of this template has been updated accordingly.</t>
  </si>
  <si>
    <t xml:space="preserve">Scope changes from 2024: </t>
  </si>
  <si>
    <t>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t>
  </si>
  <si>
    <t>This reporting is voluntary. In case the additional flights are not reported by the aircarft operator the Commission will seek the assistance of Eurocontrol in determining the total emissions. (see section 11a)</t>
  </si>
  <si>
    <t>All flights between an aerodrome located in an outermost region and an aerodrome located in another region of the EEA, and flights departing from an aerodrome located in an outermost region and arriving in Switzerland or the United Kingdom will be included from 2024.</t>
  </si>
  <si>
    <t>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t>
  </si>
  <si>
    <t>Aircraft operators have obligations of "CORSIA reporting" to a Member State if they fall within the scope of Article 1 of the Delegated Act (Commisison Delegated Regulation (EU) 2019/1603),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</si>
  <si>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The annual emission reports reports shall at least contain the information listed in Annex X.</t>
  </si>
  <si>
    <t>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t>
  </si>
  <si>
    <t>This is the final version, dated 18 November 2020, providing an update of the final version of the annual emission report template endorsed by the Climate Change Committee by written procedure ending in January 2020 (with corrections of July 2021, February 2022 and December 2023).</t>
  </si>
  <si>
    <t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t>
  </si>
  <si>
    <t>Has the Art. 28a(4) derogation been used?</t>
  </si>
  <si>
    <t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</si>
  <si>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In accordance with Article 1 of Regulation 2019/1603 ('CORSIA Delegated Act'), you have an obligation to report CORSIA data, if you hold an air operator certificate issued by a Member State or are registered in a Member State, including in the outermost regions, dependencies and territories of that Member State. Article 5 of that act specifies which is the administering Member State.</t>
  </si>
  <si>
    <t>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t>
  </si>
  <si>
    <t>In accordance with Article 66(2) of the MRR data gaps must be closed by a method defined in the monitoring plan, or if this is not possible, by using a tool which may be used for the small emitters approach.</t>
  </si>
  <si>
    <t>Flights from Switzerland to EEA countries or to the UK</t>
  </si>
  <si>
    <t>Aggregated CO2 emissions from all flights departing from Switzerland to an EEA Member State or to the UK:</t>
  </si>
  <si>
    <t>This annex to the annual emissions report is used for consistency and compliance checking of data in the previous sections.</t>
  </si>
  <si>
    <t>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t>
  </si>
  <si>
    <t>That article also specifies that in particular situations aircraft operators may request that some data are treated as confidential, i.e. that the publication of data is done at a higher aggregated level. For such request, the Directive specifies:</t>
  </si>
  <si>
    <t>"[...]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t>
  </si>
  <si>
    <t>Please provide a comprehensive and detailed explanation why disclosure of data would be considered to harm your commercial interests:</t>
  </si>
  <si>
    <t>Note that the request will be granted only if both the administering Member State and the Commission deem the reasons for not publishing data satisfactory.</t>
  </si>
  <si>
    <t>In case the space above under point (a1) is not sufficient for explaining your reasons, you may attach a comprehensive explanation in a separate file. In this case, please enter here the filename of the attached file:</t>
  </si>
  <si>
    <t>Filename of attachment, if applicable:</t>
  </si>
  <si>
    <t>Annex: Emissions reporting - only 2023</t>
  </si>
  <si>
    <t>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t>
  </si>
  <si>
    <t>This Annex shall be used to report the total 2023 emissions in respect of flights that are covered by the EU ETS from 1 January 2024 in order to allow for the calulation of free allocations for 2024 and 2025.</t>
  </si>
  <si>
    <t>This reporting is voluntary. If you do not report the required data, the Competent Authority will substitute the data missing with estimated data from Eurocontrol.</t>
  </si>
  <si>
    <t>Which emissions should be reported here?</t>
  </si>
  <si>
    <t>Total emissions reported in section (5)(c) (i.e. the total emissions 2023 for which allowances need to be surrendered) minus emissions from flights covered in 2023 but exempted in 2024 and 2025 plus emissions from flights not covered in 2023 but covered in 2024 and onwards.</t>
  </si>
  <si>
    <t>Note that no allowances have to be surrendered in relation to this Annex.</t>
  </si>
  <si>
    <t>Confidentiality of data in this Annex:</t>
  </si>
  <si>
    <t>It is assumed that your inputs in section (11)(a) also apply to this section.</t>
  </si>
  <si>
    <t>Click here to check content of section (11)(a)</t>
  </si>
  <si>
    <t>Total 2023 Emissions for calculation of free allocation in 2024 and 2025:</t>
  </si>
  <si>
    <t>t CO2 / year</t>
  </si>
  <si>
    <t>Total emissions reported in section (5)(c)</t>
  </si>
  <si>
    <t>Emissions from flights covered in 2023 but exempted in 2024 and 2025</t>
  </si>
  <si>
    <t>Emissions from flights not covered in 2023 but covered in 2024 and onwards</t>
  </si>
  <si>
    <t>Total</t>
  </si>
  <si>
    <t>The flights covered in 2023 but exempted in 2024 and 2025 (exemption in place from 2024 to 2030) are: Flights between an aerodrome located in an outermost region of a Member State and another aerodrome located in the same outermost region.</t>
  </si>
  <si>
    <t>The data is already reported in section (11). Please enter here the aggregated total emissions stemming from these flights.</t>
  </si>
  <si>
    <t>Total CO2 emissions from flights covered in 2023 but exempted in 2024 and 2025</t>
  </si>
  <si>
    <t>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t>
  </si>
  <si>
    <t>You can select here either to use the default emission factors required by EU ETS legislation, or the default values necessary for CORSIA as referenced in Article 7 of the CORSIA delegated act.</t>
  </si>
  <si>
    <t>For emissions from 2024 onwards, the same emission factor as under CORSIA will also be applicable in the EU ETS.</t>
  </si>
  <si>
    <t>Note II: If you used different type of fuels on the same aerodrome pair with different fuel conversion factors, you need to create an identical aerodrome pair and report this portion of fuel separately.</t>
  </si>
  <si>
    <t>Please list all aerodrome pairs on which international flights were performed, whether emissions were estimated using an emission estimation tool, the number of flights, the fuel type and the amount of fuel used.</t>
  </si>
  <si>
    <t>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t>
  </si>
  <si>
    <t>Furthermore, flights between EU Overseas Countries and Territories and EEA States may be subject to offsetting requirements at the discretion of each EEA State according to transposition of the EU ETS Directive into national legislation.</t>
  </si>
  <si>
    <t xml:space="preserve">In addition, from 2023, Article 14(6) of the EU ETS Directive requires the Commission to publish annually aggregated data of flights per pair of intra-EEA aerodrome pair, and some other information per aircraft operator.  </t>
  </si>
  <si>
    <t>However, that article also allows aircraft operators to request that some data are treated as confidential, i.e. that the publication of data is done at a higher aggregated level. For such request, the Directive specifies:</t>
  </si>
  <si>
    <t>If you have answered "True" under point c1, do you want to apply the same reasoning as given in section (11)(a)?</t>
  </si>
  <si>
    <t>Please provide a comprehensive explanation why disclosure of data would be considered to harm your commercial interests:</t>
  </si>
  <si>
    <t>Note that the administering Member State or the Commission may decide not to follow your request in case the reasons for not publishing data are not found conclusive.</t>
  </si>
  <si>
    <t>new 2024</t>
  </si>
  <si>
    <t>Info for automatic Version detection</t>
  </si>
  <si>
    <t>Template type:</t>
  </si>
  <si>
    <t>AO Emissions report 2024 EU ETS &amp; CORSIA &amp; Swiss linking</t>
  </si>
  <si>
    <t>Version:</t>
  </si>
  <si>
    <t>Issued by:</t>
  </si>
  <si>
    <t>European Commission</t>
  </si>
  <si>
    <t>Language:</t>
  </si>
  <si>
    <t>Type list:</t>
  </si>
  <si>
    <t>Monitoring plan tonne-kilometre data</t>
  </si>
  <si>
    <t>MP TKM</t>
  </si>
  <si>
    <t>Monitoring plan annual emissions</t>
  </si>
  <si>
    <t>MP AEm</t>
  </si>
  <si>
    <t>Report tonne-kilometre data</t>
  </si>
  <si>
    <t>Report TKM</t>
  </si>
  <si>
    <t>Report annual emissions</t>
  </si>
  <si>
    <t>Report AEm</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</si>
  <si>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</si>
  <si>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</si>
  <si>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</si>
  <si>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</si>
  <si>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</si>
  <si>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</si>
  <si>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</si>
  <si>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</si>
  <si>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</si>
  <si>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</si>
  <si>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</si>
  <si>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</si>
  <si>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Aircraft operators Emissions report EU ETS &amp; CORSIA</t>
  </si>
  <si>
    <t>AER EU ETS &amp; CORSIA</t>
  </si>
  <si>
    <t>Aircraft operators Emissions report EU ETS &amp; CORSIA &amp; Swiss linking</t>
  </si>
  <si>
    <t>AER EU &amp; CH ETS &amp; CORSIA</t>
  </si>
  <si>
    <t>AER AO 2024</t>
  </si>
  <si>
    <t>Version list</t>
  </si>
  <si>
    <t>Reference File Name</t>
  </si>
  <si>
    <t>Version comments</t>
  </si>
  <si>
    <t>P3 Aircraft AER_COM_en_201112.xls</t>
  </si>
  <si>
    <t xml:space="preserve">First draft </t>
  </si>
  <si>
    <t>P3 Aircraft AER_COM_en_250113.xls</t>
  </si>
  <si>
    <t>Second draft</t>
  </si>
  <si>
    <t>P3 Aircraft AER_COM_en_090313.xls</t>
  </si>
  <si>
    <t>final draft to TWG</t>
  </si>
  <si>
    <t>P3 Aircraft AER_COM_en_220313.xls</t>
  </si>
  <si>
    <t>final draft to CCC (Wording on Croatia corrected)</t>
  </si>
  <si>
    <t>P3 Aircraft AER_COM_en_260413.xls</t>
  </si>
  <si>
    <t>endorsed in CCC 18 April 2013; sent to translation</t>
  </si>
  <si>
    <t>P3 Aircraft AER_COM_en_241115.xls</t>
  </si>
  <si>
    <t>proposed for endorsement by CCC</t>
  </si>
  <si>
    <t>P3 Aircraft AER_COM_en_161215.xls</t>
  </si>
  <si>
    <t>re-endorsed by CCC</t>
  </si>
  <si>
    <t>First Draft with CORSIA elements to TWG for discussion</t>
  </si>
  <si>
    <t>2nd Draft with CORSIA elements to TWG for discussion</t>
  </si>
  <si>
    <t>3rd (Final draft) for endorsement by CCC</t>
  </si>
  <si>
    <t>Final endorsed Version including CORSIA</t>
  </si>
  <si>
    <t>1st draft: Update including Swiss linking</t>
  </si>
  <si>
    <t>Final Draft</t>
  </si>
  <si>
    <t>correction avoiding double counting of non-sustainable biomass</t>
  </si>
  <si>
    <t>revision of some texts to reflect Brexit</t>
  </si>
  <si>
    <t>Update for 2023 reporting, incl. Fit-for-55 requirements - DRAFT</t>
  </si>
  <si>
    <t>Final version for reporting 2023 emissions</t>
  </si>
  <si>
    <t>Bug fix (greying out of CORSIA Annex corrected)</t>
  </si>
  <si>
    <t>rounding in section 11a(b) corrected</t>
  </si>
  <si>
    <t>Corrected Sum Formula in section 8b(c)</t>
  </si>
  <si>
    <t>Version for discussion: Integration of 2023 and 2024 MRR updates; eligible fuels</t>
  </si>
  <si>
    <t>COM</t>
  </si>
  <si>
    <t>AT</t>
  </si>
  <si>
    <t>BE</t>
  </si>
  <si>
    <t>BG</t>
  </si>
  <si>
    <t>HR</t>
  </si>
  <si>
    <t>CY</t>
  </si>
  <si>
    <t>CZ</t>
  </si>
  <si>
    <t>DK</t>
  </si>
  <si>
    <t>EE</t>
  </si>
  <si>
    <t>FI</t>
  </si>
  <si>
    <t>FR</t>
  </si>
  <si>
    <t>DE</t>
  </si>
  <si>
    <t>EL</t>
  </si>
  <si>
    <t>HU</t>
  </si>
  <si>
    <t>IC</t>
  </si>
  <si>
    <t>IE</t>
  </si>
  <si>
    <t>IT</t>
  </si>
  <si>
    <t>LV</t>
  </si>
  <si>
    <t>LI</t>
  </si>
  <si>
    <t>LT</t>
  </si>
  <si>
    <t>LU</t>
  </si>
  <si>
    <t>MT</t>
  </si>
  <si>
    <t>NL</t>
  </si>
  <si>
    <t>NO</t>
  </si>
  <si>
    <t>PL</t>
  </si>
  <si>
    <t>PT</t>
  </si>
  <si>
    <t>RO</t>
  </si>
  <si>
    <t>SK</t>
  </si>
  <si>
    <t>SI</t>
  </si>
  <si>
    <t>ES</t>
  </si>
  <si>
    <t>SE</t>
  </si>
  <si>
    <t>UK</t>
  </si>
  <si>
    <t>Languages list</t>
  </si>
  <si>
    <t>bg</t>
  </si>
  <si>
    <t>es</t>
  </si>
  <si>
    <t>hr</t>
  </si>
  <si>
    <t>cs</t>
  </si>
  <si>
    <t>da</t>
  </si>
  <si>
    <t>de</t>
  </si>
  <si>
    <t>et</t>
  </si>
  <si>
    <t>el</t>
  </si>
  <si>
    <t>en</t>
  </si>
  <si>
    <t>fr</t>
  </si>
  <si>
    <t>ic</t>
  </si>
  <si>
    <t>it</t>
  </si>
  <si>
    <t>lv</t>
  </si>
  <si>
    <t>lt</t>
  </si>
  <si>
    <t>hu</t>
  </si>
  <si>
    <t>mt</t>
  </si>
  <si>
    <t>no</t>
  </si>
  <si>
    <t>nl</t>
  </si>
  <si>
    <t>pl</t>
  </si>
  <si>
    <t>pt</t>
  </si>
  <si>
    <t>ro</t>
  </si>
  <si>
    <t>sk</t>
  </si>
  <si>
    <t>sl</t>
  </si>
  <si>
    <t>fi</t>
  </si>
  <si>
    <t>sv</t>
  </si>
  <si>
    <t>Memo-Item: Total emissions based on preliminary emission factors</t>
  </si>
  <si>
    <t>All flights between an aerodrome located in an outermost region and an aerodrome located in another MS of the EEA, and flights departing from an aerodrome located in an outermost region and arriving in Switzerland or the United Kingdom will be included from 2024.</t>
  </si>
  <si>
    <t>In case this act is replaced by a new one, this will be mentioned in Eur-Lex (see link below). In this case, follow the link to the new legislation given on that website.</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</si>
  <si>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CORSIA delegated act" or "the delegated act [pursuant to Article 28c]".</t>
  </si>
  <si>
    <t>GHG savings (RED) [%]</t>
  </si>
  <si>
    <t xml:space="preserve">(h) </t>
  </si>
  <si>
    <t xml:space="preserve">(i) </t>
  </si>
  <si>
    <t>Note: Unlike in earler versions of this template, you have to enter tonnes of neat fuel consumed in this sheet, not emissions!</t>
  </si>
  <si>
    <t>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t>
  </si>
  <si>
    <t>Please, provide a description of how you meet the specific circumstances defined as well as a comprehensive and detailed explenation why disclosure of data would be considered to harm your commercial interests.</t>
  </si>
  <si>
    <t>Preliminary emissions factor</t>
  </si>
  <si>
    <t>There are three possible situations in which you are required to use this template: (1) if you have to comply with the EU ETS and/or CH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</si>
  <si>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For checking the compliance with the relevant thresholds, emissions have to be calculated using the preliminary emission factor, i.e. without any zero-rating of fuels.</t>
  </si>
  <si>
    <t>The EU ETS Directive also provides for a support scheme for the use of certain alternative aviation fuels by allocating allowances for free pursuant to Article 3c(6) of the Directive. Relavant data need to be reported together with the annual emissions.</t>
  </si>
  <si>
    <t>It is also to be used for application for free allowances pursuant to Article 3c(6) of the EU ETS Directive.</t>
  </si>
  <si>
    <t xml:space="preserve">According to the delegated act pursuant to Article 3c(6) of the EU ETS Directive, this template is also to be used for application for the EU ETS support under that Article. </t>
  </si>
  <si>
    <t>Aircraft operators have obligations of "CORSIA reporting" to a Member State if they fall within the scope of sub-paragraphs 3 and 4 of Article 12(6) of the EU ETS Directive,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</si>
  <si>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 xml:space="preserve">If you have an obligation under CORSIA to the same state as under the EU ETS, you should fill in the sections of this template which are marked as relating to ICAO's market based mechanism CORSIA (indicated by a light blue frame). </t>
  </si>
  <si>
    <t>If for CORSIA purposes you are attributed to another state, you have to report the data relevant for CORSIA to that state. Therefore please get in touch with the relevant competent authority of that state for further instructions on the need to deliver an annual emissions report.</t>
  </si>
  <si>
    <t>CNTR_simplified_grey</t>
  </si>
  <si>
    <t>As has been mentioned above under point (I), CORSIA is implemented in the EU through the EU ETS Directive, the implementing act pursuant to Article 28c of the Directive, and the MRR. Furthermore, rules of the Accreditation and Verification Regulation (Commission Implementing Regulation (EU) 2018/2067, hereinafter the "AVR") apply.</t>
  </si>
  <si>
    <t>For distinguishing the compliance mechanisms of the EU ETS and CORSIA, this template uses the following terminology:</t>
  </si>
  <si>
    <t>-</t>
  </si>
  <si>
    <t>emissions or flights "falling under the EU ETS" means emissions or flights for which allowances have to be surrendered pursuant to Article 12(3) of the EU ETS Directive;</t>
  </si>
  <si>
    <t>Life cycle emissions [t CO2 / t fuel]</t>
  </si>
  <si>
    <t>Please give here the amount of emissions (in tonnes CO2) which are affected by the data gap. This figure must be INCLUDED in section 5 and/or section 12 depending on the type.</t>
  </si>
  <si>
    <t>If you have chosen "Other" under point (h) above, which one?</t>
  </si>
  <si>
    <t>Please note:</t>
  </si>
  <si>
    <t>Please provide here the calculation factors needed for describing each fuel's properties for calculating the emissions. Input is required only if you are using other fuels than the standard fuels already defined.</t>
  </si>
  <si>
    <t>Please also provide information about the fuel type of each alternative fuel used. A list of each fuel type, its corresponding short name and a description of the fuel type is provided below. By checking the automatically filled (green) cells, please ensure if you have selected the correct fuel type (e.g.: not all fuel types correspond to zero-rated fuels).</t>
  </si>
  <si>
    <t>Note that only alternative fuels used for EU ETS purposes are to be listed here. "CORSIA eligible fuels", if applicable, are to be reported in section (12)(b1) of this template.</t>
  </si>
  <si>
    <t>CO2 emissions
[t CO2]</t>
  </si>
  <si>
    <t>Here you have to enter the quantity of each fuel used in the reporting year (also referred to as "activity data"). The emissions and the memo-items are calculated automatically using the calculation factors defined under point (b).</t>
  </si>
  <si>
    <t>This is calculated from the preliminary emission factor and the non-zero-rated fraction of the fuel.</t>
  </si>
  <si>
    <t>This is the amount of "fossil" (i.e. non-zero-rated) emissions (including emissions from biofuels, RFNBO/RCF or SLCF for which no evidence for compliance with the sustainability or GHG savings criteria of the RED has been provided). It is identical to the emissions for which allowances are to be surrendered.</t>
  </si>
  <si>
    <t>CO2 from zero-rated biomass</t>
  </si>
  <si>
    <t xml:space="preserve">This figure shows as a memo-item the emissions from zero-rated biomass (i.e. biofuels which comply with the sustainability and GHG savingscriteria of the RED). </t>
  </si>
  <si>
    <t>CO2 from non-zero-rated biomass</t>
  </si>
  <si>
    <t>This figure shows as a memo-item the emissions from non-zero-rated biomass.</t>
  </si>
  <si>
    <t>etc.</t>
  </si>
  <si>
    <t>Further memo-items per fuel relating to RFNBO/RCF and SLCF fractions</t>
  </si>
  <si>
    <t>Emissions
[t CO2]</t>
  </si>
  <si>
    <t>For convenient use of this sheet, if you use fewer fuels than can be defined in section 5, you may hide (not delete!) columns of undefined fuels accordingly.</t>
  </si>
  <si>
    <t xml:space="preserve">Hide row following Brexit </t>
  </si>
  <si>
    <t>Attention: You have chosen to opt-out from the EU ETS support scheme under Article 3c(6) of the EU ETS Directive. Therefore, you will not be eligible to receive free allocation for the use of eligible aviation fuels, even if reported in this report.</t>
  </si>
  <si>
    <t>You are applying for support for the use of eligible aviation fuels under Article 3c(6) of the EU ETS Directive using the data displayed below.</t>
  </si>
  <si>
    <t>In accordance with sub-paragraphs 3 and 4 of Article 12(6) of the EU ETS Directive, you have an obligation to report CORSIA data, if you hold an air operator certificate issued by a Member State or are registered in a Member State, including in the outermost regions, dependencies and territories of that Member State. The CORSIA delegated act specifies which is the administering Member State.</t>
  </si>
  <si>
    <t>emissions or flights "falling under CORSIA" means one of the following:</t>
  </si>
  <si>
    <t>emissions or flights with offsetting requirement, i.e. for which the aircraft operator shall cancel units pursuant to Article 12(9) of the EU ETS Directive;</t>
  </si>
  <si>
    <t>flights with CORSIA MRV obligation: Emissions or flights for which the aircraft operator shall monitor and report emissions in accordance with the CORSIA Delegated Act.</t>
  </si>
  <si>
    <t>--</t>
  </si>
  <si>
    <t>CNTR_FuelSelectionInclStd</t>
  </si>
  <si>
    <t>Fuel name as defined in section 5</t>
  </si>
  <si>
    <t>Fuel consumed [tonnes]</t>
  </si>
  <si>
    <t>CNTR_FuelListNamesInclStd</t>
  </si>
  <si>
    <t>Total fuels consumed [tonnes]</t>
  </si>
  <si>
    <t>The addition of further rows must be done by copying an empty row and inserting it thereafter. A simple "insert row" command will NOT be sufficent.</t>
  </si>
  <si>
    <t>If you used more than one (neat) fuel per aerodrome pair, please report the same pair in a separate line for each fuel.</t>
  </si>
  <si>
    <t>Note II: If you used different type of fuels on the same aerodrome pair with different preliminary emission factors, you need to create an identical aerodrome pair and report this portion of fuel separately.</t>
  </si>
  <si>
    <t>Note III: Please also complete the CORSIA eligible fuels supplementary information to the Annual Emissions Report, if CORSIA eligible fuels were used during the reporting period.</t>
  </si>
  <si>
    <t>Reductions claimed</t>
  </si>
  <si>
    <t>If claiming reductions from the use of CORSIA eligible fuels, please complete the table below in accordance with the CORSIA delegated act. Supplementary information about the claim is also required, and can be reported using the appropriate supplementary template on CORSIA eligible fuels supplementary information.</t>
  </si>
  <si>
    <t>Total reductions from the use of CORSIA eligible fuel(s) claimed:</t>
  </si>
  <si>
    <t>Total reductions claimed from the use of CORSIA eligible fuels (in tonnes):</t>
  </si>
  <si>
    <t>Note: This sheet only has to be filled if you have an obligation to report CORSIA-related emissions to your administering Member State. All international flights have to be reported here in accordance with the delegated act pursuant to Article 28c of the ETS Directive.</t>
  </si>
  <si>
    <t>The following rules apply:</t>
  </si>
  <si>
    <t xml:space="preserve">In this case, the alternative fuel is attributed to the flight directly following the uplift. Where several subsequent flights are carried out without fuel uplift between these flights ("tankering"), the aircraft operator shall split the amount of the alternative fuel and assign it to these flights proportionally to the emissions from those flights calculated using the preliminary emission factor. </t>
  </si>
  <si>
    <t>B. The fuel delivered cannot be physically attributed to a specific flight,e.g. because it is physically delivered only to a tank/pipeline system at the aerodrome</t>
  </si>
  <si>
    <t>A. The fuel is delivered directly to the aircraft in physically identifiable batches</t>
  </si>
  <si>
    <t>In this case, the alternative fuel is attributed proportionally using the following formulae:</t>
  </si>
  <si>
    <t>Where the variables have the following meaning:</t>
  </si>
  <si>
    <t>Proportionality factor to be applied for all fuels uplifted at the same aerodrome (with exception of batches physically delivered to the aircraft).</t>
  </si>
  <si>
    <t>Total emissions of all flights by the aircraft operator starting from this aerodrome using all fuels (including standard fuels) and which are "relevant" (see explanation below), calculated using the preliminary emission factor (i.e. without zero-rating).</t>
  </si>
  <si>
    <t>Total emissions of all flights by the aircraft operator starting from this aerodrome using all fuels (including standard fuels), calculated using the preliminary emission factor (i.e. without zero-rating), including non-ETS flights.</t>
  </si>
  <si>
    <t>Which flights are relevant for the calculation of the proportionality factor depends on the reporting purpose:</t>
  </si>
  <si>
    <t>Reporting of alternative fuels in general (Article 53a of the MRR)</t>
  </si>
  <si>
    <t>Reporting of eligible aviation fuels for applying for support under Art. 3c(6) of the EU ETS Directive (Article 54a of the MRR)</t>
  </si>
  <si>
    <t>All flights starting from this aerodrome for which allowances have to be surrendered pursuant to Article 12(3) of the EU ETS Directive, i.e. the flights under the "reduced scope" of the EU ETS.</t>
  </si>
  <si>
    <t>AND</t>
  </si>
  <si>
    <t>All flights starting from this aerodrome for which allowances have to be surrendered pursuant to Article 12(3) of the EU ETS Directive, i.e. all flights under the "reduced scope" of the EU ETS</t>
  </si>
  <si>
    <t>flights starting from this aerodrome covered by Article 3c(8) of the EU ETS Directive, i.e. flights between an aerodrome located in an outermost region of a Member State and an aerodrome located in the same Member State, including another aerodrome located in the same outermost region or in another outermost region of the same Member State.</t>
  </si>
  <si>
    <t>Therefore, for filling the table below, you should perform the following steps:</t>
  </si>
  <si>
    <t>Step 1: Generate a list of all aerodromes at which your aircraft have uplifted alternative aviation fuels. Where more than one fuel (as defined in section 5 of this template) is relevant at an aerodrome, you have to provide separate rows in the table for each fuel. Only neat fuels are to be reported. Therefore, the fossil fraction and standard fuels do not have to be listed here.</t>
  </si>
  <si>
    <t>Step 2 (only if you want to apply for support in form of free allowances pursuant to Article 3c(6) of the EU ETS Directive): Identify for each aerodrome whether it is eligible for 100% support in accordance with point (c) of the third sub-paragraph of Article 3c(6), i.e. airports situated on islands smaller than 10 000 km2 and with no road or rail link with the mainland, airports which are insufficiently large to be defined as Union airports in accordance with the ReFuelEU Aviation Regulation and airports located in an outermost region.</t>
  </si>
  <si>
    <t>The results of the above steps are to be entered in the table below, with specific guidance for each column as follows:</t>
  </si>
  <si>
    <t>Pick the fuel name from the drop-down list, which is automatically generated from all fuels for which complete information has been entered in section 5.</t>
  </si>
  <si>
    <t>Enter "TRUE" or "FALSE" in accordance with step 2 explained above. If left empty, "FALSE" is assumed. Note that this information is used for the automatic calculation in section 10b of this template, in the sheet "FEETS Application".</t>
  </si>
  <si>
    <t>Please note that here total emissions using the preliminary emission factor need to be entered (i.e. without zero-rating).</t>
  </si>
  <si>
    <t>Proportionality factor (Art. 53a) [%]</t>
  </si>
  <si>
    <t>Proportionality factor for eligible fuels (Art. 54a) [%]</t>
  </si>
  <si>
    <t>Attributed fuel (tonnes)</t>
  </si>
  <si>
    <t>Attributed zero-rated fuel (tonnes)</t>
  </si>
  <si>
    <t>Note: Due to the complexity of the formulae connected to the fuel types, it is not possible to add further rows!</t>
  </si>
  <si>
    <t>is zero-rated?</t>
  </si>
  <si>
    <t>CNTR_FuelListIsFossil</t>
  </si>
  <si>
    <t>Is fossil?</t>
  </si>
  <si>
    <t>The template calculates here automatically the amount of neat fuel atributed in line with the proportionality factor pursuant to Art. 53a.</t>
  </si>
  <si>
    <t>If the fuel selected is declared as being zero-rated (section 5), here the same quantity as in the previous column is displayed. Otherwise the cell is made grey.</t>
  </si>
  <si>
    <t>The template calculates here automatically the amount of neat fuel atributed in line with the proportionality factor pursuant to Art. 54a of the MRR for fuels eligible for support under Article 3c(6) of the EU ETS Directive. Note that this information is used for the automatic calculation in section 10b of this template, in the sheet "FEETS Application".</t>
  </si>
  <si>
    <t>Further notes on filling this table:</t>
  </si>
  <si>
    <t>Enter a proportionality factor of 100% for the quantity physically delivered.</t>
  </si>
  <si>
    <t>In case of tankering, you have to enter only the fuel quantity assigned to the first flight from the aerodrome of first departure. Then you have to create an additional row for the aerodrome from where the second flight departs, even if the respective fuel is not available at that aerodrome. Again 100% proportionality for that amount assigned to the second flight are to be reported.</t>
  </si>
  <si>
    <t>If at an aerodrome both situations A and B apply, the respective fuel quantities have to be reported in separate rows, even if the same fuel at the same aerodrome is involved.</t>
  </si>
  <si>
    <t>Fuel attribution by Aerodromes</t>
  </si>
  <si>
    <t>An obligation under CORSIA is given only if you are producing annual CO2 emissions greater than 10,000 tonnes from international flights conducted by aeroplanes with a maximum certificated take-off mass greater than 5,700 kg from 1 January 2019, with the exception of state and military flights, humanitarian, medical and firefighting flights as well as flights preceding or following humanitarian, medical or firefighting flights provided that such flights were conducted with the same aircraft and were required to accomplish the related humanitarian, medical or firefighting activities or to reposition the aircraft after those activities for its next activity.</t>
  </si>
  <si>
    <t>Step 4: For each identified aerodrome, determine the proportionality factor which applies to alternative aviation fuels in general, in particular for zero-rating, pursuant to Article 53a of the MRR .</t>
  </si>
  <si>
    <t>Step 5 (only if you want to apply for support under Article 3c(6) of the EU ETS Directive and the fuel is eligible for such support): For each identified aerodrome, determine the proportionality factor which applies to eligible aviation fuels pursuant to Article 54a of the MRR.</t>
  </si>
  <si>
    <t>Please use the 4-letter ICAO designator (same as in sections 11 and 12 of this template)</t>
  </si>
  <si>
    <t xml:space="preserve">In case of situation A (direct physical delivery to aircraft), please use the following approach for filling the table: </t>
  </si>
  <si>
    <t>This template also reflects the latest amendments of the MRR by Commission Implementing Regulation (EU) 2024/2493 of 23 September 2024:</t>
  </si>
  <si>
    <t>http://data.europa.eu/eli/reg_impl/2024/2493/oj</t>
  </si>
  <si>
    <t>The annual emission reports shall at least contain the information listed in Annex X.</t>
  </si>
  <si>
    <t>http://data.europa.eu/eli/agree_internation/2017/2240/2023-11-15</t>
  </si>
  <si>
    <t>Synthetic low-carbon aviation fuels as defined in Article 3, point (13) of Regulation (EU) 2023/2405 that is not derived from fossil fuels and is complying with the required greenhouse gas reduction criterion</t>
  </si>
  <si>
    <t>Synthetic low-carbon aviation fuels as defined in Article 3, point (13) of Regulation (EU) 2023/2405 that is derived from fossil fuels and/or is NOT complying with the required greenhouse gas reduction criterion</t>
  </si>
  <si>
    <t>Synthetic low-carbon aviation fuels as defined in Article 3, point (13) of Regulation (EU) 2023/2405 that is not derived from fossil fuels</t>
  </si>
  <si>
    <t>MRR category</t>
  </si>
  <si>
    <t>Note: Due to the complexity of the formulae connected to the fuel types, it is not possible to add further rows for additional fuels!</t>
  </si>
  <si>
    <t>In the (unlikely) case that you are using fuel types which deviate from the predefined types, you can provide the parameters of such fuels manually in the last two rows of the table below (fuels No. 17 and 18).</t>
  </si>
  <si>
    <t>Confirmation of eligibility for simplified approach pursuant to Article 55(2) of the MRR:</t>
  </si>
  <si>
    <t>Attributed fuel quantity of Fuel N at the specified aerodrome in tonnes (the amount of fuel to be reported for calculating its emissions).</t>
  </si>
  <si>
    <t>Enter here the proprtionality factor determined in step 4. Note that you can enter either a value between 0 and 1 (without %-sign), or a value between 0% and 100% (this is the default format). You can add all significant digits after the comma, and adjust displayed number format, if relevant. If left empty, a value of zero is assumed.</t>
  </si>
  <si>
    <t>Enter here the proprtionality factor determined in step 5, if applicable. Note that you can enter either a value between 0 and 1 (without %-sign), or a value between 0% and 100% (this is the default format). You can add all significant digits after the comma, and adjust displayed number format, if relevant. If left empty, a value of zero is assumed.</t>
  </si>
  <si>
    <t>Enter here the total amount of this neat fuel in tonnes used at this aerodrome for ALL your flights departing from this aerodrome in accordance with step 3.</t>
  </si>
  <si>
    <t>Total alternative aviation fuel used [tonnes]</t>
  </si>
  <si>
    <t>Total quantity (in tonnes) of the Fuel N used by the aircaft operator at the specified aerodrome</t>
  </si>
  <si>
    <t>Step 3: For each identified fuel and aerodrome, determine the total quantity of this (neat) fuel used at this aerodrome.</t>
  </si>
  <si>
    <t>Please, list all aearodromes where an alternative aviation fuel was used and the corresponding proportionality that applies at that aerodrome. Please, ensure that the resulting amount of neat alternative fuels claimed is correct.</t>
  </si>
  <si>
    <t>Alternative aviation fuel name</t>
  </si>
  <si>
    <t>As an aircraft operator, you have to attribute alternative aviation fuels (i.e. all fuels except the fossil standard fuels Jet A, Jet A1, Jet B and AvGas) and their emissions proportionally between EU ETS flights and other flights. This is regulatated in Article 53a of the MRR for alternative aviation fuels in general (in particular for zero-rated fuels) and in Article 54a regarding aviation fuels eligible for support pursuant to Article 3c(6) of the EU ETS Directive. In this section only quantities of neat alterntive aviation fuels are to be reported.</t>
  </si>
  <si>
    <t>In order to first fill section 10a, please click here for going to sheet "Annex Aerodromes".</t>
  </si>
  <si>
    <t xml:space="preserve">Please note that the result here is the quantity of fuel used to be reported in sections 5c and 5d. </t>
  </si>
  <si>
    <t>In case of alternative aviation fuels, you have to report the fuel quantities which are the result of the proportional attribution (see section 10a in sheet "Annex Aerodromes", Column I).</t>
  </si>
  <si>
    <t>Note that for the purposes of the EU ETS, the threshold applies to the sum of all flights within EEA, outgoing from EEA and incoming to EEA, excluding those incoming from Switzerland and the UK.</t>
  </si>
  <si>
    <t>For limiting administrative burden, sections (a) to (f) apply to both systems, EU ETS and CH ETS.</t>
  </si>
  <si>
    <t>Total emissions related to the reduced scope (taken from section 5(c) automatically)</t>
  </si>
  <si>
    <t>Please provide here important information related to the criteria to be met for zero-rating biofuels, RFNBO/RCF and SLCFs. Life cycle emissions should be given as t CO2 / t fuel, and calculated according to the methods provided by the Renewable Energy Directive (RED). Such information may be retrieved from the "proof of sustainability" (PoS) issued under a certification scheme recognised by the Commission under the RED or other equivalent document.</t>
  </si>
  <si>
    <t>The totals in the following table should be consistent with the result of section 5(c). The following sections (b) and (c) should be filled without any double counting of emissions between them.</t>
  </si>
  <si>
    <t>Use of alternative aviation fuels can be reported without proportional attribution (i.e. see section 10a in sheet "Annex Aerodromes" IS NOT APPLICABLE to flights falling under the CH ETS).</t>
  </si>
  <si>
    <t>When ready with entries in this sheet, please click here for returning to entering data in section 5c (fuel quantities used in sheet "Emissions overview").</t>
  </si>
  <si>
    <t>Note on CH ETS:</t>
  </si>
  <si>
    <t>The rules for attributing alternative fuels proportionally to ETS flights do NOT apply to CH ETS. Therefore, no Swiss aerodromes should be listed in this table.</t>
  </si>
  <si>
    <t>This section shall be used solely for the purpose of EU ETS, alternative fuels used under CH ETS shall not be reported under this section.</t>
  </si>
  <si>
    <t>Please, be aware that in this sheet the fuel use of ALL fuels, including standard fuels, is to be reported. The total figures will therefore significantly deviate from the amounts in section 10a (Annex Aerodromes), where only alternative fuels under EU ETS need to be reported. However, the total amount of alternative fuels reported on EU ETS flights in this sheet should indeed match the  total amount of alternative fuels attributed in section 10a. Moreover, please, be aware that alternative fuels reported on CH ETS flights are not included in section 10a and should be therefore attributed directly in this sheet.</t>
  </si>
  <si>
    <t>Attributed quantity in section 10a</t>
  </si>
  <si>
    <t>For checking if the amounts of alternative fuels are consistent with quantities attributed at aerodromes in accordance with section 10a, the amounts calculated there are displayed in the rightmost column of this table.</t>
  </si>
  <si>
    <t>In case of a deviation of more than 0.1 tonnes fuel, the cell turns red.</t>
  </si>
  <si>
    <t>Final version to be used for emissions from 2024</t>
  </si>
  <si>
    <t>This is the final version, dated 23 January 2025, providing an update of the final version of the annual emission report template endorsed by the Climate Change Committee in January 2020.</t>
  </si>
  <si>
    <t>Updated version for emissions from of 2024 onwards</t>
  </si>
  <si>
    <t>TEXT CH Version</t>
  </si>
  <si>
    <t>ANNUAL EMISSIONS REPORT FOR AIRCRAFT OPERATORS ADMINISTERED BY SWITZERLAND</t>
  </si>
  <si>
    <t>changed</t>
  </si>
  <si>
    <t>The Federal Office for the Environment (FOEN) requires you to submit this monitoring report via the FOEN’s information and documentation system.</t>
  </si>
  <si>
    <t>This is the year in which the reported aviation activities took place, i.e. 2021 for the report which you submit by 31 March 2022.</t>
  </si>
  <si>
    <t>Administering State under the One-Stop-Shop:</t>
  </si>
  <si>
    <t>Competent authority:</t>
  </si>
  <si>
    <t>AOC issuing authority:</t>
  </si>
  <si>
    <t xml:space="preserve"> </t>
  </si>
  <si>
    <t>Federal Office for the Environment</t>
  </si>
  <si>
    <t>Note: it is assumed, that one joint monitoring plan for the CH ETS and the EU ETS is used.</t>
  </si>
  <si>
    <t>Used for combined reporting under the CH ETS and EU ETS</t>
  </si>
  <si>
    <t>This name should be the legal entity carrying out the aviation activities.</t>
  </si>
  <si>
    <t>The totals in the following table should be consistent with the result of section 5(d). The following sections (b) and (c) should be filled without any double counting of emissions between them.</t>
  </si>
  <si>
    <t>Please note that all figures should only refer to flights to be reported under the CH ETS.</t>
  </si>
  <si>
    <t>Total aggregated CO2 emissions from all flights relating to the scope of the CH ETS (= B + C)</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</si>
  <si>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t>
  </si>
  <si>
    <t>Specific further information</t>
  </si>
  <si>
    <t>Space for further comments:</t>
  </si>
  <si>
    <t>FOEN</t>
  </si>
  <si>
    <t>CH version: CORSIA hidden and some wording edits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</si>
  <si>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</si>
  <si>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Please submit the electronic version of this file by using FOEN’s information and documentation system under the following link:</t>
  </si>
  <si>
    <t>www.core.admin.ch</t>
  </si>
  <si>
    <t>Questions can be sent to the following address:</t>
  </si>
  <si>
    <t>Federal Office for the Environment
Climate Division
Reference 'ETS Aviation'
3003 Bern
Switzerland
ets-avitation@bafu.admin.ch</t>
  </si>
  <si>
    <t>Updated version for emissions of 2024</t>
  </si>
  <si>
    <t>CH version: minor bug fix (Emissions data F140)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</si>
</sst>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 ;[Red]\-#,##0\ "/>
    <numFmt numFmtId="165" formatCode="#,##0.00_ ;[Red]\-#,##0.00\ "/>
    <numFmt numFmtId="166" formatCode="0;;;@"/>
    <numFmt numFmtId="167" formatCode="#,##0.0"/>
    <numFmt numFmtId="168" formatCode="0.0%"/>
    <numFmt numFmtId="169" formatCode="0.000"/>
  </numFmts>
  <fonts count="1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
      <strike/>
      <sz val="10"/>
      <color rgb="FFFF0000"/>
      <name val="Arial"/>
      <family val="2"/>
    </font>
    <font>
      <i/>
      <u/>
      <sz val="8"/>
      <color indexed="12"/>
      <name val="Arial"/>
      <family val="2"/>
    </font>
    <font>
      <sz val="8"/>
      <color rgb="FF0070C0"/>
      <name val="Arial"/>
      <family val="2"/>
    </font>
    <font>
      <i/>
      <sz val="8"/>
      <color rgb="FFFF0000"/>
      <name val="Arial"/>
      <family val="2"/>
    </font>
    <font>
      <sz val="11"/>
      <color rgb="FFFF0000"/>
      <name val="Calibri"/>
      <family val="2"/>
      <scheme val="minor"/>
    </font>
    <font>
      <sz val="10"/>
      <name val="Arial"/>
      <family val="2"/>
    </font>
    <font>
      <b/>
      <sz val="11"/>
      <color theme="1"/>
      <name val="Calibri"/>
      <family val="2"/>
      <scheme val="minor"/>
    </font>
    <font>
      <sz val="11"/>
      <name val="Calibri"/>
      <family val="2"/>
      <scheme val="minor"/>
    </font>
    <font>
      <b/>
      <i/>
      <sz val="8"/>
      <color rgb="FFFF0000"/>
      <name val="Arial"/>
      <family val="2"/>
    </font>
    <font>
      <strike/>
      <sz val="10"/>
      <name val="Arial"/>
      <family val="2"/>
    </font>
    <font>
      <sz val="10"/>
      <color theme="1"/>
      <name val="Arial"/>
      <family val="2"/>
    </font>
    <font>
      <b/>
      <i/>
      <sz val="10"/>
      <name val="Arial"/>
      <family val="2"/>
    </font>
    <font>
      <sz val="11"/>
      <color theme="1"/>
      <name val="Arial"/>
      <family val="2"/>
    </font>
    <font>
      <b/>
      <sz val="10"/>
      <color theme="1"/>
      <name val="Arial"/>
      <family val="2"/>
    </font>
    <font>
      <i/>
      <strike/>
      <sz val="10"/>
      <name val="Arial"/>
      <family val="2"/>
    </font>
    <font>
      <sz val="10"/>
      <color rgb="FF000000"/>
      <name val="Arial"/>
      <family val="2"/>
    </font>
    <font>
      <b/>
      <i/>
      <u/>
      <sz val="8"/>
      <color indexed="62"/>
      <name val="Arial"/>
      <family val="2"/>
    </font>
    <font>
      <sz val="10"/>
      <color theme="3"/>
      <name val="Arial"/>
      <family val="2"/>
    </font>
    <font>
      <sz val="10"/>
      <color rgb="FF0000FF"/>
      <name val="Arial"/>
      <family val="2"/>
    </font>
    <font>
      <u/>
      <sz val="8"/>
      <color rgb="FF0000FF"/>
      <name val="Arial"/>
      <family val="2"/>
    </font>
    <font>
      <b/>
      <sz val="11"/>
      <color theme="0" tint="-0.34998626667073579"/>
      <name val="Calibri"/>
      <family val="2"/>
      <scheme val="minor"/>
    </font>
    <font>
      <b/>
      <sz val="11"/>
      <color rgb="FFFF0000"/>
      <name val="Calibri"/>
      <family val="2"/>
    </font>
    <font>
      <b/>
      <u/>
      <sz val="20"/>
      <color theme="0"/>
      <name val="Arial"/>
      <family val="2"/>
    </font>
    <font>
      <sz val="12"/>
      <color rgb="FFFF0000"/>
      <name val="Arial"/>
      <family val="2"/>
    </font>
    <font>
      <i/>
      <sz val="12"/>
      <color rgb="FFFF0000"/>
      <name val="Arial"/>
      <family val="2"/>
    </font>
    <font>
      <sz val="12"/>
      <color rgb="FFFF0000"/>
      <name val="Calibri"/>
      <family val="2"/>
    </font>
    <font>
      <sz val="12"/>
      <color rgb="FFFF0000"/>
      <name val="Calibri"/>
      <family val="2"/>
      <scheme val="minor"/>
    </font>
    <font>
      <b/>
      <sz val="14"/>
      <color theme="0"/>
      <name val="Arial"/>
      <family val="2"/>
    </font>
    <font>
      <u/>
      <sz val="18"/>
      <color theme="0"/>
      <name val="Arial"/>
      <family val="2"/>
    </font>
    <font>
      <sz val="12"/>
      <name val="Arial"/>
      <family val="2"/>
    </font>
    <font>
      <u/>
      <sz val="12"/>
      <color indexed="12"/>
      <name val="Arial"/>
      <family val="2"/>
    </font>
  </fonts>
  <fills count="49">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
      <patternFill patternType="solid">
        <fgColor rgb="FF00B05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lightUp">
        <bgColor indexed="26"/>
      </patternFill>
    </fill>
    <fill>
      <patternFill patternType="lightUp">
        <bgColor rgb="FFCCFFCC"/>
      </patternFill>
    </fill>
    <fill>
      <patternFill patternType="solid">
        <fgColor theme="0" tint="-0.34998626667073579"/>
        <bgColor indexed="64"/>
      </patternFill>
    </fill>
    <fill>
      <patternFill patternType="solid">
        <fgColor theme="0" tint="-0.499984740745262"/>
        <bgColor indexed="64"/>
      </patternFill>
    </fill>
    <fill>
      <patternFill patternType="solid">
        <fgColor rgb="FF0070C0"/>
        <bgColor indexed="64"/>
      </patternFill>
    </fill>
    <fill>
      <patternFill patternType="solid">
        <fgColor theme="6" tint="0.59999389629810485"/>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medium">
        <color indexed="64"/>
      </right>
      <top style="medium">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indexed="64"/>
      </top>
      <bottom style="hair">
        <color auto="1"/>
      </bottom>
      <diagonal/>
    </border>
    <border>
      <left style="hair">
        <color auto="1"/>
      </left>
      <right style="thin">
        <color auto="1"/>
      </right>
      <top style="hair">
        <color auto="1"/>
      </top>
      <bottom style="thin">
        <color indexed="64"/>
      </bottom>
      <diagonal/>
    </border>
    <border>
      <left/>
      <right style="thin">
        <color indexed="64"/>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hair">
        <color indexed="64"/>
      </top>
      <bottom/>
      <diagonal/>
    </border>
    <border>
      <left/>
      <right style="hair">
        <color auto="1"/>
      </right>
      <top style="hair">
        <color indexed="64"/>
      </top>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23">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16" fillId="2" borderId="0" applyNumberFormat="0" applyBorder="0" applyAlignment="0" applyProtection="0"/>
    <xf numFmtId="0" fontId="17" fillId="10" borderId="1" applyNumberFormat="0" applyAlignment="0" applyProtection="0"/>
    <xf numFmtId="0" fontId="18" fillId="3" borderId="0" applyNumberFormat="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5" applyNumberFormat="0" applyFill="0" applyAlignment="0" applyProtection="0"/>
    <xf numFmtId="0" fontId="23" fillId="11" borderId="0" applyNumberFormat="0" applyBorder="0" applyAlignment="0" applyProtection="0"/>
    <xf numFmtId="0" fontId="5" fillId="12" borderId="6" applyNumberFormat="0" applyFont="0" applyAlignment="0" applyProtection="0"/>
    <xf numFmtId="0" fontId="5" fillId="0" borderId="0"/>
    <xf numFmtId="0" fontId="4" fillId="0" borderId="0"/>
    <xf numFmtId="0" fontId="24" fillId="0" borderId="0" applyNumberFormat="0" applyFill="0" applyBorder="0" applyAlignment="0" applyProtection="0"/>
    <xf numFmtId="0" fontId="3" fillId="0" borderId="0"/>
    <xf numFmtId="9" fontId="136" fillId="0" borderId="0" applyFont="0" applyFill="0" applyBorder="0" applyAlignment="0" applyProtection="0"/>
  </cellStyleXfs>
  <cellXfs count="1421">
    <xf numFmtId="0" fontId="0" fillId="0" borderId="0" xfId="0"/>
    <xf numFmtId="0" fontId="5" fillId="13" borderId="0" xfId="0" applyFont="1" applyFill="1" applyAlignment="1">
      <alignment vertical="top" wrapText="1"/>
    </xf>
    <xf numFmtId="0" fontId="0" fillId="0" borderId="0" xfId="0" applyAlignment="1">
      <alignment vertical="top" wrapText="1"/>
    </xf>
    <xf numFmtId="0" fontId="11" fillId="0" borderId="0" xfId="14" applyAlignment="1" applyProtection="1">
      <alignment vertical="top" wrapText="1"/>
    </xf>
    <xf numFmtId="0" fontId="47" fillId="0" borderId="0" xfId="0" applyFont="1"/>
    <xf numFmtId="0" fontId="0" fillId="14" borderId="0" xfId="0" applyFill="1"/>
    <xf numFmtId="0" fontId="5" fillId="13" borderId="0" xfId="0" applyFont="1" applyFill="1" applyAlignment="1">
      <alignment vertical="top"/>
    </xf>
    <xf numFmtId="0" fontId="7" fillId="13" borderId="0" xfId="0" applyFont="1" applyFill="1" applyAlignment="1">
      <alignment horizontal="center" vertical="top"/>
    </xf>
    <xf numFmtId="0" fontId="5" fillId="15" borderId="0" xfId="0" applyFont="1" applyFill="1" applyAlignment="1">
      <alignment vertical="top"/>
    </xf>
    <xf numFmtId="0" fontId="5" fillId="0" borderId="0" xfId="0" applyFont="1"/>
    <xf numFmtId="0" fontId="7" fillId="0" borderId="0" xfId="0" applyFont="1" applyAlignment="1">
      <alignment horizontal="center" vertical="top"/>
    </xf>
    <xf numFmtId="0" fontId="38" fillId="0" borderId="0" xfId="0" applyFont="1"/>
    <xf numFmtId="0" fontId="0" fillId="0" borderId="0" xfId="0" applyAlignment="1">
      <alignment vertical="top"/>
    </xf>
    <xf numFmtId="0" fontId="7" fillId="0" borderId="0" xfId="0" applyFont="1"/>
    <xf numFmtId="0" fontId="0" fillId="16" borderId="0" xfId="0" applyFill="1"/>
    <xf numFmtId="0" fontId="39" fillId="0" borderId="0" xfId="0" applyFont="1" applyAlignment="1">
      <alignment vertical="top" wrapText="1"/>
    </xf>
    <xf numFmtId="0" fontId="0" fillId="16" borderId="7" xfId="0" applyFill="1" applyBorder="1"/>
    <xf numFmtId="0" fontId="0" fillId="16" borderId="8" xfId="0" applyFill="1" applyBorder="1"/>
    <xf numFmtId="0" fontId="7" fillId="0" borderId="0" xfId="0" applyFont="1" applyAlignment="1">
      <alignment horizontal="left" vertical="top"/>
    </xf>
    <xf numFmtId="0" fontId="5" fillId="0" borderId="0" xfId="0" applyFont="1" applyAlignment="1">
      <alignment vertical="top"/>
    </xf>
    <xf numFmtId="0" fontId="35" fillId="0" borderId="0" xfId="0" applyFont="1"/>
    <xf numFmtId="0" fontId="0" fillId="17" borderId="0" xfId="0" applyFill="1"/>
    <xf numFmtId="0" fontId="5" fillId="17" borderId="0" xfId="0" applyFont="1" applyFill="1"/>
    <xf numFmtId="0" fontId="0" fillId="17" borderId="0" xfId="0" quotePrefix="1" applyFill="1"/>
    <xf numFmtId="0" fontId="0" fillId="17" borderId="0" xfId="0" applyFill="1" applyAlignment="1">
      <alignment horizontal="center"/>
    </xf>
    <xf numFmtId="0" fontId="0" fillId="17" borderId="0" xfId="0" applyFill="1" applyAlignment="1">
      <alignment horizontal="left"/>
    </xf>
    <xf numFmtId="0" fontId="0" fillId="18" borderId="0" xfId="0" applyFill="1"/>
    <xf numFmtId="0" fontId="0" fillId="0" borderId="9" xfId="0" applyBorder="1"/>
    <xf numFmtId="0" fontId="0" fillId="19" borderId="10" xfId="0" applyFill="1" applyBorder="1"/>
    <xf numFmtId="0" fontId="0" fillId="0" borderId="11" xfId="0" applyBorder="1"/>
    <xf numFmtId="14" fontId="0" fillId="20" borderId="12" xfId="0" applyNumberFormat="1" applyFill="1" applyBorder="1" applyAlignment="1">
      <alignment horizontal="left"/>
    </xf>
    <xf numFmtId="0" fontId="0" fillId="17" borderId="13" xfId="0" applyFill="1" applyBorder="1"/>
    <xf numFmtId="0" fontId="0" fillId="17" borderId="14" xfId="0" applyFill="1" applyBorder="1"/>
    <xf numFmtId="0" fontId="0" fillId="17" borderId="15" xfId="0" applyFill="1" applyBorder="1"/>
    <xf numFmtId="0" fontId="0" fillId="0" borderId="16" xfId="0" applyBorder="1"/>
    <xf numFmtId="0" fontId="0" fillId="18" borderId="17" xfId="0" applyFill="1" applyBorder="1"/>
    <xf numFmtId="0" fontId="0" fillId="0" borderId="18" xfId="0" applyBorder="1"/>
    <xf numFmtId="0" fontId="0" fillId="16" borderId="19" xfId="0" applyFill="1" applyBorder="1"/>
    <xf numFmtId="14" fontId="0" fillId="20" borderId="20" xfId="0" applyNumberFormat="1" applyFill="1" applyBorder="1" applyAlignment="1">
      <alignment horizontal="center"/>
    </xf>
    <xf numFmtId="0" fontId="0" fillId="17" borderId="21" xfId="0" applyFill="1" applyBorder="1"/>
    <xf numFmtId="0" fontId="0" fillId="17" borderId="22" xfId="0" applyFill="1" applyBorder="1"/>
    <xf numFmtId="14" fontId="0" fillId="20" borderId="23" xfId="0" applyNumberFormat="1" applyFill="1" applyBorder="1" applyAlignment="1">
      <alignment horizontal="center"/>
    </xf>
    <xf numFmtId="0" fontId="0" fillId="17" borderId="24" xfId="0" applyFill="1" applyBorder="1"/>
    <xf numFmtId="0" fontId="0" fillId="17" borderId="25" xfId="0" applyFill="1" applyBorder="1"/>
    <xf numFmtId="14" fontId="0" fillId="20" borderId="26" xfId="0" applyNumberFormat="1" applyFill="1" applyBorder="1" applyAlignment="1">
      <alignment horizontal="center"/>
    </xf>
    <xf numFmtId="0" fontId="0" fillId="17" borderId="27" xfId="0" applyFill="1" applyBorder="1"/>
    <xf numFmtId="0" fontId="0" fillId="17" borderId="28" xfId="0" applyFill="1" applyBorder="1"/>
    <xf numFmtId="0" fontId="5" fillId="17" borderId="24" xfId="0" applyFont="1" applyFill="1" applyBorder="1"/>
    <xf numFmtId="0" fontId="5" fillId="14" borderId="0" xfId="0" applyFont="1" applyFill="1"/>
    <xf numFmtId="0" fontId="5" fillId="17" borderId="21" xfId="0" applyFont="1" applyFill="1" applyBorder="1"/>
    <xf numFmtId="0" fontId="10" fillId="0" borderId="29" xfId="18" applyFont="1" applyBorder="1" applyAlignment="1">
      <alignment horizontal="center" vertical="top" wrapText="1"/>
    </xf>
    <xf numFmtId="0" fontId="5" fillId="0" borderId="0" xfId="18" applyAlignment="1">
      <alignment vertical="top" wrapText="1"/>
    </xf>
    <xf numFmtId="0" fontId="0" fillId="25" borderId="0" xfId="0" applyFill="1" applyAlignment="1">
      <alignment horizontal="center"/>
    </xf>
    <xf numFmtId="0" fontId="7" fillId="0" borderId="0" xfId="18" applyFont="1" applyAlignment="1">
      <alignment horizontal="left" vertical="top" wrapText="1"/>
    </xf>
    <xf numFmtId="0" fontId="5" fillId="0" borderId="0" xfId="18"/>
    <xf numFmtId="0" fontId="10" fillId="13" borderId="7" xfId="18" applyFont="1" applyFill="1" applyBorder="1" applyAlignment="1">
      <alignment horizontal="center" vertical="top" wrapText="1"/>
    </xf>
    <xf numFmtId="0" fontId="5" fillId="13" borderId="0" xfId="18" applyFill="1" applyAlignment="1">
      <alignment vertical="top"/>
    </xf>
    <xf numFmtId="0" fontId="7" fillId="0" borderId="0" xfId="18" applyFont="1" applyAlignment="1">
      <alignment vertical="top"/>
    </xf>
    <xf numFmtId="0" fontId="7" fillId="13" borderId="0" xfId="18" applyFont="1" applyFill="1" applyAlignment="1">
      <alignment vertical="top"/>
    </xf>
    <xf numFmtId="0" fontId="5" fillId="0" borderId="0" xfId="18" applyAlignment="1">
      <alignment horizontal="center" vertical="center"/>
    </xf>
    <xf numFmtId="0" fontId="14" fillId="13" borderId="0" xfId="18" applyFont="1" applyFill="1" applyAlignment="1">
      <alignment horizontal="left" vertical="top"/>
    </xf>
    <xf numFmtId="0" fontId="7" fillId="13" borderId="0" xfId="18" applyFont="1" applyFill="1" applyAlignment="1">
      <alignment horizontal="left" vertical="top" wrapText="1"/>
    </xf>
    <xf numFmtId="0" fontId="5" fillId="13" borderId="0" xfId="18" applyFill="1" applyAlignment="1">
      <alignment horizontal="left" vertical="top"/>
    </xf>
    <xf numFmtId="0" fontId="10" fillId="0" borderId="0" xfId="18" applyFont="1" applyAlignment="1">
      <alignment vertical="top"/>
    </xf>
    <xf numFmtId="0" fontId="8" fillId="0" borderId="0" xfId="18" applyFont="1" applyAlignment="1">
      <alignment vertical="top" wrapText="1"/>
    </xf>
    <xf numFmtId="0" fontId="5" fillId="0" borderId="0" xfId="18" applyAlignment="1">
      <alignment vertical="top"/>
    </xf>
    <xf numFmtId="0" fontId="5" fillId="0" borderId="0" xfId="18" applyAlignment="1">
      <alignment horizontal="left" vertical="top"/>
    </xf>
    <xf numFmtId="0" fontId="5" fillId="0" borderId="0" xfId="18" applyAlignment="1">
      <alignment wrapText="1"/>
    </xf>
    <xf numFmtId="0" fontId="32" fillId="13" borderId="0" xfId="18" applyFont="1" applyFill="1" applyAlignment="1">
      <alignment vertical="top" wrapText="1"/>
    </xf>
    <xf numFmtId="0" fontId="31" fillId="13" borderId="0" xfId="18" applyFont="1" applyFill="1" applyAlignment="1">
      <alignment vertical="top"/>
    </xf>
    <xf numFmtId="0" fontId="31" fillId="0" borderId="0" xfId="18" applyFont="1" applyAlignment="1">
      <alignment vertical="top"/>
    </xf>
    <xf numFmtId="0" fontId="7" fillId="0" borderId="0" xfId="18" applyFont="1" applyAlignment="1">
      <alignment horizontal="left" vertical="top"/>
    </xf>
    <xf numFmtId="0" fontId="32" fillId="0" borderId="0" xfId="18" applyFont="1" applyAlignment="1">
      <alignment vertical="top" wrapText="1"/>
    </xf>
    <xf numFmtId="0" fontId="28" fillId="0" borderId="0" xfId="18" applyFont="1"/>
    <xf numFmtId="0" fontId="7" fillId="0" borderId="0" xfId="18" applyFont="1"/>
    <xf numFmtId="0" fontId="8" fillId="0" borderId="0" xfId="18" applyFont="1" applyAlignment="1">
      <alignment horizontal="left" vertical="top" wrapText="1"/>
    </xf>
    <xf numFmtId="0" fontId="5" fillId="0" borderId="29" xfId="18" applyBorder="1" applyAlignment="1">
      <alignment horizontal="center" vertical="top"/>
    </xf>
    <xf numFmtId="0" fontId="5" fillId="0" borderId="26" xfId="18" applyBorder="1" applyAlignment="1">
      <alignment horizontal="center" vertical="top"/>
    </xf>
    <xf numFmtId="0" fontId="5" fillId="0" borderId="30" xfId="18" applyBorder="1"/>
    <xf numFmtId="0" fontId="6" fillId="21" borderId="0" xfId="18" applyFont="1" applyFill="1" applyAlignment="1">
      <alignment horizontal="left"/>
    </xf>
    <xf numFmtId="0" fontId="10" fillId="22" borderId="29" xfId="18" applyFont="1" applyFill="1" applyBorder="1" applyAlignment="1" applyProtection="1">
      <alignment horizontal="center" vertical="top"/>
      <protection locked="0"/>
    </xf>
    <xf numFmtId="164" fontId="51" fillId="22" borderId="29" xfId="18" applyNumberFormat="1" applyFont="1" applyFill="1" applyBorder="1" applyAlignment="1" applyProtection="1">
      <alignment vertical="top"/>
      <protection locked="0"/>
    </xf>
    <xf numFmtId="14" fontId="5" fillId="22" borderId="29" xfId="18" applyNumberFormat="1" applyFill="1" applyBorder="1" applyAlignment="1" applyProtection="1">
      <alignment horizontal="center" vertical="top" wrapText="1"/>
      <protection locked="0"/>
    </xf>
    <xf numFmtId="0" fontId="5" fillId="22" borderId="29" xfId="18" applyFill="1" applyBorder="1" applyAlignment="1" applyProtection="1">
      <alignment vertical="top" wrapText="1"/>
      <protection locked="0"/>
    </xf>
    <xf numFmtId="0" fontId="5" fillId="22" borderId="28" xfId="18" applyFill="1" applyBorder="1" applyProtection="1">
      <protection locked="0"/>
    </xf>
    <xf numFmtId="0" fontId="5" fillId="22" borderId="30" xfId="18" applyFill="1" applyBorder="1" applyProtection="1">
      <protection locked="0"/>
    </xf>
    <xf numFmtId="0" fontId="5" fillId="22" borderId="27" xfId="18" applyFill="1" applyBorder="1" applyProtection="1">
      <protection locked="0"/>
    </xf>
    <xf numFmtId="0" fontId="5" fillId="22" borderId="25" xfId="18" applyFill="1" applyBorder="1" applyProtection="1">
      <protection locked="0"/>
    </xf>
    <xf numFmtId="0" fontId="5" fillId="22" borderId="0" xfId="18" applyFill="1" applyProtection="1">
      <protection locked="0"/>
    </xf>
    <xf numFmtId="0" fontId="5" fillId="22" borderId="24" xfId="18" applyFill="1" applyBorder="1" applyProtection="1">
      <protection locked="0"/>
    </xf>
    <xf numFmtId="0" fontId="5" fillId="22" borderId="22" xfId="18" applyFill="1" applyBorder="1" applyProtection="1">
      <protection locked="0"/>
    </xf>
    <xf numFmtId="0" fontId="5" fillId="22" borderId="31" xfId="18" applyFill="1" applyBorder="1" applyProtection="1">
      <protection locked="0"/>
    </xf>
    <xf numFmtId="0" fontId="5" fillId="22" borderId="21" xfId="18" applyFill="1" applyBorder="1" applyProtection="1">
      <protection locked="0"/>
    </xf>
    <xf numFmtId="0" fontId="5" fillId="0" borderId="29" xfId="18" applyBorder="1"/>
    <xf numFmtId="0" fontId="7" fillId="0" borderId="29" xfId="18" applyFont="1" applyBorder="1"/>
    <xf numFmtId="0" fontId="9" fillId="0" borderId="0" xfId="18" applyFont="1" applyAlignment="1">
      <alignment horizontal="center" vertical="top" wrapText="1"/>
    </xf>
    <xf numFmtId="0" fontId="9" fillId="13" borderId="8" xfId="18" applyFont="1" applyFill="1" applyBorder="1" applyAlignment="1">
      <alignment horizontal="center" vertical="top" wrapText="1"/>
    </xf>
    <xf numFmtId="0" fontId="6" fillId="21" borderId="0" xfId="18" applyFont="1" applyFill="1" applyAlignment="1">
      <alignment horizontal="left" vertical="top"/>
    </xf>
    <xf numFmtId="0" fontId="6" fillId="13" borderId="0" xfId="18" quotePrefix="1" applyFont="1" applyFill="1" applyAlignment="1">
      <alignment horizontal="left" vertical="top"/>
    </xf>
    <xf numFmtId="164" fontId="5" fillId="0" borderId="0" xfId="18" applyNumberFormat="1"/>
    <xf numFmtId="0" fontId="9" fillId="0" borderId="0" xfId="18" applyFont="1"/>
    <xf numFmtId="0" fontId="9" fillId="13" borderId="29" xfId="18" applyFont="1" applyFill="1" applyBorder="1" applyAlignment="1">
      <alignment horizontal="left" vertical="center"/>
    </xf>
    <xf numFmtId="0" fontId="9" fillId="13" borderId="0" xfId="18" applyFont="1" applyFill="1" applyAlignment="1">
      <alignment vertical="top"/>
    </xf>
    <xf numFmtId="164" fontId="9" fillId="22" borderId="29" xfId="18" applyNumberFormat="1" applyFont="1" applyFill="1" applyBorder="1" applyAlignment="1" applyProtection="1">
      <alignment horizontal="right" vertical="center"/>
      <protection locked="0"/>
    </xf>
    <xf numFmtId="0" fontId="9" fillId="22" borderId="29" xfId="18" applyFont="1" applyFill="1" applyBorder="1" applyAlignment="1" applyProtection="1">
      <alignment horizontal="left" vertical="center"/>
      <protection locked="0"/>
    </xf>
    <xf numFmtId="0" fontId="9" fillId="0" borderId="0" xfId="18" applyFont="1" applyAlignment="1">
      <alignment vertical="top"/>
    </xf>
    <xf numFmtId="0" fontId="10" fillId="0" borderId="0" xfId="18" applyFont="1" applyAlignment="1">
      <alignment vertical="top" wrapText="1"/>
    </xf>
    <xf numFmtId="0" fontId="8" fillId="0" borderId="0" xfId="18" applyFont="1" applyAlignment="1">
      <alignment vertical="top"/>
    </xf>
    <xf numFmtId="0" fontId="9" fillId="0" borderId="0" xfId="18" applyFont="1" applyAlignment="1">
      <alignment vertical="top" wrapText="1"/>
    </xf>
    <xf numFmtId="0" fontId="5" fillId="0" borderId="0" xfId="18" applyAlignment="1">
      <alignment horizontal="center"/>
    </xf>
    <xf numFmtId="0" fontId="5" fillId="13" borderId="8" xfId="18" applyFill="1" applyBorder="1" applyAlignment="1">
      <alignment vertical="top"/>
    </xf>
    <xf numFmtId="0" fontId="5" fillId="13" borderId="32" xfId="18" applyFill="1" applyBorder="1" applyAlignment="1">
      <alignment vertical="top"/>
    </xf>
    <xf numFmtId="0" fontId="5" fillId="0" borderId="0" xfId="18" applyAlignment="1">
      <alignment vertical="center"/>
    </xf>
    <xf numFmtId="0" fontId="7" fillId="0" borderId="0" xfId="18" applyFont="1" applyAlignment="1">
      <alignment vertical="center"/>
    </xf>
    <xf numFmtId="0" fontId="9" fillId="0" borderId="0" xfId="18" applyFont="1" applyAlignment="1">
      <alignment horizontal="left" vertical="top"/>
    </xf>
    <xf numFmtId="0" fontId="7" fillId="13" borderId="0" xfId="18" applyFont="1" applyFill="1" applyAlignment="1">
      <alignment horizontal="left" vertical="top"/>
    </xf>
    <xf numFmtId="0" fontId="5" fillId="26" borderId="29" xfId="18" applyFill="1" applyBorder="1" applyAlignment="1">
      <alignment vertical="top"/>
    </xf>
    <xf numFmtId="164" fontId="9" fillId="27" borderId="29" xfId="18" applyNumberFormat="1" applyFont="1" applyFill="1" applyBorder="1" applyAlignment="1">
      <alignment horizontal="center" vertical="top"/>
    </xf>
    <xf numFmtId="0" fontId="5" fillId="26" borderId="0" xfId="18" applyFill="1" applyAlignment="1">
      <alignment vertical="top"/>
    </xf>
    <xf numFmtId="0" fontId="5" fillId="0" borderId="0" xfId="18" applyAlignment="1">
      <alignment horizontal="center" vertical="top"/>
    </xf>
    <xf numFmtId="0" fontId="5" fillId="26" borderId="20" xfId="18" applyFill="1" applyBorder="1" applyAlignment="1">
      <alignment horizontal="center" vertical="top" wrapText="1"/>
    </xf>
    <xf numFmtId="0" fontId="5" fillId="26" borderId="26" xfId="18" applyFill="1" applyBorder="1" applyAlignment="1">
      <alignment horizontal="center" vertical="top"/>
    </xf>
    <xf numFmtId="0" fontId="27" fillId="0" borderId="0" xfId="18" applyFont="1" applyAlignment="1">
      <alignment vertical="top"/>
    </xf>
    <xf numFmtId="0" fontId="5" fillId="26" borderId="0" xfId="18" applyFill="1" applyAlignment="1">
      <alignment vertical="top" wrapText="1"/>
    </xf>
    <xf numFmtId="0" fontId="45" fillId="26" borderId="0" xfId="18" applyFont="1" applyFill="1" applyAlignment="1">
      <alignment horizontal="left" vertical="top" wrapText="1"/>
    </xf>
    <xf numFmtId="0" fontId="8" fillId="0" borderId="0" xfId="18" applyFont="1" applyAlignment="1">
      <alignment horizontal="left" vertical="top"/>
    </xf>
    <xf numFmtId="2" fontId="10" fillId="0" borderId="29" xfId="18" applyNumberFormat="1" applyFont="1" applyBorder="1" applyAlignment="1">
      <alignment horizontal="center" vertical="top"/>
    </xf>
    <xf numFmtId="2" fontId="45" fillId="0" borderId="29" xfId="18" applyNumberFormat="1" applyFont="1" applyBorder="1" applyAlignment="1">
      <alignment horizontal="center" vertical="top"/>
    </xf>
    <xf numFmtId="0" fontId="9" fillId="0" borderId="29" xfId="18" applyFont="1" applyBorder="1" applyAlignment="1">
      <alignment horizontal="center" vertical="top" wrapText="1"/>
    </xf>
    <xf numFmtId="0" fontId="5" fillId="26" borderId="0" xfId="18" applyFill="1" applyAlignment="1">
      <alignment vertical="center"/>
    </xf>
    <xf numFmtId="164" fontId="7" fillId="17" borderId="34" xfId="18" applyNumberFormat="1" applyFont="1" applyFill="1" applyBorder="1" applyAlignment="1">
      <alignment vertical="center"/>
    </xf>
    <xf numFmtId="164" fontId="5" fillId="17" borderId="29" xfId="18" applyNumberFormat="1" applyFill="1" applyBorder="1" applyAlignment="1">
      <alignment vertical="center"/>
    </xf>
    <xf numFmtId="0" fontId="10" fillId="0" borderId="7" xfId="18" applyFont="1" applyBorder="1" applyAlignment="1">
      <alignment vertical="top"/>
    </xf>
    <xf numFmtId="0" fontId="9" fillId="0" borderId="32" xfId="18" applyFont="1" applyBorder="1" applyAlignment="1">
      <alignment vertical="top"/>
    </xf>
    <xf numFmtId="0" fontId="10" fillId="0" borderId="29" xfId="18" applyFont="1" applyBorder="1" applyAlignment="1">
      <alignment horizontal="center" vertical="top"/>
    </xf>
    <xf numFmtId="0" fontId="10" fillId="0" borderId="0" xfId="18" applyFont="1" applyAlignment="1">
      <alignment horizontal="center" vertical="top" wrapText="1"/>
    </xf>
    <xf numFmtId="0" fontId="9" fillId="0" borderId="7" xfId="18" applyFont="1" applyBorder="1" applyAlignment="1">
      <alignment vertical="top"/>
    </xf>
    <xf numFmtId="164" fontId="5" fillId="0" borderId="0" xfId="18" applyNumberFormat="1" applyAlignment="1">
      <alignment vertical="top"/>
    </xf>
    <xf numFmtId="0" fontId="10" fillId="0" borderId="21" xfId="18" applyFont="1" applyBorder="1" applyAlignment="1">
      <alignment vertical="top"/>
    </xf>
    <xf numFmtId="0" fontId="10" fillId="0" borderId="22" xfId="18" applyFont="1" applyBorder="1" applyAlignment="1">
      <alignment vertical="top"/>
    </xf>
    <xf numFmtId="0" fontId="57" fillId="0" borderId="0" xfId="18" applyFont="1" applyAlignment="1">
      <alignment vertical="top"/>
    </xf>
    <xf numFmtId="0" fontId="10" fillId="0" borderId="27" xfId="18" applyFont="1" applyBorder="1" applyAlignment="1">
      <alignment vertical="top"/>
    </xf>
    <xf numFmtId="0" fontId="10" fillId="0" borderId="28" xfId="18" applyFont="1" applyBorder="1" applyAlignment="1">
      <alignment vertical="top"/>
    </xf>
    <xf numFmtId="0" fontId="58" fillId="0" borderId="29" xfId="18" applyFont="1" applyBorder="1" applyAlignment="1">
      <alignment horizontal="center" vertical="top" wrapText="1"/>
    </xf>
    <xf numFmtId="0" fontId="10" fillId="0" borderId="8" xfId="18" applyFont="1" applyBorder="1" applyAlignment="1">
      <alignment vertical="top"/>
    </xf>
    <xf numFmtId="0" fontId="51" fillId="0" borderId="7" xfId="18" applyFont="1" applyBorder="1" applyAlignment="1">
      <alignment vertical="top"/>
    </xf>
    <xf numFmtId="0" fontId="5" fillId="0" borderId="8" xfId="18" applyBorder="1" applyAlignment="1">
      <alignment vertical="top"/>
    </xf>
    <xf numFmtId="0" fontId="27" fillId="0" borderId="29" xfId="18" applyFont="1" applyBorder="1" applyAlignment="1">
      <alignment vertical="top"/>
    </xf>
    <xf numFmtId="164" fontId="10" fillId="0" borderId="32" xfId="18" applyNumberFormat="1" applyFont="1" applyBorder="1" applyAlignment="1">
      <alignment vertical="top"/>
    </xf>
    <xf numFmtId="164" fontId="10" fillId="0" borderId="8" xfId="18" applyNumberFormat="1" applyFont="1" applyBorder="1" applyAlignment="1">
      <alignment vertical="top"/>
    </xf>
    <xf numFmtId="0" fontId="27" fillId="0" borderId="31" xfId="18" applyFont="1" applyBorder="1" applyAlignment="1">
      <alignment vertical="top"/>
    </xf>
    <xf numFmtId="0" fontId="5" fillId="0" borderId="31" xfId="18" applyBorder="1" applyAlignment="1">
      <alignment vertical="top"/>
    </xf>
    <xf numFmtId="0" fontId="5" fillId="0" borderId="8" xfId="18" applyBorder="1" applyAlignment="1">
      <alignment vertical="center"/>
    </xf>
    <xf numFmtId="165" fontId="10" fillId="25" borderId="29" xfId="18" applyNumberFormat="1" applyFont="1" applyFill="1" applyBorder="1" applyAlignment="1">
      <alignment horizontal="center" vertical="top"/>
    </xf>
    <xf numFmtId="0" fontId="0" fillId="13" borderId="0" xfId="0" applyFill="1" applyAlignment="1">
      <alignment vertical="top"/>
    </xf>
    <xf numFmtId="0" fontId="10" fillId="25" borderId="29" xfId="18" applyFont="1" applyFill="1" applyBorder="1" applyAlignment="1">
      <alignment horizontal="center" vertical="top"/>
    </xf>
    <xf numFmtId="0" fontId="5" fillId="26" borderId="0" xfId="18" quotePrefix="1" applyFill="1" applyAlignment="1">
      <alignment vertical="top"/>
    </xf>
    <xf numFmtId="0" fontId="5" fillId="26" borderId="34" xfId="18" applyFill="1" applyBorder="1" applyAlignment="1">
      <alignment vertical="top"/>
    </xf>
    <xf numFmtId="0" fontId="68" fillId="25" borderId="29" xfId="18" applyFont="1" applyFill="1" applyBorder="1" applyAlignment="1">
      <alignment horizontal="center" vertical="top" wrapText="1"/>
    </xf>
    <xf numFmtId="0" fontId="5" fillId="25" borderId="0" xfId="0" applyFont="1" applyFill="1"/>
    <xf numFmtId="164" fontId="5" fillId="17" borderId="29" xfId="18" applyNumberFormat="1" applyFill="1" applyBorder="1" applyAlignment="1">
      <alignment vertical="top"/>
    </xf>
    <xf numFmtId="164" fontId="5" fillId="25" borderId="29" xfId="18" applyNumberFormat="1" applyFill="1" applyBorder="1" applyAlignment="1">
      <alignment vertical="top"/>
    </xf>
    <xf numFmtId="0" fontId="5" fillId="27" borderId="24" xfId="18" applyFill="1" applyBorder="1" applyAlignment="1">
      <alignment vertical="top"/>
    </xf>
    <xf numFmtId="164" fontId="27" fillId="25" borderId="29" xfId="18" applyNumberFormat="1" applyFont="1" applyFill="1" applyBorder="1" applyAlignment="1">
      <alignment vertical="top"/>
    </xf>
    <xf numFmtId="0" fontId="7" fillId="28" borderId="29" xfId="18" applyFont="1" applyFill="1" applyBorder="1" applyAlignment="1" applyProtection="1">
      <alignment horizontal="center" vertical="top"/>
      <protection locked="0"/>
    </xf>
    <xf numFmtId="0" fontId="30" fillId="0" borderId="0" xfId="0" applyFont="1" applyAlignment="1">
      <alignment vertical="top"/>
    </xf>
    <xf numFmtId="0" fontId="26" fillId="0" borderId="0" xfId="0" applyFont="1" applyAlignment="1">
      <alignment horizontal="center" vertical="top"/>
    </xf>
    <xf numFmtId="0" fontId="0" fillId="17" borderId="37" xfId="0" applyFill="1" applyBorder="1" applyAlignment="1">
      <alignment vertical="top"/>
    </xf>
    <xf numFmtId="0" fontId="0" fillId="17" borderId="38" xfId="0" applyFill="1" applyBorder="1" applyAlignment="1">
      <alignment vertical="top"/>
    </xf>
    <xf numFmtId="0" fontId="0" fillId="17" borderId="32" xfId="0" applyFill="1" applyBorder="1" applyAlignment="1">
      <alignment vertical="top"/>
    </xf>
    <xf numFmtId="0" fontId="0" fillId="17" borderId="39" xfId="0" applyFill="1" applyBorder="1" applyAlignment="1">
      <alignment vertical="top"/>
    </xf>
    <xf numFmtId="0" fontId="7" fillId="25" borderId="34" xfId="0" applyFont="1" applyFill="1" applyBorder="1" applyAlignment="1">
      <alignment horizontal="center" vertical="top"/>
    </xf>
    <xf numFmtId="0" fontId="7" fillId="13" borderId="0" xfId="0" applyFont="1" applyFill="1" applyAlignment="1">
      <alignment vertical="top"/>
    </xf>
    <xf numFmtId="0" fontId="35" fillId="13" borderId="0" xfId="0" applyFont="1" applyFill="1" applyAlignment="1">
      <alignment vertical="top"/>
    </xf>
    <xf numFmtId="0" fontId="60" fillId="17" borderId="8" xfId="0" applyFont="1" applyFill="1" applyBorder="1" applyAlignment="1">
      <alignment vertical="top"/>
    </xf>
    <xf numFmtId="0" fontId="0" fillId="0" borderId="42" xfId="0"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35" xfId="0" applyBorder="1" applyAlignment="1">
      <alignment vertical="top"/>
    </xf>
    <xf numFmtId="14" fontId="0" fillId="0" borderId="32" xfId="0" applyNumberFormat="1" applyBorder="1" applyAlignment="1">
      <alignment horizontal="left" vertical="top"/>
    </xf>
    <xf numFmtId="0" fontId="0" fillId="0" borderId="32"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10" fillId="0" borderId="7" xfId="0" applyFont="1" applyBorder="1" applyAlignment="1">
      <alignment horizontal="center" vertical="top" wrapText="1"/>
    </xf>
    <xf numFmtId="0" fontId="10" fillId="0" borderId="21" xfId="0" applyFont="1" applyBorder="1" applyAlignment="1">
      <alignment horizontal="center" vertical="top" wrapText="1"/>
    </xf>
    <xf numFmtId="0" fontId="5" fillId="26" borderId="0" xfId="18" applyFill="1"/>
    <xf numFmtId="0" fontId="55" fillId="13" borderId="0" xfId="0" applyFont="1" applyFill="1" applyAlignment="1">
      <alignment horizontal="left" vertical="top" wrapText="1"/>
    </xf>
    <xf numFmtId="0" fontId="7" fillId="23" borderId="13" xfId="0" applyFont="1" applyFill="1" applyBorder="1" applyAlignment="1">
      <alignment horizontal="left" vertical="center" wrapText="1" indent="1"/>
    </xf>
    <xf numFmtId="0" fontId="43" fillId="13" borderId="0" xfId="0" applyFont="1" applyFill="1" applyAlignment="1">
      <alignment horizontal="left" vertical="top" wrapText="1"/>
    </xf>
    <xf numFmtId="0" fontId="49" fillId="13" borderId="0" xfId="0" applyFont="1" applyFill="1" applyAlignment="1">
      <alignment horizontal="left" vertical="top" wrapText="1"/>
    </xf>
    <xf numFmtId="0" fontId="56" fillId="13" borderId="0" xfId="0" applyFont="1" applyFill="1" applyAlignment="1">
      <alignment horizontal="left" vertical="top" wrapText="1"/>
    </xf>
    <xf numFmtId="0" fontId="52" fillId="15" borderId="0" xfId="0" applyFont="1" applyFill="1" applyAlignment="1">
      <alignment horizontal="left" vertical="center" wrapText="1"/>
    </xf>
    <xf numFmtId="0" fontId="8" fillId="13" borderId="0" xfId="18" applyFont="1" applyFill="1" applyAlignment="1">
      <alignment horizontal="left" vertical="top" wrapText="1"/>
    </xf>
    <xf numFmtId="0" fontId="14" fillId="13" borderId="0" xfId="18" applyFont="1" applyFill="1" applyAlignment="1">
      <alignment horizontal="left" vertical="top" wrapText="1"/>
    </xf>
    <xf numFmtId="0" fontId="49" fillId="13" borderId="27" xfId="18" applyFont="1" applyFill="1" applyBorder="1" applyAlignment="1">
      <alignment horizontal="left" vertical="top" wrapText="1"/>
    </xf>
    <xf numFmtId="0" fontId="7" fillId="13" borderId="30" xfId="18" applyFont="1" applyFill="1" applyBorder="1" applyAlignment="1">
      <alignment horizontal="left" vertical="top" wrapText="1"/>
    </xf>
    <xf numFmtId="0" fontId="29" fillId="0" borderId="0" xfId="0" applyFont="1" applyAlignment="1">
      <alignment horizontal="left" vertical="top" wrapText="1"/>
    </xf>
    <xf numFmtId="0" fontId="7" fillId="0" borderId="0" xfId="0" applyFont="1" applyAlignment="1">
      <alignment horizontal="left" vertical="top" wrapText="1"/>
    </xf>
    <xf numFmtId="0" fontId="13" fillId="13" borderId="0" xfId="18" applyFont="1" applyFill="1" applyAlignment="1">
      <alignment horizontal="left" vertical="top" wrapText="1"/>
    </xf>
    <xf numFmtId="0" fontId="14" fillId="13" borderId="0" xfId="0" applyFont="1" applyFill="1" applyAlignment="1">
      <alignment horizontal="left" vertical="top" wrapText="1"/>
    </xf>
    <xf numFmtId="0" fontId="10" fillId="0" borderId="7" xfId="0" applyFont="1" applyBorder="1" applyAlignment="1">
      <alignment horizontal="left" vertical="top" wrapText="1"/>
    </xf>
    <xf numFmtId="0" fontId="10" fillId="0" borderId="21" xfId="0" applyFont="1" applyBorder="1" applyAlignment="1">
      <alignment horizontal="left" vertical="top" wrapText="1"/>
    </xf>
    <xf numFmtId="0" fontId="5" fillId="17" borderId="0" xfId="0" applyFont="1" applyFill="1" applyAlignment="1">
      <alignment horizontal="left"/>
    </xf>
    <xf numFmtId="0" fontId="0" fillId="0" borderId="0" xfId="0" applyAlignment="1">
      <alignment horizontal="left" vertical="top"/>
    </xf>
    <xf numFmtId="0" fontId="7" fillId="13" borderId="0" xfId="0" applyFont="1" applyFill="1" applyAlignment="1">
      <alignment horizontal="left" vertical="top"/>
    </xf>
    <xf numFmtId="0" fontId="35" fillId="13" borderId="0" xfId="0" applyFont="1" applyFill="1" applyAlignment="1">
      <alignment horizontal="left" vertical="top"/>
    </xf>
    <xf numFmtId="0" fontId="69" fillId="13" borderId="0" xfId="0" applyFont="1" applyFill="1" applyAlignment="1">
      <alignment horizontal="left" vertical="top" wrapText="1"/>
    </xf>
    <xf numFmtId="0" fontId="7" fillId="0" borderId="0" xfId="18" applyFont="1" applyAlignment="1">
      <alignment horizontal="left"/>
    </xf>
    <xf numFmtId="0" fontId="59" fillId="13" borderId="33" xfId="18" applyFont="1" applyFill="1" applyBorder="1" applyAlignment="1">
      <alignment horizontal="left" vertical="top" wrapText="1"/>
    </xf>
    <xf numFmtId="0" fontId="14" fillId="13" borderId="33" xfId="0" applyFont="1" applyFill="1" applyBorder="1" applyAlignment="1">
      <alignment horizontal="left" vertical="top" wrapText="1"/>
    </xf>
    <xf numFmtId="0" fontId="7" fillId="13" borderId="7" xfId="18" applyFont="1" applyFill="1" applyBorder="1" applyAlignment="1">
      <alignment horizontal="left" vertical="top" wrapText="1"/>
    </xf>
    <xf numFmtId="0" fontId="5" fillId="13" borderId="7" xfId="18" applyFill="1" applyBorder="1" applyAlignment="1">
      <alignment horizontal="left" vertical="top" wrapText="1"/>
    </xf>
    <xf numFmtId="0" fontId="10" fillId="0" borderId="7" xfId="18" applyFont="1" applyBorder="1" applyAlignment="1">
      <alignment horizontal="left" vertical="top" wrapText="1"/>
    </xf>
    <xf numFmtId="0" fontId="10" fillId="0" borderId="7" xfId="18" applyFont="1" applyBorder="1" applyAlignment="1">
      <alignment horizontal="left" vertical="top"/>
    </xf>
    <xf numFmtId="0" fontId="9" fillId="0" borderId="7" xfId="18" applyFont="1" applyBorder="1" applyAlignment="1">
      <alignment horizontal="left" vertical="top"/>
    </xf>
    <xf numFmtId="0" fontId="48" fillId="0" borderId="0" xfId="18" applyFont="1" applyAlignment="1">
      <alignment horizontal="left" vertical="top" wrapText="1"/>
    </xf>
    <xf numFmtId="0" fontId="59" fillId="13" borderId="0" xfId="18" applyFont="1" applyFill="1" applyAlignment="1">
      <alignment horizontal="left" vertical="top" wrapText="1"/>
    </xf>
    <xf numFmtId="0" fontId="13" fillId="13" borderId="0" xfId="18" applyFont="1" applyFill="1" applyAlignment="1">
      <alignment horizontal="left" vertical="top"/>
    </xf>
    <xf numFmtId="0" fontId="5" fillId="25" borderId="0" xfId="0" applyFont="1" applyFill="1" applyAlignment="1">
      <alignment horizontal="left"/>
    </xf>
    <xf numFmtId="0" fontId="70" fillId="25" borderId="0" xfId="0" applyFont="1" applyFill="1" applyAlignment="1">
      <alignment vertical="center"/>
    </xf>
    <xf numFmtId="0" fontId="71" fillId="0" borderId="0" xfId="0" applyFont="1" applyAlignment="1">
      <alignment vertical="center" wrapText="1"/>
    </xf>
    <xf numFmtId="0" fontId="13" fillId="29" borderId="0" xfId="0" applyFont="1" applyFill="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5" fillId="29" borderId="0" xfId="0" applyFont="1" applyFill="1" applyAlignment="1">
      <alignment vertical="center" wrapText="1"/>
    </xf>
    <xf numFmtId="0" fontId="5" fillId="0" borderId="43" xfId="0" applyFont="1" applyBorder="1" applyAlignment="1">
      <alignment vertical="center" wrapText="1"/>
    </xf>
    <xf numFmtId="0" fontId="5" fillId="0" borderId="13" xfId="0" applyFont="1" applyBorder="1" applyAlignment="1">
      <alignment vertical="center" wrapText="1"/>
    </xf>
    <xf numFmtId="0" fontId="5" fillId="0" borderId="44" xfId="0" applyFont="1" applyBorder="1" applyAlignment="1">
      <alignment vertical="center" wrapText="1"/>
    </xf>
    <xf numFmtId="0" fontId="13" fillId="0" borderId="0" xfId="0" applyFont="1" applyAlignment="1">
      <alignment vertical="center" wrapText="1"/>
    </xf>
    <xf numFmtId="0" fontId="35" fillId="29" borderId="0" xfId="0" applyFont="1" applyFill="1" applyAlignment="1">
      <alignment vertical="center" wrapText="1"/>
    </xf>
    <xf numFmtId="0" fontId="72" fillId="0" borderId="0" xfId="0" applyFont="1" applyAlignment="1">
      <alignment vertical="center" wrapText="1"/>
    </xf>
    <xf numFmtId="0" fontId="5" fillId="30" borderId="45" xfId="0" applyFont="1" applyFill="1" applyBorder="1" applyAlignment="1">
      <alignment vertical="center" wrapText="1"/>
    </xf>
    <xf numFmtId="0" fontId="37" fillId="0" borderId="0" xfId="0" applyFont="1" applyAlignment="1">
      <alignment vertical="center" wrapText="1"/>
    </xf>
    <xf numFmtId="0" fontId="5" fillId="30" borderId="0" xfId="0" applyFont="1" applyFill="1" applyAlignment="1">
      <alignment vertical="center" wrapText="1"/>
    </xf>
    <xf numFmtId="0" fontId="39" fillId="0" borderId="0" xfId="0" applyFont="1" applyAlignment="1">
      <alignment vertical="center" wrapText="1"/>
    </xf>
    <xf numFmtId="0" fontId="7" fillId="29" borderId="0" xfId="0" applyFont="1" applyFill="1" applyAlignment="1">
      <alignment vertical="center" wrapText="1"/>
    </xf>
    <xf numFmtId="0" fontId="73" fillId="29" borderId="0" xfId="0" applyFont="1" applyFill="1" applyAlignment="1">
      <alignment vertical="center" wrapText="1"/>
    </xf>
    <xf numFmtId="0" fontId="74" fillId="29" borderId="42" xfId="0" applyFont="1" applyFill="1" applyBorder="1" applyAlignment="1">
      <alignment vertical="center" wrapText="1"/>
    </xf>
    <xf numFmtId="0" fontId="75" fillId="31" borderId="0" xfId="0" applyFont="1" applyFill="1" applyAlignment="1">
      <alignment vertical="center" wrapText="1"/>
    </xf>
    <xf numFmtId="0" fontId="76" fillId="29" borderId="0" xfId="0" applyFont="1" applyFill="1" applyAlignment="1">
      <alignment vertical="center" wrapText="1"/>
    </xf>
    <xf numFmtId="0" fontId="10" fillId="29" borderId="13" xfId="0" applyFont="1" applyFill="1" applyBorder="1" applyAlignment="1">
      <alignment vertical="center" wrapText="1"/>
    </xf>
    <xf numFmtId="0" fontId="10" fillId="29" borderId="44" xfId="0" applyFont="1" applyFill="1" applyBorder="1" applyAlignment="1">
      <alignment vertical="center" wrapText="1"/>
    </xf>
    <xf numFmtId="0" fontId="77" fillId="29" borderId="0" xfId="0" applyFont="1" applyFill="1" applyAlignment="1">
      <alignment vertical="center" wrapText="1"/>
    </xf>
    <xf numFmtId="0" fontId="62" fillId="0" borderId="0" xfId="0" applyFont="1" applyAlignment="1">
      <alignment vertical="top" wrapText="1"/>
    </xf>
    <xf numFmtId="0" fontId="10" fillId="0" borderId="0" xfId="0" applyFont="1" applyAlignment="1">
      <alignment vertical="center" wrapText="1"/>
    </xf>
    <xf numFmtId="0" fontId="79" fillId="29" borderId="0" xfId="0" applyFont="1" applyFill="1" applyAlignment="1">
      <alignment vertical="center" wrapText="1"/>
    </xf>
    <xf numFmtId="0" fontId="7" fillId="29" borderId="42" xfId="0" applyFont="1" applyFill="1" applyBorder="1" applyAlignment="1">
      <alignment vertical="center" wrapText="1"/>
    </xf>
    <xf numFmtId="0" fontId="79" fillId="0" borderId="0" xfId="0" applyFont="1" applyAlignment="1">
      <alignment vertical="center" wrapText="1"/>
    </xf>
    <xf numFmtId="0" fontId="10" fillId="0" borderId="13" xfId="0" applyFont="1" applyBorder="1" applyAlignment="1">
      <alignment vertical="center" wrapText="1"/>
    </xf>
    <xf numFmtId="0" fontId="10" fillId="0" borderId="44" xfId="0" applyFont="1" applyBorder="1" applyAlignment="1">
      <alignment vertical="center" wrapText="1"/>
    </xf>
    <xf numFmtId="0" fontId="81" fillId="29" borderId="0" xfId="0" applyFont="1" applyFill="1" applyAlignment="1">
      <alignment vertical="center" wrapText="1"/>
    </xf>
    <xf numFmtId="0" fontId="82" fillId="29" borderId="0" xfId="0" applyFont="1" applyFill="1" applyAlignment="1">
      <alignment vertical="center" wrapText="1"/>
    </xf>
    <xf numFmtId="0" fontId="76" fillId="0" borderId="42" xfId="0" applyFont="1" applyBorder="1" applyAlignment="1">
      <alignment vertical="center" wrapText="1"/>
    </xf>
    <xf numFmtId="0" fontId="9" fillId="0" borderId="13" xfId="0" applyFont="1" applyBorder="1" applyAlignment="1">
      <alignment vertical="center" wrapText="1"/>
    </xf>
    <xf numFmtId="0" fontId="9" fillId="0" borderId="44" xfId="0" applyFont="1" applyBorder="1" applyAlignment="1">
      <alignment vertical="center" wrapText="1"/>
    </xf>
    <xf numFmtId="0" fontId="79" fillId="29" borderId="42" xfId="0" applyFont="1" applyFill="1" applyBorder="1" applyAlignment="1">
      <alignment vertical="center" wrapText="1"/>
    </xf>
    <xf numFmtId="0" fontId="45" fillId="0" borderId="42" xfId="0" applyFont="1" applyBorder="1" applyAlignment="1">
      <alignment vertical="center" wrapText="1"/>
    </xf>
    <xf numFmtId="0" fontId="45" fillId="29" borderId="0" xfId="0" applyFont="1" applyFill="1" applyAlignment="1">
      <alignment vertical="center" wrapText="1"/>
    </xf>
    <xf numFmtId="0" fontId="34" fillId="0" borderId="13" xfId="0" applyFont="1" applyBorder="1" applyAlignment="1">
      <alignment vertical="center" wrapText="1"/>
    </xf>
    <xf numFmtId="0" fontId="10" fillId="0" borderId="45" xfId="0" applyFont="1" applyBorder="1" applyAlignment="1">
      <alignment vertical="center" wrapText="1"/>
    </xf>
    <xf numFmtId="0" fontId="5" fillId="0" borderId="42" xfId="0" applyFont="1" applyBorder="1" applyAlignment="1">
      <alignment vertical="center" wrapText="1"/>
    </xf>
    <xf numFmtId="0" fontId="5" fillId="0" borderId="14" xfId="0" applyFont="1" applyBorder="1" applyAlignment="1">
      <alignment vertical="center" wrapText="1"/>
    </xf>
    <xf numFmtId="0" fontId="77" fillId="0" borderId="0" xfId="0" applyFont="1" applyAlignment="1">
      <alignment vertical="center" wrapText="1"/>
    </xf>
    <xf numFmtId="0" fontId="74" fillId="29" borderId="0" xfId="0" applyFont="1" applyFill="1" applyAlignment="1">
      <alignment vertical="center" wrapText="1"/>
    </xf>
    <xf numFmtId="0" fontId="34" fillId="29" borderId="13" xfId="0" applyFont="1" applyFill="1" applyBorder="1" applyAlignment="1">
      <alignment vertical="center" wrapText="1"/>
    </xf>
    <xf numFmtId="0" fontId="34" fillId="29" borderId="44" xfId="0" applyFont="1" applyFill="1" applyBorder="1" applyAlignment="1">
      <alignment vertical="center" wrapText="1"/>
    </xf>
    <xf numFmtId="0" fontId="9" fillId="29" borderId="44" xfId="0" applyFont="1" applyFill="1" applyBorder="1" applyAlignment="1">
      <alignment vertical="center" wrapText="1"/>
    </xf>
    <xf numFmtId="0" fontId="34" fillId="29" borderId="49" xfId="0" applyFont="1" applyFill="1" applyBorder="1" applyAlignment="1">
      <alignment vertical="center" wrapText="1"/>
    </xf>
    <xf numFmtId="0" fontId="5" fillId="25" borderId="0" xfId="0" applyFont="1" applyFill="1" applyAlignment="1">
      <alignment vertical="center" wrapText="1"/>
    </xf>
    <xf numFmtId="0" fontId="5" fillId="25" borderId="42" xfId="0" applyFont="1" applyFill="1" applyBorder="1" applyAlignment="1">
      <alignment vertical="center" wrapText="1"/>
    </xf>
    <xf numFmtId="0" fontId="83" fillId="25" borderId="0" xfId="0" applyFont="1" applyFill="1" applyAlignment="1">
      <alignment vertical="center" wrapText="1"/>
    </xf>
    <xf numFmtId="0" fontId="5" fillId="26" borderId="0" xfId="0" applyFont="1" applyFill="1" applyAlignment="1">
      <alignment vertical="center" wrapText="1"/>
    </xf>
    <xf numFmtId="0" fontId="35" fillId="0" borderId="0" xfId="0" applyFont="1" applyAlignment="1">
      <alignment vertical="center" wrapText="1"/>
    </xf>
    <xf numFmtId="0" fontId="7" fillId="0" borderId="42" xfId="0" applyFont="1" applyBorder="1" applyAlignment="1">
      <alignment vertical="center" wrapText="1"/>
    </xf>
    <xf numFmtId="0" fontId="25" fillId="0" borderId="30" xfId="19" applyFont="1" applyBorder="1" applyAlignment="1">
      <alignment horizontal="center" vertical="top"/>
    </xf>
    <xf numFmtId="0" fontId="85" fillId="0" borderId="0" xfId="18" applyFont="1" applyAlignment="1">
      <alignment wrapText="1"/>
    </xf>
    <xf numFmtId="164" fontId="5" fillId="28" borderId="29" xfId="18" quotePrefix="1" applyNumberFormat="1" applyFill="1" applyBorder="1" applyAlignment="1" applyProtection="1">
      <alignment vertical="top"/>
      <protection locked="0"/>
    </xf>
    <xf numFmtId="0" fontId="0" fillId="17" borderId="42" xfId="0" applyFill="1" applyBorder="1" applyAlignment="1">
      <alignment vertical="top"/>
    </xf>
    <xf numFmtId="0" fontId="0" fillId="17" borderId="51" xfId="0" applyFill="1" applyBorder="1" applyAlignment="1">
      <alignment vertical="top"/>
    </xf>
    <xf numFmtId="0" fontId="0" fillId="32" borderId="0" xfId="0" applyFill="1" applyAlignment="1">
      <alignment vertical="top"/>
    </xf>
    <xf numFmtId="0" fontId="0" fillId="32" borderId="0" xfId="0" applyFill="1" applyAlignment="1">
      <alignment vertical="top" wrapText="1"/>
    </xf>
    <xf numFmtId="0" fontId="13" fillId="13" borderId="0" xfId="0" applyFont="1" applyFill="1" applyAlignment="1">
      <alignment vertical="top"/>
    </xf>
    <xf numFmtId="0" fontId="0" fillId="0" borderId="57" xfId="0" applyBorder="1" applyAlignment="1">
      <alignment vertical="top"/>
    </xf>
    <xf numFmtId="0" fontId="0" fillId="0" borderId="8" xfId="0" applyBorder="1" applyAlignment="1">
      <alignment vertical="top"/>
    </xf>
    <xf numFmtId="0" fontId="0" fillId="0" borderId="58" xfId="0" applyBorder="1" applyAlignment="1">
      <alignment vertical="top"/>
    </xf>
    <xf numFmtId="0" fontId="88" fillId="17" borderId="8" xfId="0" applyFont="1" applyFill="1" applyBorder="1" applyAlignment="1">
      <alignment vertical="top"/>
    </xf>
    <xf numFmtId="0" fontId="7" fillId="32" borderId="0" xfId="0" applyFont="1" applyFill="1" applyAlignment="1">
      <alignment horizontal="center" vertical="top"/>
    </xf>
    <xf numFmtId="0" fontId="39" fillId="32" borderId="0" xfId="0" applyFont="1" applyFill="1" applyAlignment="1">
      <alignment vertical="top" wrapText="1"/>
    </xf>
    <xf numFmtId="0" fontId="0" fillId="32" borderId="0" xfId="0" applyFill="1"/>
    <xf numFmtId="0" fontId="85" fillId="0" borderId="0" xfId="0" applyFont="1"/>
    <xf numFmtId="0" fontId="5" fillId="32" borderId="0" xfId="18" applyFill="1"/>
    <xf numFmtId="0" fontId="32" fillId="32" borderId="0" xfId="18" applyFont="1" applyFill="1" applyAlignment="1">
      <alignment vertical="top" wrapText="1"/>
    </xf>
    <xf numFmtId="0" fontId="7" fillId="32" borderId="0" xfId="18" applyFont="1" applyFill="1" applyAlignment="1">
      <alignment horizontal="left" vertical="top"/>
    </xf>
    <xf numFmtId="0" fontId="9" fillId="32" borderId="0" xfId="18" applyFont="1" applyFill="1" applyAlignment="1">
      <alignment horizontal="left" vertical="top"/>
    </xf>
    <xf numFmtId="0" fontId="0" fillId="17" borderId="30" xfId="0" applyFill="1" applyBorder="1" applyAlignment="1">
      <alignment vertical="top"/>
    </xf>
    <xf numFmtId="0" fontId="0" fillId="17" borderId="60" xfId="0" applyFill="1" applyBorder="1" applyAlignment="1">
      <alignment vertical="top"/>
    </xf>
    <xf numFmtId="0" fontId="10" fillId="28" borderId="29" xfId="0" applyFont="1" applyFill="1" applyBorder="1" applyAlignment="1" applyProtection="1">
      <alignment vertical="top"/>
      <protection locked="0"/>
    </xf>
    <xf numFmtId="1" fontId="10" fillId="28" borderId="29" xfId="0" applyNumberFormat="1" applyFont="1" applyFill="1" applyBorder="1" applyAlignment="1" applyProtection="1">
      <alignment horizontal="center" vertical="top"/>
      <protection locked="0"/>
    </xf>
    <xf numFmtId="0" fontId="85" fillId="0" borderId="0" xfId="18" applyFont="1" applyAlignment="1">
      <alignment vertical="top"/>
    </xf>
    <xf numFmtId="0" fontId="0" fillId="0" borderId="0" xfId="0" applyAlignment="1">
      <alignment horizontal="left" vertical="top" wrapText="1"/>
    </xf>
    <xf numFmtId="0" fontId="5" fillId="13" borderId="0" xfId="0" applyFont="1" applyFill="1" applyAlignment="1">
      <alignment horizontal="left" vertical="top" wrapText="1"/>
    </xf>
    <xf numFmtId="0" fontId="7" fillId="27" borderId="0" xfId="0" applyFont="1" applyFill="1" applyAlignment="1">
      <alignment horizontal="center" vertical="top"/>
    </xf>
    <xf numFmtId="0" fontId="5" fillId="27" borderId="0" xfId="0" applyFont="1" applyFill="1" applyAlignment="1">
      <alignment horizontal="left" vertical="top"/>
    </xf>
    <xf numFmtId="0" fontId="5" fillId="13" borderId="0" xfId="0" quotePrefix="1" applyFont="1" applyFill="1" applyAlignment="1">
      <alignment horizontal="right" vertical="top"/>
    </xf>
    <xf numFmtId="0" fontId="5" fillId="13" borderId="0" xfId="0" applyFont="1" applyFill="1"/>
    <xf numFmtId="0" fontId="5" fillId="13" borderId="0" xfId="0" applyFont="1" applyFill="1" applyAlignment="1">
      <alignment horizontal="center" vertical="top" wrapText="1"/>
    </xf>
    <xf numFmtId="0" fontId="7" fillId="13" borderId="0" xfId="0" applyFont="1" applyFill="1"/>
    <xf numFmtId="0" fontId="39" fillId="13" borderId="0" xfId="14" applyFont="1" applyFill="1" applyAlignment="1" applyProtection="1"/>
    <xf numFmtId="0" fontId="5" fillId="16" borderId="0" xfId="0" applyFont="1" applyFill="1"/>
    <xf numFmtId="0" fontId="5" fillId="0" borderId="0" xfId="0" applyFont="1" applyAlignment="1">
      <alignment horizontal="center" vertical="top" wrapText="1"/>
    </xf>
    <xf numFmtId="0" fontId="86" fillId="35" borderId="0" xfId="18" applyFont="1" applyFill="1" applyAlignment="1">
      <alignment vertical="top"/>
    </xf>
    <xf numFmtId="0" fontId="5" fillId="34" borderId="0" xfId="18" applyFill="1" applyAlignment="1">
      <alignment vertical="top"/>
    </xf>
    <xf numFmtId="0" fontId="5" fillId="28" borderId="0" xfId="18" applyFill="1" applyProtection="1">
      <protection locked="0"/>
    </xf>
    <xf numFmtId="0" fontId="51" fillId="27" borderId="0" xfId="0" applyFont="1" applyFill="1" applyAlignment="1">
      <alignment horizontal="left" vertical="top" wrapText="1"/>
    </xf>
    <xf numFmtId="0" fontId="92" fillId="27" borderId="0" xfId="0" applyFont="1" applyFill="1" applyAlignment="1">
      <alignment vertical="top"/>
    </xf>
    <xf numFmtId="0" fontId="92" fillId="27" borderId="0" xfId="0" applyFont="1" applyFill="1" applyAlignment="1">
      <alignment horizontal="right" vertical="top"/>
    </xf>
    <xf numFmtId="0" fontId="91" fillId="27" borderId="0" xfId="0" applyFont="1" applyFill="1" applyAlignment="1">
      <alignment horizontal="right" vertical="top"/>
    </xf>
    <xf numFmtId="0" fontId="92" fillId="27" borderId="0" xfId="0" applyFont="1" applyFill="1" applyAlignment="1">
      <alignment horizontal="left" vertical="top" indent="1"/>
    </xf>
    <xf numFmtId="0" fontId="0" fillId="25" borderId="0" xfId="0" applyFill="1"/>
    <xf numFmtId="0" fontId="5" fillId="27" borderId="0" xfId="0" applyFont="1" applyFill="1" applyAlignment="1">
      <alignment vertical="top"/>
    </xf>
    <xf numFmtId="0" fontId="7" fillId="17" borderId="36" xfId="0" applyFont="1" applyFill="1" applyBorder="1" applyAlignment="1">
      <alignment horizontal="left" vertical="top" indent="1"/>
    </xf>
    <xf numFmtId="0" fontId="7" fillId="25" borderId="35" xfId="0" applyFont="1" applyFill="1" applyBorder="1" applyAlignment="1">
      <alignment horizontal="left" vertical="top" indent="1"/>
    </xf>
    <xf numFmtId="0" fontId="7" fillId="17" borderId="59" xfId="0" applyFont="1" applyFill="1" applyBorder="1" applyAlignment="1">
      <alignment horizontal="left" vertical="top" indent="1"/>
    </xf>
    <xf numFmtId="0" fontId="7" fillId="25" borderId="44" xfId="0" applyFont="1" applyFill="1" applyBorder="1" applyAlignment="1">
      <alignment horizontal="left" vertical="top" indent="1"/>
    </xf>
    <xf numFmtId="0" fontId="5" fillId="27" borderId="0" xfId="0" applyFont="1" applyFill="1" applyAlignment="1">
      <alignment horizontal="left" vertical="top" wrapText="1"/>
    </xf>
    <xf numFmtId="0" fontId="5" fillId="32" borderId="0" xfId="0" applyFont="1" applyFill="1" applyAlignment="1">
      <alignment vertical="top"/>
    </xf>
    <xf numFmtId="0" fontId="7" fillId="27" borderId="0" xfId="0" applyFont="1" applyFill="1" applyAlignment="1">
      <alignment horizontal="left" vertical="top"/>
    </xf>
    <xf numFmtId="0" fontId="5" fillId="27" borderId="0" xfId="0" applyFont="1" applyFill="1" applyAlignment="1">
      <alignment horizontal="right" vertical="top"/>
    </xf>
    <xf numFmtId="0" fontId="5" fillId="27" borderId="29" xfId="0" applyFont="1" applyFill="1" applyBorder="1" applyAlignment="1">
      <alignment horizontal="left" vertical="top" indent="1"/>
    </xf>
    <xf numFmtId="0" fontId="5" fillId="27" borderId="0" xfId="0" applyFont="1" applyFill="1" applyAlignment="1">
      <alignment horizontal="left" vertical="top" indent="1"/>
    </xf>
    <xf numFmtId="0" fontId="35" fillId="27" borderId="0" xfId="0" applyFont="1" applyFill="1" applyAlignment="1">
      <alignment vertical="top"/>
    </xf>
    <xf numFmtId="0" fontId="7" fillId="27" borderId="0" xfId="0" applyFont="1" applyFill="1" applyAlignment="1">
      <alignment horizontal="right" vertical="top"/>
    </xf>
    <xf numFmtId="0" fontId="5" fillId="28" borderId="29" xfId="0" applyFont="1" applyFill="1" applyBorder="1" applyAlignment="1" applyProtection="1">
      <alignment horizontal="center" vertical="top"/>
      <protection locked="0"/>
    </xf>
    <xf numFmtId="0" fontId="5" fillId="28" borderId="29" xfId="0" applyFont="1" applyFill="1" applyBorder="1" applyAlignment="1" applyProtection="1">
      <alignment vertical="top"/>
      <protection locked="0"/>
    </xf>
    <xf numFmtId="0" fontId="5" fillId="28" borderId="20" xfId="0" applyFont="1" applyFill="1" applyBorder="1" applyAlignment="1" applyProtection="1">
      <alignment horizontal="center" vertical="top"/>
      <protection locked="0"/>
    </xf>
    <xf numFmtId="0" fontId="5" fillId="28" borderId="20" xfId="0" applyFont="1" applyFill="1" applyBorder="1" applyAlignment="1" applyProtection="1">
      <alignment vertical="top"/>
      <protection locked="0"/>
    </xf>
    <xf numFmtId="0" fontId="5" fillId="25" borderId="29" xfId="0" applyFont="1" applyFill="1" applyBorder="1" applyAlignment="1">
      <alignment horizontal="center" vertical="top"/>
    </xf>
    <xf numFmtId="167" fontId="5" fillId="25" borderId="29" xfId="0" applyNumberFormat="1" applyFont="1" applyFill="1" applyBorder="1" applyAlignment="1">
      <alignment horizontal="center" vertical="top"/>
    </xf>
    <xf numFmtId="3" fontId="5" fillId="28" borderId="29" xfId="0" applyNumberFormat="1" applyFont="1" applyFill="1" applyBorder="1" applyAlignment="1" applyProtection="1">
      <alignment horizontal="center" vertical="top"/>
      <protection locked="0"/>
    </xf>
    <xf numFmtId="167" fontId="5" fillId="28" borderId="29" xfId="0" applyNumberFormat="1" applyFont="1" applyFill="1" applyBorder="1" applyAlignment="1" applyProtection="1">
      <alignment horizontal="center" vertical="top"/>
      <protection locked="0"/>
    </xf>
    <xf numFmtId="0" fontId="5" fillId="32" borderId="0" xfId="18" applyFill="1" applyAlignment="1">
      <alignment vertical="top"/>
    </xf>
    <xf numFmtId="168" fontId="5" fillId="28" borderId="29" xfId="18" applyNumberFormat="1" applyFill="1" applyBorder="1" applyAlignment="1" applyProtection="1">
      <alignment vertical="top" wrapText="1"/>
      <protection locked="0"/>
    </xf>
    <xf numFmtId="0" fontId="5" fillId="32" borderId="0" xfId="18" applyFill="1" applyAlignment="1">
      <alignment vertical="top" wrapText="1"/>
    </xf>
    <xf numFmtId="0" fontId="8" fillId="32" borderId="0" xfId="18" applyFont="1" applyFill="1" applyAlignment="1">
      <alignment horizontal="left" vertical="top" wrapText="1"/>
    </xf>
    <xf numFmtId="0" fontId="0" fillId="32" borderId="0" xfId="0" applyFill="1" applyAlignment="1">
      <alignment horizontal="left" vertical="top" wrapText="1"/>
    </xf>
    <xf numFmtId="164" fontId="27" fillId="25" borderId="7" xfId="18" applyNumberFormat="1" applyFont="1" applyFill="1" applyBorder="1" applyAlignment="1">
      <alignment vertical="top"/>
    </xf>
    <xf numFmtId="164" fontId="98" fillId="22" borderId="66" xfId="18" applyNumberFormat="1" applyFont="1" applyFill="1" applyBorder="1" applyAlignment="1" applyProtection="1">
      <alignment vertical="top"/>
      <protection locked="0"/>
    </xf>
    <xf numFmtId="164" fontId="99" fillId="25" borderId="67" xfId="18" applyNumberFormat="1" applyFont="1" applyFill="1" applyBorder="1" applyAlignment="1">
      <alignment vertical="top"/>
    </xf>
    <xf numFmtId="164" fontId="10" fillId="27" borderId="7" xfId="18" applyNumberFormat="1" applyFont="1" applyFill="1" applyBorder="1" applyAlignment="1">
      <alignment vertical="top"/>
    </xf>
    <xf numFmtId="164" fontId="58" fillId="0" borderId="66" xfId="18" applyNumberFormat="1" applyFont="1" applyBorder="1" applyAlignment="1">
      <alignment vertical="top"/>
    </xf>
    <xf numFmtId="0" fontId="5" fillId="0" borderId="43" xfId="18" applyBorder="1" applyAlignment="1">
      <alignment vertical="top"/>
    </xf>
    <xf numFmtId="0" fontId="7" fillId="33" borderId="34" xfId="0" applyFont="1" applyFill="1" applyBorder="1"/>
    <xf numFmtId="0" fontId="5" fillId="27" borderId="54" xfId="0" applyFont="1" applyFill="1" applyBorder="1" applyAlignment="1">
      <alignment horizontal="left" vertical="top" indent="1"/>
    </xf>
    <xf numFmtId="0" fontId="5" fillId="27" borderId="56" xfId="0" applyFont="1" applyFill="1" applyBorder="1" applyAlignment="1">
      <alignment horizontal="left" vertical="top" indent="1"/>
    </xf>
    <xf numFmtId="0" fontId="13" fillId="17" borderId="15" xfId="0" applyFont="1" applyFill="1" applyBorder="1" applyAlignment="1">
      <alignment vertical="center"/>
    </xf>
    <xf numFmtId="0" fontId="5" fillId="26" borderId="34" xfId="18" applyFill="1" applyBorder="1" applyAlignment="1">
      <alignment horizontal="center" vertical="top"/>
    </xf>
    <xf numFmtId="0" fontId="0" fillId="26" borderId="0" xfId="0" applyFill="1" applyAlignment="1">
      <alignment vertical="top"/>
    </xf>
    <xf numFmtId="0" fontId="0" fillId="26" borderId="29" xfId="0" applyFill="1" applyBorder="1" applyAlignment="1">
      <alignment vertical="top"/>
    </xf>
    <xf numFmtId="0" fontId="5" fillId="26" borderId="0" xfId="0" applyFont="1" applyFill="1" applyAlignment="1">
      <alignment vertical="top"/>
    </xf>
    <xf numFmtId="0" fontId="69" fillId="13" borderId="0" xfId="0" applyFont="1" applyFill="1" applyAlignment="1">
      <alignment horizontal="justify" vertical="top" wrapText="1"/>
    </xf>
    <xf numFmtId="0" fontId="106" fillId="0" borderId="0" xfId="0" applyFont="1" applyAlignment="1">
      <alignment horizontal="left" vertical="top"/>
    </xf>
    <xf numFmtId="0" fontId="111" fillId="0" borderId="0" xfId="0" applyFont="1" applyAlignment="1">
      <alignment horizontal="left" vertical="top" wrapText="1"/>
    </xf>
    <xf numFmtId="0" fontId="106" fillId="0" borderId="0" xfId="18" applyFont="1" applyAlignment="1">
      <alignment horizontal="left" vertical="top"/>
    </xf>
    <xf numFmtId="0" fontId="106" fillId="0" borderId="0" xfId="18" applyFont="1" applyAlignment="1">
      <alignment horizontal="left" vertical="top" wrapText="1"/>
    </xf>
    <xf numFmtId="0" fontId="111" fillId="0" borderId="0" xfId="18" applyFont="1" applyAlignment="1">
      <alignment horizontal="left" vertical="top" wrapText="1"/>
    </xf>
    <xf numFmtId="0" fontId="109" fillId="0" borderId="0" xfId="18" applyFont="1" applyAlignment="1">
      <alignment horizontal="left" vertical="top"/>
    </xf>
    <xf numFmtId="0" fontId="0" fillId="36" borderId="0" xfId="0" applyFill="1"/>
    <xf numFmtId="0" fontId="7" fillId="13" borderId="0" xfId="18" applyFont="1" applyFill="1" applyAlignment="1">
      <alignment horizontal="center" vertical="top"/>
    </xf>
    <xf numFmtId="0" fontId="48" fillId="0" borderId="0" xfId="18" applyFont="1" applyAlignment="1">
      <alignment horizontal="center" vertical="top"/>
    </xf>
    <xf numFmtId="0" fontId="8" fillId="0" borderId="0" xfId="18" applyFont="1" applyAlignment="1">
      <alignment horizontal="center" vertical="top"/>
    </xf>
    <xf numFmtId="0" fontId="5" fillId="0" borderId="29" xfId="18" applyBorder="1" applyAlignment="1">
      <alignment vertical="top" wrapText="1"/>
    </xf>
    <xf numFmtId="14" fontId="5" fillId="0" borderId="29" xfId="18" applyNumberFormat="1" applyBorder="1" applyAlignment="1">
      <alignment horizontal="center" vertical="top" wrapText="1"/>
    </xf>
    <xf numFmtId="0" fontId="5" fillId="27" borderId="0" xfId="18" applyFill="1" applyAlignment="1">
      <alignment vertical="top"/>
    </xf>
    <xf numFmtId="0" fontId="7" fillId="27" borderId="0" xfId="18" applyFont="1" applyFill="1" applyAlignment="1">
      <alignment vertical="top"/>
    </xf>
    <xf numFmtId="0" fontId="5" fillId="27" borderId="29" xfId="0" applyFont="1" applyFill="1" applyBorder="1" applyAlignment="1">
      <alignment horizontal="center" vertical="top"/>
    </xf>
    <xf numFmtId="2" fontId="10" fillId="27"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xf>
    <xf numFmtId="0" fontId="5" fillId="18" borderId="0" xfId="0" applyFont="1" applyFill="1"/>
    <xf numFmtId="0" fontId="7" fillId="13" borderId="0" xfId="0" applyFont="1" applyFill="1" applyAlignment="1">
      <alignment horizontal="left" vertical="top" wrapText="1"/>
    </xf>
    <xf numFmtId="0" fontId="5" fillId="0" borderId="0" xfId="0" applyFont="1" applyAlignment="1">
      <alignment horizontal="left" vertical="top" wrapText="1"/>
    </xf>
    <xf numFmtId="0" fontId="5" fillId="23" borderId="13" xfId="0" applyFont="1" applyFill="1" applyBorder="1" applyAlignment="1">
      <alignment horizontal="left" vertical="center" wrapText="1" indent="1"/>
    </xf>
    <xf numFmtId="0" fontId="8" fillId="27" borderId="0" xfId="0" applyFont="1" applyFill="1" applyAlignment="1">
      <alignment horizontal="left" vertical="top" wrapText="1"/>
    </xf>
    <xf numFmtId="0" fontId="9" fillId="0" borderId="7" xfId="18" applyFont="1" applyBorder="1" applyAlignment="1">
      <alignment horizontal="left" vertical="top" wrapText="1"/>
    </xf>
    <xf numFmtId="0" fontId="14" fillId="13" borderId="30" xfId="18" applyFont="1" applyFill="1" applyBorder="1" applyAlignment="1">
      <alignment horizontal="left" vertical="top" wrapText="1"/>
    </xf>
    <xf numFmtId="0" fontId="13" fillId="13" borderId="0" xfId="18" applyFont="1" applyFill="1" applyAlignment="1">
      <alignment horizontal="left" vertical="center" wrapText="1"/>
    </xf>
    <xf numFmtId="0" fontId="5" fillId="27" borderId="7" xfId="0" applyFont="1" applyFill="1" applyBorder="1" applyAlignment="1">
      <alignment horizontal="left" vertical="top"/>
    </xf>
    <xf numFmtId="0" fontId="50" fillId="13" borderId="0" xfId="0" applyFont="1" applyFill="1" applyAlignment="1">
      <alignment horizontal="left" vertical="top" wrapText="1"/>
    </xf>
    <xf numFmtId="0" fontId="95" fillId="27" borderId="0" xfId="0" applyFont="1" applyFill="1" applyAlignment="1">
      <alignment horizontal="left" vertical="top" wrapText="1"/>
    </xf>
    <xf numFmtId="0" fontId="93" fillId="13" borderId="0" xfId="0" applyFont="1" applyFill="1" applyAlignment="1">
      <alignment horizontal="left" vertical="top" wrapText="1"/>
    </xf>
    <xf numFmtId="166" fontId="5" fillId="27" borderId="7" xfId="0" applyNumberFormat="1" applyFont="1" applyFill="1" applyBorder="1" applyAlignment="1">
      <alignment horizontal="left" vertical="top"/>
    </xf>
    <xf numFmtId="0" fontId="7" fillId="13" borderId="0" xfId="0" applyFont="1" applyFill="1" applyAlignment="1">
      <alignment horizontal="left"/>
    </xf>
    <xf numFmtId="0" fontId="94" fillId="13" borderId="31" xfId="0" applyFont="1" applyFill="1" applyBorder="1" applyAlignment="1">
      <alignment horizontal="left" vertical="top" wrapText="1"/>
    </xf>
    <xf numFmtId="0" fontId="5" fillId="27" borderId="21" xfId="0" applyFont="1" applyFill="1" applyBorder="1" applyAlignment="1">
      <alignment horizontal="left" vertical="top" wrapText="1"/>
    </xf>
    <xf numFmtId="0" fontId="5" fillId="27" borderId="45" xfId="0" applyFont="1" applyFill="1" applyBorder="1" applyAlignment="1">
      <alignment horizontal="left" vertical="top" wrapText="1"/>
    </xf>
    <xf numFmtId="0" fontId="0" fillId="36" borderId="0" xfId="0" applyFill="1" applyAlignment="1">
      <alignment horizontal="left"/>
    </xf>
    <xf numFmtId="0" fontId="0" fillId="25" borderId="0" xfId="0" applyFill="1" applyAlignment="1">
      <alignment horizontal="left"/>
    </xf>
    <xf numFmtId="0" fontId="112" fillId="0" borderId="0" xfId="18" applyFont="1" applyAlignment="1">
      <alignment horizontal="left" vertical="top"/>
    </xf>
    <xf numFmtId="0" fontId="106" fillId="0" borderId="0" xfId="0" applyFont="1" applyAlignment="1">
      <alignment horizontal="left" vertical="top" wrapText="1"/>
    </xf>
    <xf numFmtId="0" fontId="110" fillId="0" borderId="0" xfId="0" applyFont="1" applyAlignment="1">
      <alignment horizontal="left" vertical="top" wrapText="1"/>
    </xf>
    <xf numFmtId="0" fontId="10" fillId="0" borderId="49" xfId="0" applyFont="1" applyBorder="1" applyAlignment="1">
      <alignment vertical="center" wrapText="1"/>
    </xf>
    <xf numFmtId="0" fontId="58" fillId="0" borderId="7" xfId="18" applyFont="1" applyBorder="1" applyAlignment="1">
      <alignment horizontal="left" vertical="top" wrapText="1"/>
    </xf>
    <xf numFmtId="0" fontId="58" fillId="0" borderId="7" xfId="18" applyFont="1" applyBorder="1" applyAlignment="1">
      <alignment horizontal="left" vertical="top" wrapText="1" indent="1"/>
    </xf>
    <xf numFmtId="0" fontId="45" fillId="0" borderId="7" xfId="18" applyFont="1" applyBorder="1" applyAlignment="1">
      <alignment horizontal="left" vertical="top" wrapText="1" indent="2"/>
    </xf>
    <xf numFmtId="0" fontId="27" fillId="0" borderId="7" xfId="18" applyFont="1" applyBorder="1" applyAlignment="1">
      <alignment horizontal="left" vertical="top"/>
    </xf>
    <xf numFmtId="0" fontId="10" fillId="0" borderId="21" xfId="18" applyFont="1" applyBorder="1" applyAlignment="1">
      <alignment horizontal="left" vertical="top" wrapText="1"/>
    </xf>
    <xf numFmtId="0" fontId="9" fillId="13" borderId="7" xfId="18" applyFont="1" applyFill="1" applyBorder="1" applyAlignment="1">
      <alignment horizontal="left" vertical="center"/>
    </xf>
    <xf numFmtId="0" fontId="7" fillId="0" borderId="7" xfId="18" applyFont="1" applyBorder="1" applyAlignment="1">
      <alignment horizontal="left"/>
    </xf>
    <xf numFmtId="0" fontId="10" fillId="32" borderId="21" xfId="18" applyFont="1" applyFill="1" applyBorder="1" applyAlignment="1">
      <alignment horizontal="left" vertical="top" wrapText="1"/>
    </xf>
    <xf numFmtId="0" fontId="5" fillId="27" borderId="69" xfId="0" applyFont="1" applyFill="1" applyBorder="1" applyAlignment="1">
      <alignment horizontal="left" vertical="top" wrapText="1"/>
    </xf>
    <xf numFmtId="0" fontId="5" fillId="27" borderId="70" xfId="0" applyFont="1" applyFill="1" applyBorder="1" applyAlignment="1">
      <alignment horizontal="left" vertical="top" wrapText="1"/>
    </xf>
    <xf numFmtId="0" fontId="5" fillId="27" borderId="71" xfId="0" applyFont="1" applyFill="1" applyBorder="1" applyAlignment="1">
      <alignment horizontal="left" vertical="top" wrapText="1"/>
    </xf>
    <xf numFmtId="0" fontId="5" fillId="27" borderId="72" xfId="0" applyFont="1" applyFill="1" applyBorder="1" applyAlignment="1">
      <alignment horizontal="left" vertical="top" wrapText="1"/>
    </xf>
    <xf numFmtId="0" fontId="114" fillId="0" borderId="0" xfId="0" applyFont="1" applyAlignment="1">
      <alignment vertical="top" wrapText="1"/>
    </xf>
    <xf numFmtId="0" fontId="103" fillId="0" borderId="0" xfId="0" applyFont="1" applyAlignment="1">
      <alignment horizontal="left" vertical="top" wrapText="1"/>
    </xf>
    <xf numFmtId="0" fontId="105" fillId="0" borderId="0" xfId="0" applyFont="1" applyAlignment="1">
      <alignment horizontal="left" vertical="top"/>
    </xf>
    <xf numFmtId="0" fontId="105" fillId="0" borderId="0" xfId="0" applyFont="1" applyAlignment="1">
      <alignment horizontal="left" vertical="top" wrapText="1"/>
    </xf>
    <xf numFmtId="0" fontId="104" fillId="0" borderId="0" xfId="18" applyFont="1" applyAlignment="1">
      <alignment horizontal="left" vertical="top" wrapText="1"/>
    </xf>
    <xf numFmtId="0" fontId="113" fillId="0" borderId="0" xfId="18" applyFont="1" applyAlignment="1">
      <alignment horizontal="left" vertical="top" wrapText="1"/>
    </xf>
    <xf numFmtId="0" fontId="112" fillId="0" borderId="0" xfId="18" applyFont="1" applyAlignment="1">
      <alignment horizontal="left" vertical="top" wrapText="1"/>
    </xf>
    <xf numFmtId="0" fontId="105" fillId="0" borderId="0" xfId="18" applyFont="1" applyAlignment="1">
      <alignment horizontal="left" vertical="top" wrapText="1"/>
    </xf>
    <xf numFmtId="0" fontId="118" fillId="0" borderId="0" xfId="18" applyFont="1" applyAlignment="1">
      <alignment horizontal="left" vertical="top"/>
    </xf>
    <xf numFmtId="0" fontId="105" fillId="0" borderId="0" xfId="18" applyFont="1" applyAlignment="1">
      <alignment horizontal="left" vertical="top"/>
    </xf>
    <xf numFmtId="0" fontId="104" fillId="0" borderId="0" xfId="18" applyFont="1" applyAlignment="1">
      <alignment horizontal="left" vertical="top"/>
    </xf>
    <xf numFmtId="0" fontId="111" fillId="0" borderId="0" xfId="18" applyFont="1" applyAlignment="1">
      <alignment horizontal="left" vertical="top"/>
    </xf>
    <xf numFmtId="0" fontId="116" fillId="0" borderId="0" xfId="18" applyFont="1" applyAlignment="1">
      <alignment horizontal="left" vertical="top"/>
    </xf>
    <xf numFmtId="0" fontId="112" fillId="0" borderId="0" xfId="0" applyFont="1" applyAlignment="1">
      <alignment horizontal="left" vertical="top" wrapText="1"/>
    </xf>
    <xf numFmtId="0" fontId="126" fillId="0" borderId="0" xfId="0" applyFont="1" applyAlignment="1">
      <alignment horizontal="left" vertical="top" wrapText="1"/>
    </xf>
    <xf numFmtId="0" fontId="127" fillId="0" borderId="0" xfId="0" applyFont="1" applyAlignment="1">
      <alignment horizontal="left" vertical="top" wrapText="1"/>
    </xf>
    <xf numFmtId="0" fontId="10" fillId="0" borderId="0" xfId="18" applyFont="1" applyAlignment="1">
      <alignment horizontal="left" vertical="top" wrapText="1"/>
    </xf>
    <xf numFmtId="0" fontId="0" fillId="37" borderId="0" xfId="0" applyFill="1"/>
    <xf numFmtId="0" fontId="5" fillId="0" borderId="0" xfId="0" applyFont="1" applyAlignment="1">
      <alignment horizontal="left"/>
    </xf>
    <xf numFmtId="0" fontId="0" fillId="37" borderId="0" xfId="0" applyFill="1" applyAlignment="1">
      <alignment horizontal="left"/>
    </xf>
    <xf numFmtId="0" fontId="102" fillId="0" borderId="0" xfId="19" applyFont="1" applyAlignment="1">
      <alignment vertical="top" wrapText="1"/>
    </xf>
    <xf numFmtId="0" fontId="103" fillId="0" borderId="0" xfId="0" applyFont="1" applyAlignment="1">
      <alignment vertical="top" wrapText="1"/>
    </xf>
    <xf numFmtId="0" fontId="104" fillId="0" borderId="0" xfId="0" applyFont="1" applyAlignment="1">
      <alignment vertical="top" wrapText="1"/>
    </xf>
    <xf numFmtId="0" fontId="105" fillId="0" borderId="0" xfId="0" applyFont="1" applyAlignment="1">
      <alignment vertical="top" wrapText="1"/>
    </xf>
    <xf numFmtId="0" fontId="106" fillId="0" borderId="0" xfId="0" applyFont="1" applyAlignment="1">
      <alignment vertical="top" wrapText="1"/>
    </xf>
    <xf numFmtId="0" fontId="107" fillId="0" borderId="0" xfId="14" applyFont="1" applyFill="1" applyBorder="1" applyAlignment="1" applyProtection="1">
      <alignment vertical="top" wrapText="1"/>
    </xf>
    <xf numFmtId="0" fontId="108" fillId="0" borderId="0" xfId="0" applyFont="1" applyAlignment="1">
      <alignment vertical="top" wrapText="1"/>
    </xf>
    <xf numFmtId="0" fontId="109" fillId="0" borderId="0" xfId="0" applyFont="1" applyAlignment="1">
      <alignment vertical="top" wrapText="1"/>
    </xf>
    <xf numFmtId="0" fontId="107" fillId="0" borderId="0" xfId="0" applyFont="1" applyAlignment="1">
      <alignment vertical="top" wrapText="1"/>
    </xf>
    <xf numFmtId="0" fontId="110" fillId="0" borderId="0" xfId="0" applyFont="1" applyAlignment="1">
      <alignment vertical="top" wrapText="1"/>
    </xf>
    <xf numFmtId="0" fontId="111" fillId="0" borderId="0" xfId="0" applyFont="1" applyAlignment="1">
      <alignment vertical="top" wrapText="1"/>
    </xf>
    <xf numFmtId="0" fontId="112" fillId="0" borderId="0" xfId="0" applyFont="1" applyAlignment="1">
      <alignment vertical="top" wrapText="1"/>
    </xf>
    <xf numFmtId="0" fontId="113" fillId="0" borderId="0" xfId="0" applyFont="1" applyAlignment="1">
      <alignment vertical="top" wrapText="1"/>
    </xf>
    <xf numFmtId="0" fontId="115" fillId="0" borderId="0" xfId="0" applyFont="1" applyAlignment="1">
      <alignment vertical="top" wrapText="1"/>
    </xf>
    <xf numFmtId="0" fontId="116" fillId="0" borderId="0" xfId="0" applyFont="1" applyAlignment="1">
      <alignment vertical="top" wrapText="1"/>
    </xf>
    <xf numFmtId="0" fontId="118" fillId="0" borderId="0" xfId="0" applyFont="1" applyAlignment="1">
      <alignment vertical="top" wrapText="1"/>
    </xf>
    <xf numFmtId="0" fontId="123" fillId="0" borderId="0" xfId="0" applyFont="1" applyAlignment="1">
      <alignment vertical="top" wrapText="1"/>
    </xf>
    <xf numFmtId="0" fontId="105" fillId="0" borderId="0" xfId="0" applyFont="1" applyAlignment="1">
      <alignment vertical="top"/>
    </xf>
    <xf numFmtId="0" fontId="108" fillId="0" borderId="0" xfId="0" applyFont="1" applyAlignment="1">
      <alignment horizontal="left" vertical="top" wrapText="1"/>
    </xf>
    <xf numFmtId="0" fontId="105" fillId="0" borderId="0" xfId="18" applyFont="1" applyAlignment="1">
      <alignment vertical="top" wrapText="1"/>
    </xf>
    <xf numFmtId="0" fontId="117" fillId="0" borderId="0" xfId="0" applyFont="1" applyAlignment="1">
      <alignment horizontal="left" vertical="top"/>
    </xf>
    <xf numFmtId="0" fontId="0" fillId="38" borderId="0" xfId="0" applyFill="1" applyAlignment="1">
      <alignment vertical="top"/>
    </xf>
    <xf numFmtId="0" fontId="0" fillId="38" borderId="0" xfId="0" applyFill="1" applyAlignment="1">
      <alignment vertical="top" wrapText="1"/>
    </xf>
    <xf numFmtId="0" fontId="7" fillId="38" borderId="0" xfId="0" applyFont="1" applyFill="1" applyAlignment="1">
      <alignment horizontal="center" vertical="top"/>
    </xf>
    <xf numFmtId="0" fontId="39" fillId="38" borderId="0" xfId="0" applyFont="1" applyFill="1" applyAlignment="1">
      <alignment vertical="top" wrapText="1"/>
    </xf>
    <xf numFmtId="0" fontId="5" fillId="38" borderId="0" xfId="18" applyFill="1" applyAlignment="1">
      <alignment vertical="top"/>
    </xf>
    <xf numFmtId="0" fontId="5" fillId="39" borderId="0" xfId="18" applyFill="1" applyAlignment="1">
      <alignment vertical="top"/>
    </xf>
    <xf numFmtId="0" fontId="5" fillId="38" borderId="0" xfId="18" applyFill="1" applyAlignment="1">
      <alignment vertical="top" wrapText="1"/>
    </xf>
    <xf numFmtId="0" fontId="5" fillId="38" borderId="0" xfId="18" applyFill="1" applyAlignment="1">
      <alignment vertical="center"/>
    </xf>
    <xf numFmtId="0" fontId="8" fillId="38" borderId="0" xfId="18" applyFont="1" applyFill="1" applyAlignment="1">
      <alignment horizontal="left" vertical="top" wrapText="1"/>
    </xf>
    <xf numFmtId="165" fontId="9" fillId="28" borderId="29" xfId="18" applyNumberFormat="1" applyFont="1" applyFill="1" applyBorder="1" applyAlignment="1" applyProtection="1">
      <alignment horizontal="right" vertical="top"/>
      <protection locked="0"/>
    </xf>
    <xf numFmtId="0" fontId="27" fillId="38" borderId="0" xfId="18" applyFont="1" applyFill="1" applyAlignment="1">
      <alignment vertical="top"/>
    </xf>
    <xf numFmtId="0" fontId="85" fillId="0" borderId="0" xfId="18" applyFont="1" applyAlignment="1">
      <alignment vertical="center"/>
    </xf>
    <xf numFmtId="0" fontId="5" fillId="39" borderId="0" xfId="18" applyFill="1"/>
    <xf numFmtId="0" fontId="9" fillId="39" borderId="0" xfId="18" applyFont="1" applyFill="1" applyAlignment="1">
      <alignment horizontal="center" vertical="top" wrapText="1"/>
    </xf>
    <xf numFmtId="0" fontId="9" fillId="39" borderId="0" xfId="18" applyFont="1" applyFill="1" applyAlignment="1">
      <alignment vertical="top"/>
    </xf>
    <xf numFmtId="0" fontId="9" fillId="39" borderId="0" xfId="18" applyFont="1" applyFill="1"/>
    <xf numFmtId="0" fontId="85" fillId="0" borderId="0" xfId="18" applyFont="1"/>
    <xf numFmtId="0" fontId="7" fillId="13" borderId="0" xfId="14" applyFont="1" applyFill="1" applyAlignment="1" applyProtection="1">
      <alignment horizontal="left" vertical="top" wrapText="1"/>
    </xf>
    <xf numFmtId="0" fontId="5" fillId="13" borderId="0" xfId="14" applyFont="1" applyFill="1" applyAlignment="1" applyProtection="1">
      <alignment horizontal="left" vertical="top" wrapText="1"/>
    </xf>
    <xf numFmtId="0" fontId="48" fillId="0" borderId="0" xfId="18" applyFont="1" applyAlignment="1">
      <alignment horizontal="left" vertical="center" wrapText="1"/>
    </xf>
    <xf numFmtId="0" fontId="8" fillId="0" borderId="0" xfId="18" applyFont="1" applyAlignment="1">
      <alignment horizontal="left" vertical="center" wrapText="1"/>
    </xf>
    <xf numFmtId="0" fontId="45" fillId="0" borderId="29" xfId="18" applyFont="1" applyBorder="1" applyAlignment="1">
      <alignment horizontal="left" vertical="top" wrapText="1" indent="1"/>
    </xf>
    <xf numFmtId="0" fontId="5" fillId="0" borderId="0" xfId="18" applyAlignment="1">
      <alignment horizontal="left" vertical="top" wrapText="1"/>
    </xf>
    <xf numFmtId="0" fontId="5" fillId="33" borderId="0" xfId="18" applyFill="1" applyAlignment="1">
      <alignment horizontal="center" vertical="top"/>
    </xf>
    <xf numFmtId="0" fontId="5" fillId="26" borderId="0" xfId="18" applyFill="1" applyAlignment="1">
      <alignment horizontal="left" vertical="top"/>
    </xf>
    <xf numFmtId="0" fontId="10" fillId="0" borderId="29" xfId="18" applyFont="1" applyBorder="1" applyAlignment="1">
      <alignment horizontal="left" vertical="top" wrapText="1"/>
    </xf>
    <xf numFmtId="0" fontId="27" fillId="0" borderId="0" xfId="18" applyFont="1" applyAlignment="1">
      <alignment horizontal="left" vertical="top"/>
    </xf>
    <xf numFmtId="0" fontId="10" fillId="38" borderId="20" xfId="18" applyFont="1" applyFill="1" applyBorder="1" applyAlignment="1">
      <alignment horizontal="left" vertical="top" wrapText="1"/>
    </xf>
    <xf numFmtId="0" fontId="14" fillId="13" borderId="0" xfId="18" applyFont="1" applyFill="1" applyAlignment="1">
      <alignment horizontal="left" vertical="center" wrapText="1"/>
    </xf>
    <xf numFmtId="0" fontId="105" fillId="0" borderId="0" xfId="0" applyFont="1"/>
    <xf numFmtId="0" fontId="106" fillId="0" borderId="0" xfId="14" applyFont="1" applyFill="1" applyAlignment="1" applyProtection="1">
      <alignment horizontal="left" vertical="top" wrapText="1"/>
    </xf>
    <xf numFmtId="0" fontId="105" fillId="0" borderId="0" xfId="14" applyFont="1" applyFill="1" applyAlignment="1" applyProtection="1">
      <alignment horizontal="left" vertical="top" wrapText="1"/>
    </xf>
    <xf numFmtId="0" fontId="125" fillId="0" borderId="0" xfId="0" applyFont="1" applyAlignment="1">
      <alignment horizontal="left" vertical="center" wrapText="1"/>
    </xf>
    <xf numFmtId="0" fontId="111" fillId="0" borderId="0" xfId="18" applyFont="1" applyAlignment="1">
      <alignment horizontal="left" vertical="center" wrapText="1"/>
    </xf>
    <xf numFmtId="0" fontId="113" fillId="0" borderId="0" xfId="18" applyFont="1" applyAlignment="1">
      <alignment horizontal="left" vertical="center" wrapText="1"/>
    </xf>
    <xf numFmtId="0" fontId="106" fillId="0" borderId="7" xfId="18" applyFont="1" applyBorder="1" applyAlignment="1">
      <alignment horizontal="left" vertical="top" wrapText="1"/>
    </xf>
    <xf numFmtId="0" fontId="106" fillId="0" borderId="27" xfId="18" applyFont="1" applyBorder="1" applyAlignment="1">
      <alignment horizontal="left" vertical="top" wrapText="1"/>
    </xf>
    <xf numFmtId="0" fontId="112" fillId="0" borderId="29" xfId="18" applyFont="1" applyBorder="1" applyAlignment="1">
      <alignment horizontal="left" vertical="top" wrapText="1"/>
    </xf>
    <xf numFmtId="0" fontId="111" fillId="0" borderId="29" xfId="18" applyFont="1" applyBorder="1" applyAlignment="1">
      <alignment horizontal="left" vertical="top" wrapText="1" indent="1"/>
    </xf>
    <xf numFmtId="0" fontId="112" fillId="0" borderId="7" xfId="18" applyFont="1" applyBorder="1" applyAlignment="1">
      <alignment horizontal="left" vertical="top" wrapText="1"/>
    </xf>
    <xf numFmtId="0" fontId="112" fillId="0" borderId="20" xfId="18" applyFont="1" applyBorder="1" applyAlignment="1">
      <alignment horizontal="left" vertical="top" wrapText="1"/>
    </xf>
    <xf numFmtId="0" fontId="109" fillId="0" borderId="0" xfId="18" applyFont="1" applyAlignment="1">
      <alignment horizontal="left"/>
    </xf>
    <xf numFmtId="0" fontId="105" fillId="0" borderId="0" xfId="0" applyFont="1" applyAlignment="1">
      <alignment horizontal="left"/>
    </xf>
    <xf numFmtId="0" fontId="7" fillId="0" borderId="0" xfId="18" applyFont="1" applyAlignment="1">
      <alignment vertical="top" wrapText="1"/>
    </xf>
    <xf numFmtId="0" fontId="131" fillId="17" borderId="0" xfId="0" applyFont="1" applyFill="1"/>
    <xf numFmtId="0" fontId="7" fillId="13" borderId="0" xfId="14" applyFont="1" applyFill="1" applyAlignment="1" applyProtection="1">
      <alignment vertical="top" wrapText="1"/>
    </xf>
    <xf numFmtId="0" fontId="33" fillId="13" borderId="0" xfId="14" applyFont="1" applyFill="1" applyAlignment="1" applyProtection="1">
      <alignment vertical="top" wrapText="1"/>
    </xf>
    <xf numFmtId="0" fontId="7" fillId="0" borderId="0" xfId="0" applyFont="1" applyAlignment="1">
      <alignment vertical="top" wrapText="1"/>
    </xf>
    <xf numFmtId="0" fontId="45" fillId="0" borderId="29" xfId="18" applyFont="1" applyBorder="1" applyAlignment="1">
      <alignment vertical="top" wrapText="1"/>
    </xf>
    <xf numFmtId="0" fontId="105" fillId="0" borderId="0" xfId="18" applyFont="1" applyAlignment="1">
      <alignment wrapText="1"/>
    </xf>
    <xf numFmtId="0" fontId="106" fillId="0" borderId="0" xfId="14" applyFont="1" applyFill="1" applyAlignment="1" applyProtection="1">
      <alignment vertical="top" wrapText="1"/>
    </xf>
    <xf numFmtId="0" fontId="105" fillId="0" borderId="0" xfId="14" applyFont="1" applyFill="1" applyAlignment="1" applyProtection="1">
      <alignment vertical="top" wrapText="1"/>
    </xf>
    <xf numFmtId="0" fontId="117" fillId="0" borderId="0" xfId="14" applyFont="1" applyFill="1" applyAlignment="1" applyProtection="1">
      <alignment vertical="top" wrapText="1"/>
    </xf>
    <xf numFmtId="0" fontId="111" fillId="0" borderId="29" xfId="18" applyFont="1" applyBorder="1" applyAlignment="1">
      <alignment vertical="top" wrapText="1"/>
    </xf>
    <xf numFmtId="0" fontId="106" fillId="0" borderId="0" xfId="18" applyFont="1" applyAlignment="1">
      <alignment vertical="top" wrapText="1"/>
    </xf>
    <xf numFmtId="0" fontId="113" fillId="0" borderId="7" xfId="18" applyFont="1" applyBorder="1" applyAlignment="1">
      <alignment horizontal="left" vertical="top" wrapText="1" indent="1"/>
    </xf>
    <xf numFmtId="0" fontId="105" fillId="13" borderId="0" xfId="0" applyFont="1" applyFill="1" applyAlignment="1">
      <alignment horizontal="left" vertical="top" wrapText="1"/>
    </xf>
    <xf numFmtId="0" fontId="5" fillId="0" borderId="0" xfId="0" applyFont="1" applyAlignment="1">
      <alignment vertical="top" wrapText="1"/>
    </xf>
    <xf numFmtId="0" fontId="130" fillId="0" borderId="0" xfId="0" applyFont="1" applyAlignment="1">
      <alignment horizontal="left" vertical="top"/>
    </xf>
    <xf numFmtId="0" fontId="5" fillId="0" borderId="0" xfId="18" quotePrefix="1"/>
    <xf numFmtId="0" fontId="0" fillId="27" borderId="0" xfId="0" applyFill="1" applyAlignment="1">
      <alignment horizontal="left" vertical="top" wrapText="1"/>
    </xf>
    <xf numFmtId="0" fontId="85" fillId="0" borderId="0" xfId="0" applyFont="1" applyAlignment="1">
      <alignment vertical="top"/>
    </xf>
    <xf numFmtId="0" fontId="7" fillId="27" borderId="0" xfId="18" applyFont="1" applyFill="1" applyAlignment="1">
      <alignment horizontal="left" vertical="top"/>
    </xf>
    <xf numFmtId="0" fontId="5" fillId="27" borderId="0" xfId="18" applyFill="1" applyAlignment="1">
      <alignment horizontal="left" vertical="top"/>
    </xf>
    <xf numFmtId="0" fontId="8" fillId="27" borderId="0" xfId="18" applyFont="1" applyFill="1" applyAlignment="1">
      <alignment vertical="top"/>
    </xf>
    <xf numFmtId="0" fontId="10" fillId="27" borderId="0" xfId="18" applyFont="1" applyFill="1" applyAlignment="1">
      <alignment vertical="top" wrapText="1"/>
    </xf>
    <xf numFmtId="0" fontId="7" fillId="27" borderId="0" xfId="18" applyFont="1" applyFill="1" applyAlignment="1">
      <alignment horizontal="center" vertical="top"/>
    </xf>
    <xf numFmtId="0" fontId="7" fillId="27" borderId="0" xfId="0" applyFont="1" applyFill="1" applyAlignment="1">
      <alignment vertical="top"/>
    </xf>
    <xf numFmtId="0" fontId="132" fillId="27" borderId="0" xfId="14" applyFont="1" applyFill="1" applyAlignment="1" applyProtection="1">
      <alignment horizontal="lef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7" fillId="13" borderId="0" xfId="0" applyFont="1" applyFill="1" applyAlignment="1">
      <alignment vertical="top" wrapText="1"/>
    </xf>
    <xf numFmtId="0" fontId="35" fillId="13" borderId="0" xfId="0" applyFont="1" applyFill="1" applyAlignment="1">
      <alignment horizontal="left" vertical="top" wrapText="1"/>
    </xf>
    <xf numFmtId="0" fontId="35" fillId="13" borderId="0" xfId="0" applyFont="1" applyFill="1" applyAlignment="1">
      <alignment horizontal="left" vertical="top" wrapText="1" indent="2"/>
    </xf>
    <xf numFmtId="0" fontId="5" fillId="0" borderId="7" xfId="18" applyBorder="1" applyAlignment="1">
      <alignment horizontal="left" vertical="top" wrapText="1"/>
    </xf>
    <xf numFmtId="0" fontId="7" fillId="0" borderId="7" xfId="18" applyFont="1" applyBorder="1" applyAlignment="1">
      <alignment horizontal="left" vertical="top" wrapText="1"/>
    </xf>
    <xf numFmtId="0" fontId="7" fillId="0" borderId="30" xfId="18" applyFont="1" applyBorder="1" applyAlignment="1">
      <alignment horizontal="left" vertical="top" wrapText="1"/>
    </xf>
    <xf numFmtId="0" fontId="14" fillId="27" borderId="31" xfId="18" applyFont="1" applyFill="1" applyBorder="1" applyAlignment="1">
      <alignment horizontal="left" vertical="top" wrapText="1"/>
    </xf>
    <xf numFmtId="0" fontId="14" fillId="27" borderId="0" xfId="18" applyFont="1" applyFill="1" applyAlignment="1">
      <alignment horizontal="left" vertical="top" wrapText="1"/>
    </xf>
    <xf numFmtId="0" fontId="59" fillId="27" borderId="0" xfId="18" applyFont="1" applyFill="1" applyAlignment="1">
      <alignment horizontal="left" vertical="top" wrapText="1"/>
    </xf>
    <xf numFmtId="0" fontId="7" fillId="27" borderId="0" xfId="18" applyFont="1" applyFill="1" applyAlignment="1">
      <alignment horizontal="left" vertical="top" wrapText="1"/>
    </xf>
    <xf numFmtId="0" fontId="50" fillId="27" borderId="0" xfId="0" applyFont="1" applyFill="1" applyAlignment="1">
      <alignment horizontal="left" vertical="top" wrapText="1"/>
    </xf>
    <xf numFmtId="0" fontId="59" fillId="13" borderId="0" xfId="18" applyFont="1" applyFill="1" applyAlignment="1">
      <alignment vertical="top" wrapText="1"/>
    </xf>
    <xf numFmtId="0" fontId="5" fillId="16" borderId="0" xfId="0" applyFont="1" applyFill="1" applyAlignment="1">
      <alignment horizontal="left" vertical="top" wrapText="1"/>
    </xf>
    <xf numFmtId="0" fontId="14" fillId="13" borderId="0" xfId="0" applyFont="1" applyFill="1" applyAlignment="1">
      <alignment vertical="top" wrapText="1"/>
    </xf>
    <xf numFmtId="0" fontId="0" fillId="0" borderId="29" xfId="0" applyBorder="1" applyAlignment="1">
      <alignment vertical="top" wrapText="1"/>
    </xf>
    <xf numFmtId="0" fontId="14" fillId="13" borderId="73" xfId="0" applyFont="1" applyFill="1" applyBorder="1" applyAlignment="1">
      <alignment vertical="top" wrapText="1"/>
    </xf>
    <xf numFmtId="0" fontId="49" fillId="13" borderId="0" xfId="18" applyFont="1" applyFill="1" applyAlignment="1">
      <alignment horizontal="left" vertical="top" wrapText="1"/>
    </xf>
    <xf numFmtId="0" fontId="14" fillId="13" borderId="74" xfId="0" applyFont="1" applyFill="1" applyBorder="1" applyAlignment="1">
      <alignment vertical="top" wrapText="1"/>
    </xf>
    <xf numFmtId="0" fontId="48" fillId="0" borderId="80" xfId="18" applyFont="1" applyBorder="1" applyAlignment="1">
      <alignment vertical="top" wrapText="1"/>
    </xf>
    <xf numFmtId="0" fontId="48" fillId="0" borderId="81" xfId="18" applyFont="1" applyBorder="1" applyAlignment="1">
      <alignment horizontal="left" vertical="top" wrapText="1"/>
    </xf>
    <xf numFmtId="0" fontId="5" fillId="26" borderId="43" xfId="18" applyFill="1" applyBorder="1" applyAlignment="1">
      <alignment vertical="top"/>
    </xf>
    <xf numFmtId="0" fontId="85" fillId="26" borderId="0" xfId="18" applyFont="1" applyFill="1" applyAlignment="1">
      <alignment horizontal="center" vertical="top"/>
    </xf>
    <xf numFmtId="0" fontId="105" fillId="0" borderId="0" xfId="0" applyFont="1" applyAlignment="1">
      <alignment vertical="center" wrapText="1"/>
    </xf>
    <xf numFmtId="0" fontId="108" fillId="0" borderId="0" xfId="0" applyFont="1" applyAlignment="1">
      <alignment horizontal="left" vertical="top" wrapText="1" indent="2"/>
    </xf>
    <xf numFmtId="0" fontId="106" fillId="0" borderId="30" xfId="18" applyFont="1" applyBorder="1" applyAlignment="1">
      <alignment horizontal="left" vertical="top" wrapText="1"/>
    </xf>
    <xf numFmtId="0" fontId="105" fillId="0" borderId="7" xfId="18" applyFont="1" applyBorder="1" applyAlignment="1">
      <alignment horizontal="left" vertical="top" wrapText="1"/>
    </xf>
    <xf numFmtId="0" fontId="111" fillId="0" borderId="31" xfId="18" applyFont="1" applyBorder="1" applyAlignment="1">
      <alignment horizontal="left" vertical="top" wrapText="1"/>
    </xf>
    <xf numFmtId="0" fontId="5" fillId="17" borderId="29" xfId="0" applyFont="1" applyFill="1" applyBorder="1"/>
    <xf numFmtId="0" fontId="0" fillId="0" borderId="29" xfId="0" applyBorder="1"/>
    <xf numFmtId="9" fontId="59" fillId="13" borderId="82" xfId="22" applyFont="1" applyFill="1" applyBorder="1" applyAlignment="1">
      <alignment horizontal="center" vertical="top" wrapText="1"/>
    </xf>
    <xf numFmtId="9" fontId="59" fillId="13" borderId="83" xfId="22" applyFont="1" applyFill="1" applyBorder="1" applyAlignment="1">
      <alignment horizontal="center" vertical="top" wrapText="1"/>
    </xf>
    <xf numFmtId="2" fontId="45" fillId="25" borderId="29" xfId="18" applyNumberFormat="1" applyFont="1" applyFill="1" applyBorder="1" applyAlignment="1">
      <alignment horizontal="center" vertical="top" wrapText="1"/>
    </xf>
    <xf numFmtId="9" fontId="45" fillId="25" borderId="29" xfId="18" applyNumberFormat="1" applyFont="1" applyFill="1" applyBorder="1" applyAlignment="1">
      <alignment horizontal="center" vertical="top" wrapText="1"/>
    </xf>
    <xf numFmtId="0" fontId="5" fillId="0" borderId="47" xfId="18" applyBorder="1" applyAlignment="1">
      <alignment vertical="center"/>
    </xf>
    <xf numFmtId="0" fontId="0" fillId="26" borderId="0" xfId="0" applyFill="1" applyAlignment="1">
      <alignment horizontal="left" vertical="top" wrapText="1"/>
    </xf>
    <xf numFmtId="0" fontId="58" fillId="0" borderId="0" xfId="18" applyFont="1" applyAlignment="1">
      <alignment horizontal="center" vertical="center" wrapText="1"/>
    </xf>
    <xf numFmtId="9" fontId="0" fillId="25" borderId="0" xfId="0" applyNumberFormat="1" applyFill="1" applyAlignment="1">
      <alignment horizontal="center"/>
    </xf>
    <xf numFmtId="9" fontId="5" fillId="25" borderId="0" xfId="22" applyFont="1" applyFill="1" applyAlignment="1">
      <alignment horizontal="center"/>
    </xf>
    <xf numFmtId="164" fontId="9" fillId="27" borderId="26" xfId="18" applyNumberFormat="1" applyFont="1" applyFill="1" applyBorder="1" applyAlignment="1">
      <alignment horizontal="center" vertical="top"/>
    </xf>
    <xf numFmtId="164" fontId="9" fillId="27" borderId="55" xfId="18" applyNumberFormat="1" applyFont="1" applyFill="1" applyBorder="1" applyAlignment="1">
      <alignment horizontal="center" vertical="top"/>
    </xf>
    <xf numFmtId="2" fontId="45" fillId="25" borderId="55" xfId="18" applyNumberFormat="1" applyFont="1" applyFill="1" applyBorder="1" applyAlignment="1">
      <alignment horizontal="center" vertical="top" wrapText="1"/>
    </xf>
    <xf numFmtId="9" fontId="45" fillId="25" borderId="55" xfId="18" applyNumberFormat="1" applyFont="1" applyFill="1" applyBorder="1" applyAlignment="1">
      <alignment horizontal="center" vertical="top" wrapText="1"/>
    </xf>
    <xf numFmtId="0" fontId="14" fillId="27" borderId="0" xfId="21" applyFont="1" applyFill="1" applyAlignment="1">
      <alignment horizontal="left" vertical="top" wrapText="1"/>
    </xf>
    <xf numFmtId="0" fontId="5" fillId="26" borderId="49" xfId="18" applyFill="1" applyBorder="1" applyAlignment="1">
      <alignment vertical="top"/>
    </xf>
    <xf numFmtId="0" fontId="5" fillId="26" borderId="49" xfId="0" applyFont="1" applyFill="1" applyBorder="1" applyAlignment="1">
      <alignment vertical="top"/>
    </xf>
    <xf numFmtId="0" fontId="5" fillId="26" borderId="104" xfId="18" applyFill="1" applyBorder="1" applyAlignment="1">
      <alignment vertical="top"/>
    </xf>
    <xf numFmtId="0" fontId="5" fillId="26" borderId="54" xfId="18" applyFill="1" applyBorder="1" applyAlignment="1">
      <alignment vertical="top"/>
    </xf>
    <xf numFmtId="0" fontId="5" fillId="26" borderId="105" xfId="18" applyFill="1" applyBorder="1" applyAlignment="1">
      <alignment vertical="top"/>
    </xf>
    <xf numFmtId="0" fontId="5" fillId="26" borderId="55" xfId="18" applyFill="1" applyBorder="1" applyAlignment="1">
      <alignment vertical="top"/>
    </xf>
    <xf numFmtId="0" fontId="5" fillId="26" borderId="56" xfId="18" applyFill="1" applyBorder="1" applyAlignment="1">
      <alignment vertical="top"/>
    </xf>
    <xf numFmtId="0" fontId="5" fillId="26" borderId="107" xfId="18" applyFill="1" applyBorder="1" applyAlignment="1">
      <alignment vertical="top"/>
    </xf>
    <xf numFmtId="0" fontId="140" fillId="26" borderId="0" xfId="18" applyFont="1" applyFill="1" applyAlignment="1">
      <alignment vertical="top"/>
    </xf>
    <xf numFmtId="0" fontId="140" fillId="26" borderId="0" xfId="0" applyFont="1" applyFill="1" applyAlignment="1">
      <alignment horizontal="left" vertical="top" wrapText="1"/>
    </xf>
    <xf numFmtId="0" fontId="58" fillId="25" borderId="29" xfId="18" applyFont="1" applyFill="1" applyBorder="1" applyAlignment="1">
      <alignment horizontal="center" vertical="top" wrapText="1"/>
    </xf>
    <xf numFmtId="0" fontId="2" fillId="26" borderId="87" xfId="21" applyFont="1" applyFill="1" applyBorder="1"/>
    <xf numFmtId="0" fontId="2" fillId="26" borderId="73" xfId="21" applyFont="1" applyFill="1" applyBorder="1"/>
    <xf numFmtId="0" fontId="2" fillId="26" borderId="88" xfId="21" applyFont="1" applyFill="1" applyBorder="1"/>
    <xf numFmtId="0" fontId="2" fillId="41" borderId="73" xfId="21" applyFont="1" applyFill="1" applyBorder="1"/>
    <xf numFmtId="0" fontId="85" fillId="26" borderId="0" xfId="18" applyFont="1" applyFill="1" applyAlignment="1">
      <alignment vertical="top"/>
    </xf>
    <xf numFmtId="0" fontId="10" fillId="0" borderId="108" xfId="18" applyFont="1" applyBorder="1" applyAlignment="1">
      <alignment vertical="top"/>
    </xf>
    <xf numFmtId="0" fontId="10" fillId="0" borderId="109" xfId="18" applyFont="1" applyBorder="1" applyAlignment="1">
      <alignment vertical="top"/>
    </xf>
    <xf numFmtId="0" fontId="10" fillId="0" borderId="55" xfId="18" applyFont="1" applyBorder="1" applyAlignment="1">
      <alignment horizontal="center" vertical="top" wrapText="1"/>
    </xf>
    <xf numFmtId="0" fontId="58" fillId="25" borderId="55" xfId="18" applyFont="1" applyFill="1" applyBorder="1" applyAlignment="1">
      <alignment horizontal="center" vertical="top" wrapText="1"/>
    </xf>
    <xf numFmtId="164" fontId="7" fillId="25" borderId="27" xfId="18" applyNumberFormat="1" applyFont="1" applyFill="1" applyBorder="1" applyAlignment="1">
      <alignment vertical="top"/>
    </xf>
    <xf numFmtId="164" fontId="142" fillId="25" borderId="65" xfId="18" applyNumberFormat="1" applyFont="1" applyFill="1" applyBorder="1" applyAlignment="1">
      <alignment vertical="top"/>
    </xf>
    <xf numFmtId="164" fontId="5" fillId="25" borderId="29" xfId="18" quotePrefix="1" applyNumberFormat="1" applyFill="1" applyBorder="1" applyAlignment="1">
      <alignment vertical="top"/>
    </xf>
    <xf numFmtId="164" fontId="7" fillId="25" borderId="7" xfId="18" applyNumberFormat="1" applyFont="1" applyFill="1" applyBorder="1" applyAlignment="1">
      <alignment vertical="top"/>
    </xf>
    <xf numFmtId="164" fontId="142" fillId="25" borderId="66" xfId="18" quotePrefix="1" applyNumberFormat="1" applyFont="1" applyFill="1" applyBorder="1" applyAlignment="1">
      <alignment vertical="top"/>
    </xf>
    <xf numFmtId="164" fontId="142" fillId="25" borderId="66" xfId="18" applyNumberFormat="1" applyFont="1" applyFill="1" applyBorder="1" applyAlignment="1">
      <alignment vertical="top"/>
    </xf>
    <xf numFmtId="165" fontId="5" fillId="25" borderId="26" xfId="18" applyNumberFormat="1" applyFill="1" applyBorder="1" applyAlignment="1">
      <alignment vertical="top"/>
    </xf>
    <xf numFmtId="165" fontId="5" fillId="25" borderId="29" xfId="18" quotePrefix="1" applyNumberFormat="1" applyFill="1" applyBorder="1" applyAlignment="1">
      <alignment vertical="top"/>
    </xf>
    <xf numFmtId="165" fontId="5" fillId="25" borderId="29" xfId="18" applyNumberFormat="1" applyFill="1" applyBorder="1" applyAlignment="1">
      <alignment vertical="top"/>
    </xf>
    <xf numFmtId="165" fontId="51" fillId="22" borderId="29" xfId="18" applyNumberFormat="1" applyFont="1" applyFill="1" applyBorder="1" applyAlignment="1" applyProtection="1">
      <alignment vertical="top"/>
      <protection locked="0"/>
    </xf>
    <xf numFmtId="165" fontId="27" fillId="25" borderId="29" xfId="18" applyNumberFormat="1" applyFont="1" applyFill="1" applyBorder="1" applyAlignment="1">
      <alignment vertical="top"/>
    </xf>
    <xf numFmtId="0" fontId="51" fillId="22" borderId="29" xfId="18" applyFont="1" applyFill="1" applyBorder="1" applyAlignment="1" applyProtection="1">
      <alignment vertical="top"/>
      <protection locked="0"/>
    </xf>
    <xf numFmtId="164" fontId="27" fillId="22" borderId="29" xfId="18" applyNumberFormat="1" applyFont="1" applyFill="1" applyBorder="1" applyAlignment="1" applyProtection="1">
      <alignment vertical="top"/>
      <protection locked="0"/>
    </xf>
    <xf numFmtId="164" fontId="99" fillId="22" borderId="66" xfId="18" applyNumberFormat="1" applyFont="1" applyFill="1" applyBorder="1" applyAlignment="1" applyProtection="1">
      <alignment vertical="top"/>
      <protection locked="0"/>
    </xf>
    <xf numFmtId="164" fontId="7" fillId="25" borderId="29" xfId="18" applyNumberFormat="1" applyFont="1" applyFill="1" applyBorder="1" applyAlignment="1">
      <alignment vertical="top"/>
    </xf>
    <xf numFmtId="14" fontId="5" fillId="22" borderId="104" xfId="18" applyNumberFormat="1" applyFill="1" applyBorder="1" applyAlignment="1" applyProtection="1">
      <alignment horizontal="center" vertical="top" wrapText="1"/>
      <protection locked="0"/>
    </xf>
    <xf numFmtId="14" fontId="5" fillId="22" borderId="54" xfId="18" applyNumberFormat="1" applyFill="1" applyBorder="1" applyAlignment="1" applyProtection="1">
      <alignment horizontal="center" vertical="top" wrapText="1"/>
      <protection locked="0"/>
    </xf>
    <xf numFmtId="14" fontId="5" fillId="0" borderId="105" xfId="18" applyNumberFormat="1" applyBorder="1" applyAlignment="1">
      <alignment horizontal="center" vertical="top" wrapText="1"/>
    </xf>
    <xf numFmtId="14" fontId="5" fillId="0" borderId="56" xfId="18" applyNumberFormat="1" applyBorder="1" applyAlignment="1">
      <alignment horizontal="center" vertical="top" wrapText="1"/>
    </xf>
    <xf numFmtId="0" fontId="5" fillId="27" borderId="0" xfId="21" applyFont="1" applyFill="1" applyAlignment="1">
      <alignment vertical="top"/>
    </xf>
    <xf numFmtId="0" fontId="5" fillId="26" borderId="0" xfId="21" applyFont="1" applyFill="1" applyAlignment="1">
      <alignment vertical="top"/>
    </xf>
    <xf numFmtId="0" fontId="0" fillId="27" borderId="0" xfId="0" applyFill="1" applyAlignment="1">
      <alignment vertical="top" wrapText="1"/>
    </xf>
    <xf numFmtId="0" fontId="138" fillId="26" borderId="0" xfId="21" applyFont="1" applyFill="1" applyAlignment="1">
      <alignment vertical="top"/>
    </xf>
    <xf numFmtId="0" fontId="135" fillId="26" borderId="0" xfId="21" applyFont="1" applyFill="1" applyAlignment="1">
      <alignment vertical="top"/>
    </xf>
    <xf numFmtId="0" fontId="3" fillId="26" borderId="0" xfId="21" applyFill="1" applyAlignment="1">
      <alignment vertical="top"/>
    </xf>
    <xf numFmtId="0" fontId="6" fillId="26" borderId="0" xfId="18" applyFont="1" applyFill="1" applyAlignment="1">
      <alignment vertical="top"/>
    </xf>
    <xf numFmtId="0" fontId="3" fillId="27" borderId="0" xfId="21" applyFill="1" applyAlignment="1">
      <alignment vertical="top"/>
    </xf>
    <xf numFmtId="0" fontId="137" fillId="26" borderId="29" xfId="21" applyFont="1" applyFill="1" applyBorder="1" applyAlignment="1">
      <alignment vertical="top" wrapText="1"/>
    </xf>
    <xf numFmtId="0" fontId="137" fillId="26" borderId="8" xfId="21" applyFont="1" applyFill="1" applyBorder="1" applyAlignment="1">
      <alignment vertical="top" wrapText="1"/>
    </xf>
    <xf numFmtId="0" fontId="137" fillId="28" borderId="91" xfId="21" applyFont="1" applyFill="1" applyBorder="1" applyAlignment="1" applyProtection="1">
      <alignment vertical="top"/>
      <protection locked="0"/>
    </xf>
    <xf numFmtId="0" fontId="3" fillId="28" borderId="94" xfId="21" applyFill="1" applyBorder="1" applyAlignment="1" applyProtection="1">
      <alignment vertical="top"/>
      <protection locked="0"/>
    </xf>
    <xf numFmtId="0" fontId="3" fillId="28" borderId="101" xfId="21" applyFill="1" applyBorder="1" applyAlignment="1" applyProtection="1">
      <alignment vertical="top"/>
      <protection locked="0"/>
    </xf>
    <xf numFmtId="165" fontId="3" fillId="28" borderId="101" xfId="21" applyNumberFormat="1" applyFill="1" applyBorder="1" applyAlignment="1" applyProtection="1">
      <alignment vertical="top"/>
      <protection locked="0"/>
    </xf>
    <xf numFmtId="0" fontId="3" fillId="26" borderId="96" xfId="21" applyFill="1" applyBorder="1" applyAlignment="1">
      <alignment vertical="top"/>
    </xf>
    <xf numFmtId="0" fontId="3" fillId="26" borderId="101" xfId="21" applyFill="1" applyBorder="1" applyAlignment="1">
      <alignment vertical="top"/>
    </xf>
    <xf numFmtId="0" fontId="137" fillId="28" borderId="87" xfId="21" applyFont="1" applyFill="1" applyBorder="1" applyAlignment="1" applyProtection="1">
      <alignment vertical="top"/>
      <protection locked="0"/>
    </xf>
    <xf numFmtId="0" fontId="3" fillId="28" borderId="88" xfId="21" applyFill="1" applyBorder="1" applyAlignment="1" applyProtection="1">
      <alignment vertical="top"/>
      <protection locked="0"/>
    </xf>
    <xf numFmtId="165" fontId="3" fillId="28" borderId="102" xfId="21" applyNumberFormat="1" applyFill="1" applyBorder="1" applyAlignment="1" applyProtection="1">
      <alignment vertical="top"/>
      <protection locked="0"/>
    </xf>
    <xf numFmtId="0" fontId="137" fillId="28" borderId="89" xfId="21" applyFont="1" applyFill="1" applyBorder="1" applyAlignment="1" applyProtection="1">
      <alignment vertical="top"/>
      <protection locked="0"/>
    </xf>
    <xf numFmtId="0" fontId="3" fillId="28" borderId="90" xfId="21" applyFill="1" applyBorder="1" applyAlignment="1" applyProtection="1">
      <alignment vertical="top"/>
      <protection locked="0"/>
    </xf>
    <xf numFmtId="0" fontId="3" fillId="28" borderId="25" xfId="21" applyFill="1" applyBorder="1" applyAlignment="1" applyProtection="1">
      <alignment vertical="top"/>
      <protection locked="0"/>
    </xf>
    <xf numFmtId="165" fontId="3" fillId="28" borderId="103" xfId="21" applyNumberFormat="1" applyFill="1" applyBorder="1" applyAlignment="1" applyProtection="1">
      <alignment vertical="top"/>
      <protection locked="0"/>
    </xf>
    <xf numFmtId="0" fontId="137" fillId="0" borderId="29" xfId="21" applyFont="1" applyBorder="1" applyAlignment="1">
      <alignment vertical="top"/>
    </xf>
    <xf numFmtId="165" fontId="137" fillId="0" borderId="29" xfId="21" applyNumberFormat="1" applyFont="1" applyBorder="1" applyAlignment="1">
      <alignment vertical="top"/>
    </xf>
    <xf numFmtId="0" fontId="137" fillId="26" borderId="29" xfId="21" applyFont="1" applyFill="1" applyBorder="1" applyAlignment="1">
      <alignment vertical="top"/>
    </xf>
    <xf numFmtId="0" fontId="137" fillId="26" borderId="8" xfId="21" applyFont="1" applyFill="1" applyBorder="1" applyAlignment="1">
      <alignment vertical="top"/>
    </xf>
    <xf numFmtId="165" fontId="10" fillId="25" borderId="29" xfId="18" applyNumberFormat="1" applyFont="1" applyFill="1" applyBorder="1" applyAlignment="1">
      <alignment horizontal="right" vertical="top"/>
    </xf>
    <xf numFmtId="165" fontId="9" fillId="25"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wrapText="1"/>
    </xf>
    <xf numFmtId="165" fontId="5" fillId="27" borderId="29" xfId="18" applyNumberFormat="1" applyFill="1" applyBorder="1" applyAlignment="1">
      <alignment vertical="top"/>
    </xf>
    <xf numFmtId="0" fontId="143" fillId="27" borderId="0" xfId="21" applyFont="1" applyFill="1" applyAlignment="1">
      <alignment vertical="top"/>
    </xf>
    <xf numFmtId="0" fontId="5" fillId="27" borderId="0" xfId="0" applyFont="1" applyFill="1" applyAlignment="1">
      <alignment vertical="top" wrapText="1"/>
    </xf>
    <xf numFmtId="0" fontId="143" fillId="27" borderId="0" xfId="21" applyFont="1" applyFill="1" applyAlignment="1">
      <alignment horizontal="center" vertical="top"/>
    </xf>
    <xf numFmtId="0" fontId="143" fillId="27" borderId="0" xfId="21" applyFont="1" applyFill="1" applyAlignment="1">
      <alignment vertical="top" wrapText="1"/>
    </xf>
    <xf numFmtId="9" fontId="143" fillId="27" borderId="0" xfId="21" applyNumberFormat="1" applyFont="1" applyFill="1" applyAlignment="1">
      <alignment vertical="top"/>
    </xf>
    <xf numFmtId="0" fontId="5" fillId="28" borderId="29" xfId="0" applyFont="1" applyFill="1" applyBorder="1" applyAlignment="1" applyProtection="1">
      <alignment vertical="top" wrapText="1"/>
      <protection locked="0"/>
    </xf>
    <xf numFmtId="0" fontId="143" fillId="26" borderId="0" xfId="21" applyFont="1" applyFill="1" applyAlignment="1">
      <alignment vertical="top"/>
    </xf>
    <xf numFmtId="0" fontId="5" fillId="26" borderId="0" xfId="0" applyFont="1" applyFill="1" applyAlignment="1">
      <alignment vertical="top" wrapText="1"/>
    </xf>
    <xf numFmtId="0" fontId="143" fillId="26" borderId="0" xfId="21" applyFont="1" applyFill="1" applyAlignment="1">
      <alignment vertical="top" wrapText="1"/>
    </xf>
    <xf numFmtId="0" fontId="7" fillId="13" borderId="0" xfId="18" applyFont="1" applyFill="1" applyAlignment="1">
      <alignment horizontal="center" vertical="top" wrapText="1"/>
    </xf>
    <xf numFmtId="0" fontId="143" fillId="27" borderId="0" xfId="21" applyFont="1" applyFill="1" applyAlignment="1">
      <alignment horizontal="center" vertical="top" wrapText="1"/>
    </xf>
    <xf numFmtId="9" fontId="141" fillId="27" borderId="29" xfId="21" applyNumberFormat="1" applyFont="1" applyFill="1" applyBorder="1" applyAlignment="1">
      <alignment vertical="top" wrapText="1"/>
    </xf>
    <xf numFmtId="0" fontId="144" fillId="27" borderId="29" xfId="21" applyFont="1" applyFill="1" applyBorder="1" applyAlignment="1">
      <alignment vertical="top" wrapText="1"/>
    </xf>
    <xf numFmtId="0" fontId="141" fillId="27" borderId="29" xfId="21" applyFont="1" applyFill="1" applyBorder="1" applyAlignment="1">
      <alignment vertical="top"/>
    </xf>
    <xf numFmtId="0" fontId="7" fillId="27" borderId="29" xfId="21" applyFont="1" applyFill="1" applyBorder="1" applyAlignment="1">
      <alignment vertical="top" wrapText="1"/>
    </xf>
    <xf numFmtId="0" fontId="141" fillId="26" borderId="29" xfId="21" applyFont="1" applyFill="1" applyBorder="1" applyAlignment="1">
      <alignment vertical="top"/>
    </xf>
    <xf numFmtId="0" fontId="141" fillId="27" borderId="26" xfId="21" applyFont="1" applyFill="1" applyBorder="1" applyAlignment="1">
      <alignment vertical="top"/>
    </xf>
    <xf numFmtId="0" fontId="143" fillId="0" borderId="29" xfId="21" applyFont="1" applyBorder="1" applyAlignment="1">
      <alignment vertical="top"/>
    </xf>
    <xf numFmtId="0" fontId="143" fillId="0" borderId="55" xfId="21" applyFont="1" applyBorder="1" applyAlignment="1">
      <alignment vertical="top"/>
    </xf>
    <xf numFmtId="164" fontId="141" fillId="25" borderId="29" xfId="21" applyNumberFormat="1" applyFont="1" applyFill="1" applyBorder="1" applyAlignment="1">
      <alignment vertical="top"/>
    </xf>
    <xf numFmtId="164" fontId="144" fillId="25" borderId="29" xfId="21" applyNumberFormat="1" applyFont="1" applyFill="1" applyBorder="1" applyAlignment="1">
      <alignment vertical="top"/>
    </xf>
    <xf numFmtId="164" fontId="141" fillId="25" borderId="55" xfId="21" applyNumberFormat="1" applyFont="1" applyFill="1" applyBorder="1" applyAlignment="1">
      <alignment vertical="top"/>
    </xf>
    <xf numFmtId="164" fontId="144" fillId="25" borderId="55" xfId="21" applyNumberFormat="1" applyFont="1" applyFill="1" applyBorder="1" applyAlignment="1">
      <alignment vertical="top"/>
    </xf>
    <xf numFmtId="164" fontId="141" fillId="25" borderId="26" xfId="21" applyNumberFormat="1" applyFont="1" applyFill="1" applyBorder="1" applyAlignment="1">
      <alignment vertical="top"/>
    </xf>
    <xf numFmtId="164" fontId="144" fillId="25" borderId="26" xfId="21" applyNumberFormat="1" applyFont="1" applyFill="1" applyBorder="1" applyAlignment="1">
      <alignment vertical="top"/>
    </xf>
    <xf numFmtId="0" fontId="3" fillId="27" borderId="0" xfId="21" applyFill="1" applyAlignment="1">
      <alignment vertical="top" wrapText="1"/>
    </xf>
    <xf numFmtId="0" fontId="137" fillId="27" borderId="92" xfId="21" applyFont="1" applyFill="1" applyBorder="1" applyAlignment="1">
      <alignment vertical="top" wrapText="1"/>
    </xf>
    <xf numFmtId="0" fontId="137" fillId="27" borderId="93" xfId="21" applyFont="1" applyFill="1" applyBorder="1" applyAlignment="1">
      <alignment vertical="top" wrapText="1"/>
    </xf>
    <xf numFmtId="0" fontId="137" fillId="27" borderId="29" xfId="21" applyFont="1" applyFill="1" applyBorder="1" applyAlignment="1">
      <alignment vertical="top" wrapText="1"/>
    </xf>
    <xf numFmtId="0" fontId="137" fillId="27" borderId="8" xfId="21" applyFont="1" applyFill="1" applyBorder="1" applyAlignment="1">
      <alignment horizontal="center" vertical="top" wrapText="1"/>
    </xf>
    <xf numFmtId="0" fontId="137" fillId="27" borderId="95" xfId="21" applyFont="1" applyFill="1" applyBorder="1" applyAlignment="1">
      <alignment horizontal="center" vertical="top" wrapText="1"/>
    </xf>
    <xf numFmtId="0" fontId="137" fillId="27" borderId="93" xfId="21" applyFont="1" applyFill="1" applyBorder="1" applyAlignment="1">
      <alignment horizontal="center" vertical="top" wrapText="1"/>
    </xf>
    <xf numFmtId="2" fontId="7" fillId="33" borderId="47" xfId="0" applyNumberFormat="1" applyFont="1" applyFill="1" applyBorder="1" applyAlignment="1">
      <alignment horizontal="center"/>
    </xf>
    <xf numFmtId="2" fontId="7" fillId="33" borderId="48" xfId="0" applyNumberFormat="1" applyFont="1" applyFill="1" applyBorder="1" applyAlignment="1">
      <alignment horizontal="center"/>
    </xf>
    <xf numFmtId="2" fontId="7" fillId="33" borderId="46" xfId="0" applyNumberFormat="1" applyFont="1" applyFill="1" applyBorder="1" applyAlignment="1">
      <alignment horizontal="center"/>
    </xf>
    <xf numFmtId="0" fontId="85" fillId="0" borderId="0" xfId="0" quotePrefix="1" applyFont="1"/>
    <xf numFmtId="0" fontId="145" fillId="42" borderId="0" xfId="0" applyFont="1" applyFill="1"/>
    <xf numFmtId="0" fontId="140" fillId="42" borderId="0" xfId="0" applyFont="1" applyFill="1"/>
    <xf numFmtId="0" fontId="5" fillId="26" borderId="50" xfId="18" applyFill="1" applyBorder="1" applyAlignment="1">
      <alignment vertical="top"/>
    </xf>
    <xf numFmtId="0" fontId="5" fillId="26" borderId="51" xfId="18" applyFill="1" applyBorder="1" applyAlignment="1">
      <alignment vertical="top"/>
    </xf>
    <xf numFmtId="0" fontId="5" fillId="26" borderId="45" xfId="0" applyFont="1" applyFill="1" applyBorder="1"/>
    <xf numFmtId="0" fontId="35" fillId="26" borderId="43" xfId="0" applyFont="1" applyFill="1" applyBorder="1"/>
    <xf numFmtId="0" fontId="35" fillId="26" borderId="84" xfId="0" applyFont="1" applyFill="1" applyBorder="1"/>
    <xf numFmtId="0" fontId="35" fillId="26" borderId="0" xfId="0" applyFont="1" applyFill="1"/>
    <xf numFmtId="0" fontId="5" fillId="26" borderId="45" xfId="18" applyFill="1" applyBorder="1" applyAlignment="1">
      <alignment vertical="top"/>
    </xf>
    <xf numFmtId="0" fontId="35" fillId="26" borderId="49" xfId="0" applyFont="1" applyFill="1" applyBorder="1"/>
    <xf numFmtId="0" fontId="35" fillId="26" borderId="50" xfId="0" applyFont="1" applyFill="1" applyBorder="1"/>
    <xf numFmtId="0" fontId="5" fillId="26" borderId="44" xfId="18" applyFill="1" applyBorder="1" applyAlignment="1">
      <alignment vertical="top"/>
    </xf>
    <xf numFmtId="0" fontId="5" fillId="26" borderId="42" xfId="18" applyFill="1" applyBorder="1" applyAlignment="1">
      <alignment vertical="top"/>
    </xf>
    <xf numFmtId="0" fontId="85" fillId="26" borderId="0" xfId="18" applyFont="1" applyFill="1" applyAlignment="1">
      <alignment vertical="center"/>
    </xf>
    <xf numFmtId="0" fontId="140" fillId="39" borderId="0" xfId="18" applyFont="1" applyFill="1" applyAlignment="1">
      <alignment vertical="top"/>
    </xf>
    <xf numFmtId="0" fontId="85" fillId="0" borderId="0" xfId="18" applyFont="1" applyAlignment="1">
      <alignment vertical="top" wrapText="1"/>
    </xf>
    <xf numFmtId="0" fontId="5" fillId="0" borderId="27" xfId="18" applyBorder="1" applyAlignment="1">
      <alignment vertical="top"/>
    </xf>
    <xf numFmtId="0" fontId="85" fillId="0" borderId="30" xfId="18" applyFont="1" applyBorder="1" applyAlignment="1">
      <alignment vertical="top"/>
    </xf>
    <xf numFmtId="0" fontId="5" fillId="0" borderId="30" xfId="18" applyBorder="1" applyAlignment="1">
      <alignment vertical="top"/>
    </xf>
    <xf numFmtId="0" fontId="5" fillId="0" borderId="7" xfId="18" applyBorder="1" applyAlignment="1">
      <alignment vertical="top"/>
    </xf>
    <xf numFmtId="0" fontId="85" fillId="0" borderId="32" xfId="18" applyFont="1" applyBorder="1" applyAlignment="1">
      <alignment vertical="top"/>
    </xf>
    <xf numFmtId="0" fontId="5" fillId="0" borderId="32" xfId="18" applyBorder="1" applyAlignment="1">
      <alignment vertical="top"/>
    </xf>
    <xf numFmtId="0" fontId="5" fillId="0" borderId="32" xfId="18" applyBorder="1" applyAlignment="1">
      <alignment vertical="center"/>
    </xf>
    <xf numFmtId="0" fontId="5" fillId="13" borderId="0" xfId="18" applyFill="1" applyAlignment="1">
      <alignment vertical="top" wrapText="1"/>
    </xf>
    <xf numFmtId="0" fontId="0" fillId="0" borderId="30" xfId="0" applyBorder="1" applyAlignment="1">
      <alignment horizontal="left" vertical="top" wrapText="1"/>
    </xf>
    <xf numFmtId="0" fontId="9" fillId="27" borderId="29" xfId="18" applyFont="1" applyFill="1" applyBorder="1" applyAlignment="1">
      <alignment vertical="top" wrapText="1"/>
    </xf>
    <xf numFmtId="0" fontId="2" fillId="26" borderId="85" xfId="21" applyFont="1" applyFill="1" applyBorder="1"/>
    <xf numFmtId="0" fontId="2" fillId="26" borderId="86" xfId="21" applyFont="1" applyFill="1" applyBorder="1"/>
    <xf numFmtId="0" fontId="2" fillId="26" borderId="99" xfId="21" applyFont="1" applyFill="1" applyBorder="1"/>
    <xf numFmtId="0" fontId="2" fillId="26" borderId="97" xfId="21" applyFont="1" applyFill="1" applyBorder="1"/>
    <xf numFmtId="0" fontId="2" fillId="26" borderId="98" xfId="21" applyFont="1" applyFill="1" applyBorder="1"/>
    <xf numFmtId="0" fontId="2" fillId="26" borderId="100" xfId="21" applyFont="1" applyFill="1" applyBorder="1"/>
    <xf numFmtId="0" fontId="2" fillId="27" borderId="0" xfId="21" applyFont="1" applyFill="1" applyAlignment="1">
      <alignment vertical="top"/>
    </xf>
    <xf numFmtId="0" fontId="2" fillId="26" borderId="101" xfId="22" applyNumberFormat="1" applyFont="1" applyFill="1" applyBorder="1" applyAlignment="1" applyProtection="1">
      <alignment horizontal="right" vertical="top"/>
    </xf>
    <xf numFmtId="0" fontId="14" fillId="13" borderId="0" xfId="18" applyFont="1" applyFill="1" applyAlignment="1">
      <alignment vertical="top" wrapText="1"/>
    </xf>
    <xf numFmtId="10" fontId="10" fillId="22" borderId="29" xfId="18" applyNumberFormat="1" applyFont="1" applyFill="1" applyBorder="1" applyAlignment="1" applyProtection="1">
      <alignment horizontal="right" vertical="top"/>
      <protection locked="0"/>
    </xf>
    <xf numFmtId="0" fontId="134" fillId="0" borderId="0" xfId="18" applyFont="1" applyAlignment="1">
      <alignment vertical="top" wrapText="1"/>
    </xf>
    <xf numFmtId="0" fontId="5" fillId="27" borderId="0" xfId="0" applyFont="1" applyFill="1" applyAlignment="1">
      <alignment horizontal="center" vertical="top"/>
    </xf>
    <xf numFmtId="0" fontId="0" fillId="38" borderId="22" xfId="0" applyFill="1" applyBorder="1" applyAlignment="1">
      <alignment horizontal="left" vertical="top" wrapText="1"/>
    </xf>
    <xf numFmtId="0" fontId="0" fillId="38" borderId="28" xfId="0" applyFill="1" applyBorder="1" applyAlignment="1">
      <alignment horizontal="left" vertical="top" wrapText="1"/>
    </xf>
    <xf numFmtId="0" fontId="5" fillId="13" borderId="0" xfId="0" quotePrefix="1" applyFont="1" applyFill="1" applyAlignment="1">
      <alignment horizontal="right" vertical="top" wrapText="1"/>
    </xf>
    <xf numFmtId="169" fontId="10" fillId="22" borderId="29" xfId="18" applyNumberFormat="1" applyFont="1" applyFill="1" applyBorder="1" applyAlignment="1" applyProtection="1">
      <alignment horizontal="right" vertical="top"/>
      <protection locked="0"/>
    </xf>
    <xf numFmtId="0" fontId="10" fillId="13" borderId="29" xfId="18" applyFont="1" applyFill="1" applyBorder="1" applyAlignment="1">
      <alignment vertical="top" wrapText="1"/>
    </xf>
    <xf numFmtId="3" fontId="9" fillId="28" borderId="29" xfId="18" applyNumberFormat="1" applyFont="1" applyFill="1" applyBorder="1" applyAlignment="1" applyProtection="1">
      <alignment vertical="top" wrapText="1"/>
      <protection locked="0"/>
    </xf>
    <xf numFmtId="0" fontId="8" fillId="0" borderId="30" xfId="18" applyFont="1" applyBorder="1" applyAlignment="1">
      <alignment horizontal="left" vertical="top" wrapText="1"/>
    </xf>
    <xf numFmtId="2" fontId="45" fillId="28" borderId="26" xfId="18" applyNumberFormat="1" applyFont="1" applyFill="1" applyBorder="1" applyAlignment="1" applyProtection="1">
      <alignment horizontal="center" vertical="top" wrapText="1"/>
      <protection locked="0"/>
    </xf>
    <xf numFmtId="9" fontId="45" fillId="28" borderId="26" xfId="18" applyNumberFormat="1" applyFont="1" applyFill="1" applyBorder="1" applyAlignment="1" applyProtection="1">
      <alignment horizontal="center" vertical="top" wrapText="1"/>
      <protection locked="0"/>
    </xf>
    <xf numFmtId="2" fontId="45" fillId="28" borderId="29" xfId="18" applyNumberFormat="1" applyFont="1" applyFill="1" applyBorder="1" applyAlignment="1" applyProtection="1">
      <alignment horizontal="center" vertical="top" wrapText="1"/>
      <protection locked="0"/>
    </xf>
    <xf numFmtId="9" fontId="45" fillId="28" borderId="29" xfId="18" applyNumberFormat="1" applyFont="1" applyFill="1" applyBorder="1" applyAlignment="1" applyProtection="1">
      <alignment horizontal="center" vertical="top" wrapText="1"/>
      <protection locked="0"/>
    </xf>
    <xf numFmtId="0" fontId="9" fillId="28" borderId="29" xfId="18" applyFont="1" applyFill="1" applyBorder="1" applyAlignment="1" applyProtection="1">
      <alignment vertical="center"/>
      <protection locked="0"/>
    </xf>
    <xf numFmtId="165" fontId="51" fillId="43" borderId="29" xfId="18" applyNumberFormat="1" applyFont="1" applyFill="1" applyBorder="1" applyAlignment="1" applyProtection="1">
      <alignment vertical="top"/>
      <protection locked="0"/>
    </xf>
    <xf numFmtId="164" fontId="27" fillId="44" borderId="7" xfId="18" applyNumberFormat="1" applyFont="1" applyFill="1" applyBorder="1" applyAlignment="1">
      <alignment vertical="top"/>
    </xf>
    <xf numFmtId="164" fontId="98" fillId="43" borderId="66" xfId="18" applyNumberFormat="1" applyFont="1" applyFill="1" applyBorder="1" applyAlignment="1" applyProtection="1">
      <alignment vertical="top"/>
      <protection locked="0"/>
    </xf>
    <xf numFmtId="165" fontId="5" fillId="44" borderId="29" xfId="18" applyNumberFormat="1" applyFill="1" applyBorder="1" applyAlignment="1">
      <alignment vertical="top"/>
    </xf>
    <xf numFmtId="164" fontId="7" fillId="44" borderId="7" xfId="18" applyNumberFormat="1" applyFont="1" applyFill="1" applyBorder="1" applyAlignment="1">
      <alignment vertical="top"/>
    </xf>
    <xf numFmtId="164" fontId="142" fillId="44" borderId="67" xfId="18" applyNumberFormat="1" applyFont="1" applyFill="1" applyBorder="1" applyAlignment="1">
      <alignment vertical="top"/>
    </xf>
    <xf numFmtId="0" fontId="51" fillId="43" borderId="29" xfId="18" applyFont="1" applyFill="1" applyBorder="1" applyAlignment="1" applyProtection="1">
      <alignment vertical="top"/>
      <protection locked="0"/>
    </xf>
    <xf numFmtId="164" fontId="27" fillId="43" borderId="29" xfId="18" applyNumberFormat="1" applyFont="1" applyFill="1" applyBorder="1" applyAlignment="1" applyProtection="1">
      <alignment vertical="top"/>
      <protection locked="0"/>
    </xf>
    <xf numFmtId="164" fontId="99" fillId="43" borderId="66" xfId="18" applyNumberFormat="1" applyFont="1" applyFill="1" applyBorder="1" applyAlignment="1" applyProtection="1">
      <alignment vertical="top"/>
      <protection locked="0"/>
    </xf>
    <xf numFmtId="0" fontId="1" fillId="26" borderId="87" xfId="21" applyFont="1" applyFill="1" applyBorder="1"/>
    <xf numFmtId="10" fontId="3" fillId="28" borderId="101" xfId="21" applyNumberFormat="1" applyFill="1" applyBorder="1" applyAlignment="1" applyProtection="1">
      <alignment vertical="top"/>
      <protection locked="0"/>
    </xf>
    <xf numFmtId="10" fontId="3" fillId="28" borderId="102" xfId="21" applyNumberFormat="1" applyFill="1" applyBorder="1" applyAlignment="1" applyProtection="1">
      <alignment vertical="top"/>
      <protection locked="0"/>
    </xf>
    <xf numFmtId="10" fontId="3" fillId="28" borderId="103" xfId="21" applyNumberFormat="1" applyFill="1" applyBorder="1" applyAlignment="1" applyProtection="1">
      <alignment vertical="top"/>
      <protection locked="0"/>
    </xf>
    <xf numFmtId="165" fontId="2" fillId="25" borderId="101" xfId="22" applyNumberFormat="1" applyFont="1" applyFill="1" applyBorder="1" applyAlignment="1" applyProtection="1">
      <alignment vertical="top"/>
    </xf>
    <xf numFmtId="165" fontId="2" fillId="25" borderId="25" xfId="22" applyNumberFormat="1" applyFont="1" applyFill="1" applyBorder="1" applyAlignment="1" applyProtection="1">
      <alignment vertical="top"/>
    </xf>
    <xf numFmtId="165" fontId="2" fillId="25" borderId="29" xfId="22" applyNumberFormat="1" applyFont="1" applyFill="1" applyBorder="1" applyAlignment="1" applyProtection="1">
      <alignment vertical="top"/>
    </xf>
    <xf numFmtId="10" fontId="137" fillId="0" borderId="29" xfId="21" applyNumberFormat="1" applyFont="1" applyBorder="1" applyAlignment="1">
      <alignment vertical="top"/>
    </xf>
    <xf numFmtId="164" fontId="141" fillId="45" borderId="29" xfId="21" applyNumberFormat="1" applyFont="1" applyFill="1" applyBorder="1" applyAlignment="1">
      <alignment vertical="top"/>
    </xf>
    <xf numFmtId="164" fontId="9" fillId="25" borderId="29" xfId="18" applyNumberFormat="1" applyFont="1" applyFill="1" applyBorder="1" applyAlignment="1">
      <alignment horizontal="right" vertical="center"/>
    </xf>
    <xf numFmtId="0" fontId="148" fillId="26" borderId="0" xfId="18" applyFont="1" applyFill="1" applyAlignment="1">
      <alignment vertical="top"/>
    </xf>
    <xf numFmtId="0" fontId="5" fillId="26" borderId="112" xfId="18" applyFill="1" applyBorder="1" applyAlignment="1">
      <alignment vertical="top"/>
    </xf>
    <xf numFmtId="0" fontId="5" fillId="26" borderId="52" xfId="18" applyFill="1" applyBorder="1" applyAlignment="1">
      <alignment vertical="top"/>
    </xf>
    <xf numFmtId="0" fontId="5" fillId="25" borderId="53" xfId="18" applyFill="1" applyBorder="1" applyAlignment="1">
      <alignment vertical="top"/>
    </xf>
    <xf numFmtId="0" fontId="7" fillId="25" borderId="54" xfId="18" applyFont="1" applyFill="1" applyBorder="1" applyAlignment="1">
      <alignment vertical="top"/>
    </xf>
    <xf numFmtId="0" fontId="148" fillId="0" borderId="113" xfId="18" applyFont="1" applyBorder="1" applyAlignment="1">
      <alignment vertical="top"/>
    </xf>
    <xf numFmtId="0" fontId="148" fillId="0" borderId="66" xfId="18" applyFont="1" applyBorder="1" applyAlignment="1">
      <alignment vertical="top"/>
    </xf>
    <xf numFmtId="0" fontId="148" fillId="0" borderId="67" xfId="18" applyFont="1" applyBorder="1" applyAlignment="1">
      <alignment vertical="top"/>
    </xf>
    <xf numFmtId="164" fontId="9" fillId="22" borderId="29" xfId="18" applyNumberFormat="1" applyFont="1" applyFill="1" applyBorder="1" applyAlignment="1" applyProtection="1">
      <alignment horizontal="left" vertical="center"/>
      <protection locked="0"/>
    </xf>
    <xf numFmtId="164" fontId="9" fillId="13" borderId="29" xfId="18" applyNumberFormat="1" applyFont="1" applyFill="1" applyBorder="1" applyAlignment="1">
      <alignment horizontal="left" vertical="center"/>
    </xf>
    <xf numFmtId="0" fontId="5" fillId="26" borderId="35" xfId="18" applyFill="1" applyBorder="1" applyAlignment="1">
      <alignment vertical="top"/>
    </xf>
    <xf numFmtId="0" fontId="5" fillId="26" borderId="40" xfId="18" applyFill="1" applyBorder="1" applyAlignment="1">
      <alignment vertical="top"/>
    </xf>
    <xf numFmtId="0" fontId="5" fillId="26" borderId="66" xfId="18" applyFill="1" applyBorder="1" applyAlignment="1">
      <alignment vertical="top"/>
    </xf>
    <xf numFmtId="0" fontId="5" fillId="26" borderId="67" xfId="18" applyFill="1" applyBorder="1" applyAlignment="1">
      <alignment vertical="top"/>
    </xf>
    <xf numFmtId="0" fontId="148" fillId="0" borderId="114" xfId="18" applyFont="1" applyBorder="1" applyAlignment="1">
      <alignment vertical="top"/>
    </xf>
    <xf numFmtId="0" fontId="5" fillId="26" borderId="36" xfId="18" applyFill="1" applyBorder="1" applyAlignment="1">
      <alignment vertical="top"/>
    </xf>
    <xf numFmtId="0" fontId="5" fillId="26" borderId="113" xfId="18" applyFill="1" applyBorder="1" applyAlignment="1">
      <alignment vertical="top"/>
    </xf>
    <xf numFmtId="164" fontId="7" fillId="25" borderId="29" xfId="18" applyNumberFormat="1" applyFont="1" applyFill="1" applyBorder="1" applyAlignment="1">
      <alignment vertical="center"/>
    </xf>
    <xf numFmtId="164" fontId="7" fillId="27" borderId="29" xfId="18" applyNumberFormat="1" applyFont="1" applyFill="1" applyBorder="1" applyAlignment="1">
      <alignment vertical="center"/>
    </xf>
    <xf numFmtId="0" fontId="14" fillId="27" borderId="78" xfId="21" applyFont="1" applyFill="1" applyBorder="1" applyAlignment="1">
      <alignment vertical="top" wrapText="1"/>
    </xf>
    <xf numFmtId="0" fontId="5" fillId="26" borderId="38" xfId="18" applyFill="1" applyBorder="1" applyAlignment="1">
      <alignment vertical="top"/>
    </xf>
    <xf numFmtId="0" fontId="5" fillId="26" borderId="39" xfId="18" applyFill="1" applyBorder="1" applyAlignment="1">
      <alignment vertical="top"/>
    </xf>
    <xf numFmtId="0" fontId="5" fillId="26" borderId="121" xfId="18" applyFill="1" applyBorder="1" applyAlignment="1">
      <alignment vertical="top"/>
    </xf>
    <xf numFmtId="0" fontId="138" fillId="26" borderId="101" xfId="21" applyFont="1" applyFill="1" applyBorder="1" applyAlignment="1">
      <alignment vertical="top"/>
    </xf>
    <xf numFmtId="0" fontId="137" fillId="26" borderId="0" xfId="21" applyFont="1" applyFill="1" applyAlignment="1">
      <alignment vertical="top" wrapText="1"/>
    </xf>
    <xf numFmtId="0" fontId="2" fillId="26" borderId="0" xfId="22" applyNumberFormat="1" applyFont="1" applyFill="1" applyBorder="1" applyAlignment="1" applyProtection="1">
      <alignment horizontal="right" vertical="top"/>
    </xf>
    <xf numFmtId="0" fontId="137" fillId="26" borderId="0" xfId="21" applyFont="1" applyFill="1" applyAlignment="1">
      <alignment vertical="top"/>
    </xf>
    <xf numFmtId="0" fontId="14" fillId="13" borderId="0" xfId="21" quotePrefix="1" applyFont="1" applyFill="1" applyAlignment="1">
      <alignment horizontal="right" vertical="top" wrapText="1"/>
    </xf>
    <xf numFmtId="164" fontId="5" fillId="38" borderId="21" xfId="18" applyNumberFormat="1" applyFill="1" applyBorder="1" applyAlignment="1">
      <alignment horizontal="left" vertical="top" wrapText="1"/>
    </xf>
    <xf numFmtId="164" fontId="5" fillId="38" borderId="27" xfId="18" applyNumberFormat="1" applyFill="1" applyBorder="1" applyAlignment="1">
      <alignment horizontal="left" vertical="top" wrapText="1"/>
    </xf>
    <xf numFmtId="0" fontId="149" fillId="0" borderId="0" xfId="18" applyFont="1" applyAlignment="1">
      <alignment vertical="top"/>
    </xf>
    <xf numFmtId="0" fontId="0" fillId="0" borderId="0" xfId="0" applyAlignment="1">
      <alignment horizontal="left" vertical="center" wrapText="1"/>
    </xf>
    <xf numFmtId="0" fontId="59" fillId="13" borderId="0" xfId="0" applyFont="1" applyFill="1" applyAlignment="1">
      <alignment vertical="top" wrapText="1"/>
    </xf>
    <xf numFmtId="9" fontId="59" fillId="13" borderId="0" xfId="22" applyFont="1" applyFill="1" applyBorder="1" applyAlignment="1">
      <alignment horizontal="center" vertical="top" wrapText="1"/>
    </xf>
    <xf numFmtId="0" fontId="85" fillId="0" borderId="0" xfId="0" applyFont="1" applyAlignment="1">
      <alignment horizontal="left" vertical="top" wrapText="1"/>
    </xf>
    <xf numFmtId="0" fontId="147" fillId="13" borderId="0" xfId="14" applyFont="1" applyFill="1" applyBorder="1" applyAlignment="1" applyProtection="1">
      <alignment vertical="top" wrapText="1"/>
    </xf>
    <xf numFmtId="165" fontId="5" fillId="27" borderId="0" xfId="18" applyNumberFormat="1" applyFill="1" applyAlignment="1">
      <alignment vertical="top"/>
    </xf>
    <xf numFmtId="165" fontId="9" fillId="25" borderId="0" xfId="18" applyNumberFormat="1" applyFont="1" applyFill="1" applyAlignment="1">
      <alignment horizontal="right" vertical="top"/>
    </xf>
    <xf numFmtId="165" fontId="9" fillId="27" borderId="0" xfId="18" applyNumberFormat="1" applyFont="1" applyFill="1" applyAlignment="1">
      <alignment horizontal="center" vertical="top"/>
    </xf>
    <xf numFmtId="164" fontId="5" fillId="17" borderId="0" xfId="18" applyNumberFormat="1" applyFill="1" applyAlignment="1">
      <alignment vertical="center"/>
    </xf>
    <xf numFmtId="0" fontId="10" fillId="13" borderId="0" xfId="18" applyFont="1" applyFill="1" applyAlignment="1">
      <alignment vertical="top" wrapText="1"/>
    </xf>
    <xf numFmtId="0" fontId="150" fillId="0" borderId="29" xfId="18" applyFont="1" applyBorder="1" applyAlignment="1">
      <alignment horizontal="center" vertical="top" wrapText="1"/>
    </xf>
    <xf numFmtId="165" fontId="58" fillId="25" borderId="29" xfId="18" applyNumberFormat="1" applyFont="1" applyFill="1" applyBorder="1" applyAlignment="1">
      <alignment horizontal="right" vertical="top"/>
    </xf>
    <xf numFmtId="2" fontId="9" fillId="22" borderId="29" xfId="18" applyNumberFormat="1" applyFont="1" applyFill="1" applyBorder="1" applyAlignment="1" applyProtection="1">
      <alignment vertical="top" wrapText="1"/>
      <protection locked="0"/>
    </xf>
    <xf numFmtId="2" fontId="9" fillId="25" borderId="29" xfId="18" applyNumberFormat="1" applyFont="1" applyFill="1" applyBorder="1" applyAlignment="1">
      <alignment horizontal="center" vertical="top" wrapText="1"/>
    </xf>
    <xf numFmtId="2" fontId="9" fillId="22" borderId="55" xfId="18" applyNumberFormat="1" applyFont="1" applyFill="1" applyBorder="1" applyAlignment="1" applyProtection="1">
      <alignment vertical="top" wrapText="1"/>
      <protection locked="0"/>
    </xf>
    <xf numFmtId="2" fontId="9" fillId="25" borderId="55" xfId="18" applyNumberFormat="1" applyFont="1" applyFill="1" applyBorder="1" applyAlignment="1">
      <alignment horizontal="center" vertical="top" wrapText="1"/>
    </xf>
    <xf numFmtId="2" fontId="9" fillId="28" borderId="26" xfId="18" applyNumberFormat="1" applyFont="1" applyFill="1" applyBorder="1" applyAlignment="1" applyProtection="1">
      <alignment horizontal="center" vertical="top" wrapText="1"/>
      <protection locked="0"/>
    </xf>
    <xf numFmtId="2" fontId="9" fillId="28" borderId="29" xfId="18" applyNumberFormat="1" applyFont="1" applyFill="1" applyBorder="1" applyAlignment="1" applyProtection="1">
      <alignment horizontal="center" vertical="top" wrapText="1"/>
      <protection locked="0"/>
    </xf>
    <xf numFmtId="0" fontId="0" fillId="0" borderId="29" xfId="0" applyBorder="1" applyAlignment="1">
      <alignment horizontal="left" vertical="top" wrapText="1"/>
    </xf>
    <xf numFmtId="0" fontId="14" fillId="13" borderId="75" xfId="18" applyFont="1" applyFill="1" applyBorder="1" applyAlignment="1">
      <alignment horizontal="left" vertical="top" wrapText="1"/>
    </xf>
    <xf numFmtId="0" fontId="14" fillId="13" borderId="83" xfId="0" applyFont="1" applyFill="1" applyBorder="1" applyAlignment="1">
      <alignment horizontal="left" vertical="top" wrapText="1"/>
    </xf>
    <xf numFmtId="0" fontId="134" fillId="0" borderId="75" xfId="18" applyFont="1" applyBorder="1" applyAlignment="1">
      <alignment horizontal="left" vertical="top" wrapText="1"/>
    </xf>
    <xf numFmtId="0" fontId="59" fillId="13" borderId="75" xfId="18" applyFont="1" applyFill="1" applyBorder="1" applyAlignment="1">
      <alignment horizontal="left" vertical="top" wrapText="1"/>
    </xf>
    <xf numFmtId="0" fontId="14" fillId="13" borderId="82" xfId="0" applyFont="1" applyFill="1" applyBorder="1" applyAlignment="1">
      <alignment horizontal="left" vertical="top" wrapText="1"/>
    </xf>
    <xf numFmtId="0" fontId="14" fillId="13" borderId="73" xfId="0" applyFont="1" applyFill="1" applyBorder="1" applyAlignment="1">
      <alignment horizontal="left" vertical="top" wrapText="1"/>
    </xf>
    <xf numFmtId="0" fontId="48" fillId="0" borderId="30" xfId="18" applyFont="1" applyBorder="1" applyAlignment="1">
      <alignment horizontal="left" vertical="top" wrapText="1"/>
    </xf>
    <xf numFmtId="0" fontId="139" fillId="0" borderId="0" xfId="18" applyFont="1" applyAlignment="1">
      <alignment horizontal="left" vertical="top" wrapText="1"/>
    </xf>
    <xf numFmtId="0" fontId="10" fillId="13" borderId="29" xfId="18" applyFont="1" applyFill="1" applyBorder="1" applyAlignment="1">
      <alignment horizontal="left" vertical="top" wrapText="1"/>
    </xf>
    <xf numFmtId="0" fontId="54" fillId="13" borderId="0" xfId="18" applyFont="1" applyFill="1" applyAlignment="1">
      <alignment horizontal="left" vertical="top" wrapText="1"/>
    </xf>
    <xf numFmtId="0" fontId="14" fillId="27" borderId="33" xfId="21" applyFont="1" applyFill="1" applyBorder="1" applyAlignment="1">
      <alignment horizontal="left" vertical="top" wrapText="1"/>
    </xf>
    <xf numFmtId="0" fontId="14" fillId="27" borderId="115" xfId="21" applyFont="1" applyFill="1" applyBorder="1" applyAlignment="1">
      <alignment horizontal="left" vertical="top" wrapText="1"/>
    </xf>
    <xf numFmtId="0" fontId="59" fillId="27" borderId="0" xfId="21" applyFont="1" applyFill="1" applyAlignment="1">
      <alignment horizontal="left" vertical="top" wrapText="1"/>
    </xf>
    <xf numFmtId="0" fontId="14" fillId="27" borderId="73" xfId="21" applyFont="1" applyFill="1" applyBorder="1" applyAlignment="1">
      <alignment horizontal="left" vertical="center" wrapText="1"/>
    </xf>
    <xf numFmtId="0" fontId="59" fillId="27" borderId="0" xfId="21" applyFont="1" applyFill="1" applyAlignment="1">
      <alignment horizontal="left" vertical="center" wrapText="1"/>
    </xf>
    <xf numFmtId="0" fontId="134" fillId="27" borderId="0" xfId="21" applyFont="1" applyFill="1" applyAlignment="1">
      <alignment horizontal="left" vertical="top" wrapText="1"/>
    </xf>
    <xf numFmtId="0" fontId="14" fillId="13" borderId="0" xfId="21" applyFont="1" applyFill="1" applyAlignment="1">
      <alignment horizontal="left" vertical="top" wrapText="1"/>
    </xf>
    <xf numFmtId="0" fontId="5" fillId="0" borderId="123" xfId="18" applyBorder="1" applyAlignment="1">
      <alignment vertical="center"/>
    </xf>
    <xf numFmtId="0" fontId="48" fillId="0" borderId="80" xfId="18" applyFont="1" applyBorder="1" applyAlignment="1">
      <alignment horizontal="left" vertical="top" wrapText="1"/>
    </xf>
    <xf numFmtId="0" fontId="14" fillId="13" borderId="74" xfId="0" applyFont="1" applyFill="1" applyBorder="1" applyAlignment="1">
      <alignment horizontal="left" vertical="top" wrapText="1"/>
    </xf>
    <xf numFmtId="9" fontId="59" fillId="13" borderId="83" xfId="22" applyFont="1" applyFill="1" applyBorder="1" applyAlignment="1">
      <alignment horizontal="left" vertical="top" wrapText="1"/>
    </xf>
    <xf numFmtId="0" fontId="9" fillId="0" borderId="29" xfId="18" applyFont="1" applyBorder="1" applyAlignment="1">
      <alignment horizontal="left" vertical="top" wrapText="1"/>
    </xf>
    <xf numFmtId="0" fontId="5" fillId="0" borderId="27" xfId="18" applyBorder="1" applyAlignment="1">
      <alignment horizontal="left" vertical="top"/>
    </xf>
    <xf numFmtId="0" fontId="5" fillId="0" borderId="7" xfId="18" applyBorder="1" applyAlignment="1">
      <alignment horizontal="left" vertical="top"/>
    </xf>
    <xf numFmtId="0" fontId="10" fillId="0" borderId="29" xfId="18" applyFont="1" applyBorder="1" applyAlignment="1">
      <alignment horizontal="left" vertical="top"/>
    </xf>
    <xf numFmtId="0" fontId="10" fillId="0" borderId="21" xfId="18" applyFont="1" applyBorder="1" applyAlignment="1">
      <alignment horizontal="left" vertical="center" wrapText="1"/>
    </xf>
    <xf numFmtId="0" fontId="13" fillId="27" borderId="0" xfId="18" applyFont="1" applyFill="1" applyAlignment="1">
      <alignment horizontal="left" vertical="top"/>
    </xf>
    <xf numFmtId="0" fontId="14" fillId="13" borderId="118" xfId="0" applyFont="1" applyFill="1" applyBorder="1" applyAlignment="1">
      <alignment horizontal="left" vertical="top" wrapText="1"/>
    </xf>
    <xf numFmtId="0" fontId="14" fillId="13" borderId="119" xfId="0" applyFont="1" applyFill="1" applyBorder="1" applyAlignment="1">
      <alignment horizontal="left" vertical="top" wrapText="1"/>
    </xf>
    <xf numFmtId="0" fontId="14" fillId="13" borderId="120" xfId="0" applyFont="1" applyFill="1" applyBorder="1" applyAlignment="1">
      <alignment horizontal="left" vertical="top" wrapText="1"/>
    </xf>
    <xf numFmtId="0" fontId="59" fillId="13" borderId="120" xfId="0" applyFont="1" applyFill="1" applyBorder="1" applyAlignment="1">
      <alignment horizontal="left" vertical="top" wrapText="1"/>
    </xf>
    <xf numFmtId="0" fontId="137" fillId="0" borderId="29" xfId="21" applyFont="1" applyBorder="1" applyAlignment="1">
      <alignment horizontal="left" vertical="top"/>
    </xf>
    <xf numFmtId="0" fontId="141" fillId="27" borderId="29" xfId="21" applyFont="1" applyFill="1" applyBorder="1" applyAlignment="1">
      <alignment horizontal="left" vertical="top"/>
    </xf>
    <xf numFmtId="0" fontId="7" fillId="27" borderId="29" xfId="21" applyFont="1" applyFill="1" applyBorder="1" applyAlignment="1">
      <alignment horizontal="left" vertical="top" wrapText="1"/>
    </xf>
    <xf numFmtId="0" fontId="144" fillId="27" borderId="29" xfId="21" applyFont="1" applyFill="1" applyBorder="1" applyAlignment="1">
      <alignment horizontal="left" vertical="top" wrapText="1"/>
    </xf>
    <xf numFmtId="0" fontId="143" fillId="0" borderId="29" xfId="21" applyFont="1" applyBorder="1" applyAlignment="1">
      <alignment horizontal="left" vertical="top"/>
    </xf>
    <xf numFmtId="0" fontId="139" fillId="13" borderId="0" xfId="18" applyFont="1" applyFill="1" applyAlignment="1">
      <alignment horizontal="left" vertical="top" wrapText="1"/>
    </xf>
    <xf numFmtId="0" fontId="5" fillId="27" borderId="61" xfId="0" applyFont="1" applyFill="1" applyBorder="1" applyAlignment="1">
      <alignment horizontal="left" vertical="top" wrapText="1"/>
    </xf>
    <xf numFmtId="0" fontId="108" fillId="13" borderId="0" xfId="0" applyFont="1" applyFill="1" applyAlignment="1">
      <alignment horizontal="left" vertical="top"/>
    </xf>
    <xf numFmtId="0" fontId="105" fillId="13" borderId="0" xfId="14" applyFont="1" applyFill="1" applyAlignment="1" applyProtection="1">
      <alignment horizontal="left" vertical="top" wrapText="1"/>
    </xf>
    <xf numFmtId="0" fontId="108" fillId="13" borderId="0" xfId="0" applyFont="1" applyFill="1" applyAlignment="1">
      <alignment horizontal="left" vertical="top" wrapText="1" indent="2"/>
    </xf>
    <xf numFmtId="0" fontId="125" fillId="15" borderId="0" xfId="0" applyFont="1" applyFill="1" applyAlignment="1">
      <alignment horizontal="left" vertical="center" wrapText="1"/>
    </xf>
    <xf numFmtId="0" fontId="111" fillId="13" borderId="73" xfId="0" applyFont="1" applyFill="1" applyBorder="1" applyAlignment="1">
      <alignment horizontal="left" vertical="top" wrapText="1"/>
    </xf>
    <xf numFmtId="0" fontId="113" fillId="0" borderId="30" xfId="18" applyFont="1" applyBorder="1" applyAlignment="1">
      <alignment horizontal="left" vertical="top" wrapText="1"/>
    </xf>
    <xf numFmtId="0" fontId="113" fillId="0" borderId="80" xfId="18" applyFont="1" applyBorder="1" applyAlignment="1">
      <alignment horizontal="left" vertical="top" wrapText="1"/>
    </xf>
    <xf numFmtId="0" fontId="113" fillId="0" borderId="81" xfId="18" applyFont="1" applyBorder="1" applyAlignment="1">
      <alignment horizontal="left" vertical="top" wrapText="1"/>
    </xf>
    <xf numFmtId="0" fontId="113" fillId="13" borderId="75" xfId="18" applyFont="1" applyFill="1" applyBorder="1" applyAlignment="1">
      <alignment horizontal="left" vertical="top" wrapText="1"/>
    </xf>
    <xf numFmtId="0" fontId="111" fillId="13" borderId="74" xfId="0" applyFont="1" applyFill="1" applyBorder="1" applyAlignment="1">
      <alignment horizontal="left" vertical="top" wrapText="1"/>
    </xf>
    <xf numFmtId="0" fontId="111" fillId="13" borderId="82" xfId="0" applyFont="1" applyFill="1" applyBorder="1" applyAlignment="1">
      <alignment horizontal="left" vertical="top" wrapText="1"/>
    </xf>
    <xf numFmtId="0" fontId="113" fillId="13" borderId="33" xfId="18" applyFont="1" applyFill="1" applyBorder="1" applyAlignment="1">
      <alignment horizontal="left" vertical="top" wrapText="1"/>
    </xf>
    <xf numFmtId="0" fontId="111" fillId="13" borderId="83" xfId="0" applyFont="1" applyFill="1" applyBorder="1" applyAlignment="1">
      <alignment horizontal="left" vertical="top" wrapText="1"/>
    </xf>
    <xf numFmtId="9" fontId="113" fillId="13" borderId="83" xfId="22" applyFont="1" applyFill="1" applyBorder="1" applyAlignment="1">
      <alignment horizontal="left" vertical="top" wrapText="1"/>
    </xf>
    <xf numFmtId="0" fontId="113" fillId="13" borderId="0" xfId="18" applyFont="1" applyFill="1" applyAlignment="1">
      <alignment horizontal="left" vertical="top" wrapText="1"/>
    </xf>
    <xf numFmtId="0" fontId="105" fillId="0" borderId="29" xfId="0" applyFont="1" applyBorder="1" applyAlignment="1">
      <alignment horizontal="left" vertical="top" wrapText="1"/>
    </xf>
    <xf numFmtId="0" fontId="111" fillId="0" borderId="30" xfId="18" applyFont="1" applyBorder="1" applyAlignment="1">
      <alignment horizontal="left" vertical="top" wrapText="1"/>
    </xf>
    <xf numFmtId="0" fontId="111" fillId="0" borderId="75" xfId="18" applyFont="1" applyBorder="1" applyAlignment="1">
      <alignment horizontal="left" vertical="top" wrapText="1"/>
    </xf>
    <xf numFmtId="0" fontId="111" fillId="13" borderId="75" xfId="18" applyFont="1" applyFill="1" applyBorder="1" applyAlignment="1">
      <alignment horizontal="left" vertical="top" wrapText="1"/>
    </xf>
    <xf numFmtId="0" fontId="118" fillId="0" borderId="29" xfId="18" applyFont="1" applyBorder="1" applyAlignment="1">
      <alignment horizontal="left" vertical="top" wrapText="1"/>
    </xf>
    <xf numFmtId="0" fontId="105" fillId="13" borderId="7" xfId="18" applyFont="1" applyFill="1" applyBorder="1" applyAlignment="1">
      <alignment horizontal="left" vertical="top" wrapText="1"/>
    </xf>
    <xf numFmtId="0" fontId="105" fillId="0" borderId="27" xfId="18" applyFont="1" applyBorder="1" applyAlignment="1">
      <alignment horizontal="left" vertical="top"/>
    </xf>
    <xf numFmtId="0" fontId="105" fillId="0" borderId="7" xfId="18" applyFont="1" applyBorder="1" applyAlignment="1">
      <alignment horizontal="left" vertical="top"/>
    </xf>
    <xf numFmtId="0" fontId="112" fillId="13" borderId="29" xfId="18" applyFont="1" applyFill="1" applyBorder="1" applyAlignment="1">
      <alignment horizontal="left" vertical="top" wrapText="1"/>
    </xf>
    <xf numFmtId="0" fontId="106" fillId="13" borderId="0" xfId="18" applyFont="1" applyFill="1" applyAlignment="1">
      <alignment horizontal="left" vertical="top" wrapText="1"/>
    </xf>
    <xf numFmtId="0" fontId="108" fillId="13" borderId="0" xfId="18" applyFont="1" applyFill="1" applyAlignment="1">
      <alignment horizontal="left" vertical="top" wrapText="1"/>
    </xf>
    <xf numFmtId="0" fontId="112" fillId="0" borderId="29" xfId="18" applyFont="1" applyBorder="1" applyAlignment="1">
      <alignment horizontal="left" vertical="top"/>
    </xf>
    <xf numFmtId="0" fontId="112" fillId="0" borderId="21" xfId="18" applyFont="1" applyBorder="1" applyAlignment="1">
      <alignment horizontal="left" vertical="center" wrapText="1"/>
    </xf>
    <xf numFmtId="0" fontId="118" fillId="0" borderId="7" xfId="18" applyFont="1" applyBorder="1" applyAlignment="1">
      <alignment horizontal="left" vertical="top"/>
    </xf>
    <xf numFmtId="0" fontId="104" fillId="27" borderId="0" xfId="18" applyFont="1" applyFill="1" applyAlignment="1">
      <alignment horizontal="left" vertical="top"/>
    </xf>
    <xf numFmtId="0" fontId="109" fillId="21" borderId="0" xfId="18" applyFont="1" applyFill="1" applyAlignment="1">
      <alignment horizontal="left" vertical="top"/>
    </xf>
    <xf numFmtId="0" fontId="111" fillId="27" borderId="0" xfId="21" applyFont="1" applyFill="1" applyAlignment="1">
      <alignment horizontal="left" vertical="top" wrapText="1"/>
    </xf>
    <xf numFmtId="0" fontId="113" fillId="27" borderId="0" xfId="21" applyFont="1" applyFill="1" applyAlignment="1">
      <alignment horizontal="left" vertical="top" wrapText="1"/>
    </xf>
    <xf numFmtId="0" fontId="111" fillId="27" borderId="73" xfId="21" applyFont="1" applyFill="1" applyBorder="1" applyAlignment="1">
      <alignment horizontal="left" vertical="center" wrapText="1"/>
    </xf>
    <xf numFmtId="0" fontId="113" fillId="27" borderId="0" xfId="21" applyFont="1" applyFill="1" applyAlignment="1">
      <alignment horizontal="left" vertical="center" wrapText="1"/>
    </xf>
    <xf numFmtId="0" fontId="111" fillId="27" borderId="33" xfId="21" applyFont="1" applyFill="1" applyBorder="1" applyAlignment="1">
      <alignment horizontal="left" vertical="top" wrapText="1"/>
    </xf>
    <xf numFmtId="0" fontId="111" fillId="27" borderId="115" xfId="21" applyFont="1" applyFill="1" applyBorder="1" applyAlignment="1">
      <alignment horizontal="left" vertical="top" wrapText="1"/>
    </xf>
    <xf numFmtId="0" fontId="111" fillId="13" borderId="118" xfId="0" applyFont="1" applyFill="1" applyBorder="1" applyAlignment="1">
      <alignment horizontal="left" vertical="top" wrapText="1"/>
    </xf>
    <xf numFmtId="0" fontId="111" fillId="13" borderId="119" xfId="0" applyFont="1" applyFill="1" applyBorder="1" applyAlignment="1">
      <alignment horizontal="left" vertical="top" wrapText="1"/>
    </xf>
    <xf numFmtId="0" fontId="111" fillId="13" borderId="120" xfId="0" applyFont="1" applyFill="1" applyBorder="1" applyAlignment="1">
      <alignment horizontal="left" vertical="top" wrapText="1"/>
    </xf>
    <xf numFmtId="0" fontId="113" fillId="13" borderId="120" xfId="0" applyFont="1" applyFill="1" applyBorder="1" applyAlignment="1">
      <alignment horizontal="left" vertical="top" wrapText="1"/>
    </xf>
    <xf numFmtId="0" fontId="111" fillId="13" borderId="0" xfId="21" applyFont="1" applyFill="1" applyAlignment="1">
      <alignment horizontal="left" vertical="top" wrapText="1"/>
    </xf>
    <xf numFmtId="0" fontId="106" fillId="27" borderId="0" xfId="18" applyFont="1" applyFill="1" applyAlignment="1">
      <alignment horizontal="left" vertical="top"/>
    </xf>
    <xf numFmtId="0" fontId="151" fillId="0" borderId="29" xfId="21" applyFont="1" applyBorder="1" applyAlignment="1">
      <alignment horizontal="left" vertical="top"/>
    </xf>
    <xf numFmtId="0" fontId="106" fillId="13" borderId="0" xfId="0" applyFont="1" applyFill="1" applyAlignment="1">
      <alignment horizontal="left" vertical="top" wrapText="1"/>
    </xf>
    <xf numFmtId="0" fontId="105" fillId="27" borderId="29" xfId="21" applyFont="1" applyFill="1" applyBorder="1" applyAlignment="1">
      <alignment horizontal="left" vertical="top"/>
    </xf>
    <xf numFmtId="0" fontId="106" fillId="27" borderId="29" xfId="21" applyFont="1" applyFill="1" applyBorder="1" applyAlignment="1">
      <alignment horizontal="left" vertical="top" wrapText="1"/>
    </xf>
    <xf numFmtId="0" fontId="126" fillId="0" borderId="29" xfId="21" applyFont="1" applyBorder="1" applyAlignment="1">
      <alignment horizontal="left" vertical="top"/>
    </xf>
    <xf numFmtId="0" fontId="111" fillId="13" borderId="0" xfId="18" applyFont="1" applyFill="1" applyAlignment="1">
      <alignment horizontal="left" vertical="top" wrapText="1"/>
    </xf>
    <xf numFmtId="0" fontId="126" fillId="27" borderId="0" xfId="0" applyFont="1" applyFill="1" applyAlignment="1">
      <alignment horizontal="left" vertical="top" wrapText="1"/>
    </xf>
    <xf numFmtId="0" fontId="110" fillId="13" borderId="0" xfId="0" applyFont="1" applyFill="1" applyAlignment="1">
      <alignment horizontal="left" vertical="top" wrapText="1"/>
    </xf>
    <xf numFmtId="0" fontId="105" fillId="27" borderId="7" xfId="0" applyFont="1" applyFill="1" applyBorder="1" applyAlignment="1">
      <alignment horizontal="left" vertical="top"/>
    </xf>
    <xf numFmtId="0" fontId="105" fillId="27" borderId="45" xfId="0" applyFont="1" applyFill="1" applyBorder="1" applyAlignment="1">
      <alignment horizontal="left" vertical="top" wrapText="1"/>
    </xf>
    <xf numFmtId="166" fontId="105" fillId="27" borderId="7" xfId="0" applyNumberFormat="1" applyFont="1" applyFill="1" applyBorder="1" applyAlignment="1">
      <alignment horizontal="left" vertical="top"/>
    </xf>
    <xf numFmtId="0" fontId="105" fillId="27" borderId="61" xfId="0" applyFont="1" applyFill="1" applyBorder="1" applyAlignment="1">
      <alignment horizontal="left" vertical="top" wrapText="1"/>
    </xf>
    <xf numFmtId="0" fontId="105" fillId="17" borderId="0" xfId="0" applyFont="1" applyFill="1" applyAlignment="1">
      <alignment horizontal="left"/>
    </xf>
    <xf numFmtId="0" fontId="105" fillId="25" borderId="0" xfId="0" applyFont="1" applyFill="1" applyAlignment="1">
      <alignment horizontal="left"/>
    </xf>
    <xf numFmtId="0" fontId="45" fillId="0" borderId="0" xfId="18" applyFont="1" applyAlignment="1">
      <alignment vertical="top" wrapText="1"/>
    </xf>
    <xf numFmtId="0" fontId="69" fillId="13" borderId="0" xfId="18" applyFont="1" applyFill="1" applyAlignment="1">
      <alignment horizontal="left" vertical="top" wrapText="1"/>
    </xf>
    <xf numFmtId="0" fontId="152" fillId="0" borderId="30" xfId="19" applyFont="1" applyBorder="1" applyAlignment="1">
      <alignment wrapText="1"/>
    </xf>
    <xf numFmtId="0" fontId="118" fillId="0" borderId="0" xfId="18" applyFont="1" applyAlignment="1">
      <alignment horizontal="left" vertical="top" wrapText="1"/>
    </xf>
    <xf numFmtId="0" fontId="89" fillId="0" borderId="0" xfId="0" applyFont="1" applyAlignment="1">
      <alignment horizontal="left" vertical="top" wrapText="1"/>
    </xf>
    <xf numFmtId="0" fontId="80" fillId="29" borderId="0" xfId="0" applyFont="1" applyFill="1" applyAlignment="1">
      <alignment vertical="center" wrapText="1"/>
    </xf>
    <xf numFmtId="0" fontId="5" fillId="13" borderId="0" xfId="14" applyFont="1" applyFill="1" applyBorder="1" applyAlignment="1" applyProtection="1">
      <alignment vertical="top" wrapText="1"/>
    </xf>
    <xf numFmtId="0" fontId="97" fillId="13" borderId="0" xfId="0" applyFont="1" applyFill="1" applyAlignment="1">
      <alignment horizontal="left" vertical="top" wrapText="1"/>
    </xf>
    <xf numFmtId="0" fontId="10" fillId="0" borderId="0" xfId="18" applyFont="1" applyAlignment="1">
      <alignment horizontal="left" vertical="center"/>
    </xf>
    <xf numFmtId="0" fontId="54" fillId="13" borderId="0" xfId="0" applyFont="1" applyFill="1" applyAlignment="1">
      <alignment horizontal="left" vertical="top" wrapText="1" indent="2"/>
    </xf>
    <xf numFmtId="0" fontId="78" fillId="29" borderId="0" xfId="0" applyFont="1" applyFill="1" applyAlignment="1">
      <alignment vertical="center" wrapText="1"/>
    </xf>
    <xf numFmtId="0" fontId="27" fillId="29" borderId="0" xfId="0" applyFont="1" applyFill="1" applyAlignment="1">
      <alignment vertical="center" wrapText="1"/>
    </xf>
    <xf numFmtId="0" fontId="84" fillId="26" borderId="0" xfId="0" applyFont="1" applyFill="1" applyAlignment="1">
      <alignment vertical="center" wrapText="1"/>
    </xf>
    <xf numFmtId="0" fontId="33" fillId="0" borderId="0" xfId="0" applyFont="1" applyAlignment="1">
      <alignment horizontal="left"/>
    </xf>
    <xf numFmtId="0" fontId="85" fillId="0" borderId="0" xfId="18" applyFont="1" applyAlignment="1">
      <alignment horizontal="left" vertical="top"/>
    </xf>
    <xf numFmtId="0" fontId="108" fillId="0" borderId="0" xfId="0" applyFont="1" applyAlignment="1">
      <alignment horizontal="left" vertical="top"/>
    </xf>
    <xf numFmtId="0" fontId="125" fillId="0" borderId="0" xfId="0" applyFont="1" applyAlignment="1">
      <alignment horizontal="left" vertical="top" wrapText="1"/>
    </xf>
    <xf numFmtId="166" fontId="105" fillId="0" borderId="0" xfId="0" applyNumberFormat="1" applyFont="1" applyAlignment="1">
      <alignment horizontal="left" vertical="top"/>
    </xf>
    <xf numFmtId="0" fontId="115" fillId="0" borderId="0" xfId="0" applyFont="1" applyAlignment="1">
      <alignment horizontal="left" vertical="top" wrapText="1"/>
    </xf>
    <xf numFmtId="0" fontId="125" fillId="0" borderId="0" xfId="0" applyFont="1" applyAlignment="1">
      <alignment vertical="top" wrapText="1"/>
    </xf>
    <xf numFmtId="0" fontId="154" fillId="0" borderId="0" xfId="0" applyFont="1" applyAlignment="1">
      <alignment vertical="center" wrapText="1"/>
    </xf>
    <xf numFmtId="0" fontId="154" fillId="29" borderId="0" xfId="0" applyFont="1" applyFill="1" applyAlignment="1">
      <alignment vertical="center" wrapText="1"/>
    </xf>
    <xf numFmtId="0" fontId="154" fillId="0" borderId="0" xfId="0" applyFont="1"/>
    <xf numFmtId="0" fontId="155" fillId="29" borderId="0" xfId="0" applyFont="1" applyFill="1" applyAlignment="1">
      <alignment vertical="center" wrapText="1"/>
    </xf>
    <xf numFmtId="0" fontId="154" fillId="30" borderId="0" xfId="0" applyFont="1" applyFill="1" applyAlignment="1">
      <alignment vertical="center" wrapText="1"/>
    </xf>
    <xf numFmtId="0" fontId="156" fillId="0" borderId="0" xfId="0" applyFont="1" applyAlignment="1">
      <alignment vertical="top" wrapText="1"/>
    </xf>
    <xf numFmtId="0" fontId="155" fillId="0" borderId="0" xfId="0" applyFont="1" applyAlignment="1">
      <alignment vertical="center" wrapText="1"/>
    </xf>
    <xf numFmtId="0" fontId="154" fillId="25" borderId="0" xfId="0" applyFont="1" applyFill="1" applyAlignment="1">
      <alignment vertical="center" wrapText="1"/>
    </xf>
    <xf numFmtId="0" fontId="156" fillId="25" borderId="0" xfId="0" applyFont="1" applyFill="1" applyAlignment="1">
      <alignment vertical="center" wrapText="1"/>
    </xf>
    <xf numFmtId="0" fontId="154" fillId="26" borderId="0" xfId="0" applyFont="1" applyFill="1" applyAlignment="1">
      <alignment vertical="center" wrapText="1"/>
    </xf>
    <xf numFmtId="0" fontId="154" fillId="0" borderId="0" xfId="0" applyFont="1" applyAlignment="1">
      <alignment horizontal="left" vertical="top"/>
    </xf>
    <xf numFmtId="0" fontId="155" fillId="13" borderId="0" xfId="0" applyFont="1" applyFill="1" applyAlignment="1">
      <alignment horizontal="left" vertical="top" wrapText="1"/>
    </xf>
    <xf numFmtId="0" fontId="155" fillId="13" borderId="0" xfId="0" applyFont="1" applyFill="1" applyAlignment="1">
      <alignment horizontal="left" vertical="top"/>
    </xf>
    <xf numFmtId="0" fontId="154" fillId="13" borderId="0" xfId="0" applyFont="1" applyFill="1" applyAlignment="1">
      <alignment horizontal="left" vertical="top" wrapText="1"/>
    </xf>
    <xf numFmtId="0" fontId="155" fillId="13" borderId="0" xfId="0" applyFont="1" applyFill="1" applyAlignment="1">
      <alignment horizontal="left" vertical="top" wrapText="1" indent="2"/>
    </xf>
    <xf numFmtId="0" fontId="154" fillId="15" borderId="0" xfId="0" applyFont="1" applyFill="1" applyAlignment="1">
      <alignment horizontal="left" vertical="center" wrapText="1"/>
    </xf>
    <xf numFmtId="0" fontId="154" fillId="13" borderId="0" xfId="0" applyFont="1" applyFill="1" applyAlignment="1">
      <alignment horizontal="left" vertical="top"/>
    </xf>
    <xf numFmtId="0" fontId="155" fillId="13" borderId="0" xfId="18" applyFont="1" applyFill="1" applyAlignment="1">
      <alignment horizontal="left" vertical="top" wrapText="1"/>
    </xf>
    <xf numFmtId="0" fontId="155" fillId="0" borderId="0" xfId="18" applyFont="1" applyAlignment="1">
      <alignment horizontal="left" vertical="top" wrapText="1"/>
    </xf>
    <xf numFmtId="0" fontId="154" fillId="0" borderId="0" xfId="18" applyFont="1" applyAlignment="1">
      <alignment horizontal="left" vertical="top" wrapText="1"/>
    </xf>
    <xf numFmtId="0" fontId="154" fillId="13" borderId="0" xfId="18" applyFont="1" applyFill="1" applyAlignment="1">
      <alignment horizontal="left" vertical="top" wrapText="1"/>
    </xf>
    <xf numFmtId="0" fontId="154" fillId="0" borderId="0" xfId="18" applyFont="1" applyAlignment="1">
      <alignment horizontal="left" vertical="top"/>
    </xf>
    <xf numFmtId="0" fontId="155" fillId="0" borderId="0" xfId="18" applyFont="1" applyAlignment="1">
      <alignment horizontal="left" vertical="top" wrapText="1" indent="2"/>
    </xf>
    <xf numFmtId="0" fontId="155" fillId="0" borderId="0" xfId="18" applyFont="1" applyAlignment="1">
      <alignment horizontal="left" vertical="top"/>
    </xf>
    <xf numFmtId="0" fontId="154" fillId="13" borderId="0" xfId="18" applyFont="1" applyFill="1" applyAlignment="1">
      <alignment horizontal="left" vertical="center"/>
    </xf>
    <xf numFmtId="0" fontId="154" fillId="25" borderId="0" xfId="0" applyFont="1" applyFill="1" applyAlignment="1">
      <alignment horizontal="left"/>
    </xf>
    <xf numFmtId="0" fontId="154" fillId="17" borderId="0" xfId="0" applyFont="1" applyFill="1" applyAlignment="1">
      <alignment horizontal="left"/>
    </xf>
    <xf numFmtId="0" fontId="154" fillId="0" borderId="0" xfId="18" applyFont="1" applyAlignment="1">
      <alignment wrapText="1"/>
    </xf>
    <xf numFmtId="0" fontId="154" fillId="0" borderId="0" xfId="0" applyFont="1" applyAlignment="1">
      <alignment horizontal="left" vertical="top" wrapText="1"/>
    </xf>
    <xf numFmtId="0" fontId="154" fillId="27" borderId="0" xfId="0" applyFont="1" applyFill="1" applyAlignment="1">
      <alignment horizontal="left" vertical="top" wrapText="1"/>
    </xf>
    <xf numFmtId="0" fontId="154" fillId="23" borderId="0" xfId="0" applyFont="1" applyFill="1" applyAlignment="1">
      <alignment horizontal="left" vertical="center" wrapText="1" indent="1"/>
    </xf>
    <xf numFmtId="0" fontId="155" fillId="27" borderId="0" xfId="0" applyFont="1" applyFill="1" applyAlignment="1">
      <alignment horizontal="left" vertical="top" wrapText="1"/>
    </xf>
    <xf numFmtId="0" fontId="154" fillId="27" borderId="0" xfId="0" applyFont="1" applyFill="1" applyAlignment="1">
      <alignment horizontal="left" vertical="top"/>
    </xf>
    <xf numFmtId="166" fontId="154" fillId="27" borderId="0" xfId="0" applyNumberFormat="1" applyFont="1" applyFill="1" applyAlignment="1">
      <alignment horizontal="left" vertical="top"/>
    </xf>
    <xf numFmtId="0" fontId="154" fillId="36" borderId="0" xfId="0" applyFont="1" applyFill="1" applyAlignment="1">
      <alignment horizontal="left"/>
    </xf>
    <xf numFmtId="0" fontId="154" fillId="0" borderId="0" xfId="0" applyFont="1" applyAlignment="1">
      <alignment horizontal="left"/>
    </xf>
    <xf numFmtId="0" fontId="154" fillId="37" borderId="0" xfId="0" applyFont="1" applyFill="1" applyAlignment="1">
      <alignment horizontal="left"/>
    </xf>
    <xf numFmtId="0" fontId="154" fillId="33" borderId="0" xfId="18" applyFont="1" applyFill="1" applyAlignment="1">
      <alignment horizontal="center" vertical="top"/>
    </xf>
    <xf numFmtId="0" fontId="154" fillId="13" borderId="0" xfId="14" applyFont="1" applyFill="1" applyAlignment="1" applyProtection="1">
      <alignment horizontal="left" vertical="top" wrapText="1"/>
    </xf>
    <xf numFmtId="0" fontId="155" fillId="0" borderId="0" xfId="18" applyFont="1" applyAlignment="1">
      <alignment horizontal="left" vertical="center" wrapText="1"/>
    </xf>
    <xf numFmtId="0" fontId="154" fillId="26" borderId="0" xfId="18" applyFont="1" applyFill="1" applyAlignment="1">
      <alignment horizontal="left" vertical="top"/>
    </xf>
    <xf numFmtId="0" fontId="155" fillId="0" borderId="29" xfId="18" applyFont="1" applyBorder="1" applyAlignment="1">
      <alignment horizontal="left" vertical="top" wrapText="1" indent="1"/>
    </xf>
    <xf numFmtId="0" fontId="155" fillId="13" borderId="0" xfId="18" applyFont="1" applyFill="1" applyAlignment="1">
      <alignment horizontal="left" vertical="center" wrapText="1"/>
    </xf>
    <xf numFmtId="0" fontId="154" fillId="13" borderId="0" xfId="0" applyFont="1" applyFill="1" applyAlignment="1">
      <alignment vertical="top" wrapText="1"/>
    </xf>
    <xf numFmtId="0" fontId="154" fillId="13" borderId="0" xfId="14" applyFont="1" applyFill="1" applyAlignment="1" applyProtection="1">
      <alignment vertical="top" wrapText="1"/>
    </xf>
    <xf numFmtId="0" fontId="155" fillId="0" borderId="29" xfId="18" applyFont="1" applyBorder="1" applyAlignment="1">
      <alignment vertical="top" wrapText="1"/>
    </xf>
    <xf numFmtId="0" fontId="154" fillId="0" borderId="7" xfId="18" applyFont="1" applyBorder="1" applyAlignment="1">
      <alignment horizontal="left" vertical="top" wrapText="1"/>
    </xf>
    <xf numFmtId="0" fontId="155" fillId="27" borderId="0" xfId="18" applyFont="1" applyFill="1" applyAlignment="1">
      <alignment horizontal="left" vertical="top" wrapText="1"/>
    </xf>
    <xf numFmtId="0" fontId="155" fillId="27" borderId="31" xfId="18" applyFont="1" applyFill="1" applyBorder="1" applyAlignment="1">
      <alignment horizontal="left" vertical="top" wrapText="1"/>
    </xf>
    <xf numFmtId="0" fontId="154" fillId="26" borderId="0" xfId="18" applyFont="1" applyFill="1" applyAlignment="1">
      <alignment horizontal="center" vertical="top"/>
    </xf>
    <xf numFmtId="0" fontId="155" fillId="13" borderId="73" xfId="0" applyFont="1" applyFill="1" applyBorder="1" applyAlignment="1">
      <alignment horizontal="left" vertical="top" wrapText="1"/>
    </xf>
    <xf numFmtId="0" fontId="155" fillId="13" borderId="74" xfId="0" applyFont="1" applyFill="1" applyBorder="1" applyAlignment="1">
      <alignment horizontal="left" vertical="top" wrapText="1"/>
    </xf>
    <xf numFmtId="0" fontId="155" fillId="13" borderId="82" xfId="0" applyFont="1" applyFill="1" applyBorder="1" applyAlignment="1">
      <alignment horizontal="left" vertical="top" wrapText="1"/>
    </xf>
    <xf numFmtId="0" fontId="155" fillId="13" borderId="83" xfId="0" applyFont="1" applyFill="1" applyBorder="1" applyAlignment="1">
      <alignment horizontal="left" vertical="top" wrapText="1"/>
    </xf>
    <xf numFmtId="0" fontId="154" fillId="0" borderId="29" xfId="0" applyFont="1" applyBorder="1" applyAlignment="1">
      <alignment horizontal="left" vertical="top" wrapText="1"/>
    </xf>
    <xf numFmtId="0" fontId="155" fillId="0" borderId="30" xfId="18" applyFont="1" applyBorder="1" applyAlignment="1">
      <alignment horizontal="left" vertical="top" wrapText="1"/>
    </xf>
    <xf numFmtId="0" fontId="155" fillId="0" borderId="75" xfId="18" applyFont="1" applyBorder="1" applyAlignment="1">
      <alignment horizontal="left" vertical="top" wrapText="1"/>
    </xf>
    <xf numFmtId="0" fontId="155" fillId="13" borderId="75" xfId="18" applyFont="1" applyFill="1" applyBorder="1" applyAlignment="1">
      <alignment horizontal="left" vertical="top" wrapText="1"/>
    </xf>
    <xf numFmtId="0" fontId="154" fillId="0" borderId="29" xfId="18" applyFont="1" applyBorder="1" applyAlignment="1">
      <alignment horizontal="left" vertical="top" wrapText="1"/>
    </xf>
    <xf numFmtId="0" fontId="154" fillId="13" borderId="7" xfId="18" applyFont="1" applyFill="1" applyBorder="1" applyAlignment="1">
      <alignment horizontal="left" vertical="top" wrapText="1"/>
    </xf>
    <xf numFmtId="0" fontId="154" fillId="0" borderId="27" xfId="18" applyFont="1" applyBorder="1" applyAlignment="1">
      <alignment horizontal="left" vertical="top"/>
    </xf>
    <xf numFmtId="0" fontId="154" fillId="0" borderId="7" xfId="18" applyFont="1" applyBorder="1" applyAlignment="1">
      <alignment horizontal="left" vertical="top"/>
    </xf>
    <xf numFmtId="0" fontId="155" fillId="27" borderId="0" xfId="21" applyFont="1" applyFill="1" applyAlignment="1">
      <alignment horizontal="left" vertical="top" wrapText="1"/>
    </xf>
    <xf numFmtId="0" fontId="155" fillId="27" borderId="73" xfId="21" applyFont="1" applyFill="1" applyBorder="1" applyAlignment="1">
      <alignment horizontal="left" vertical="center" wrapText="1"/>
    </xf>
    <xf numFmtId="0" fontId="155" fillId="27" borderId="33" xfId="21" applyFont="1" applyFill="1" applyBorder="1" applyAlignment="1">
      <alignment horizontal="left" vertical="top" wrapText="1"/>
    </xf>
    <xf numFmtId="0" fontId="155" fillId="27" borderId="115" xfId="21" applyFont="1" applyFill="1" applyBorder="1" applyAlignment="1">
      <alignment horizontal="left" vertical="top" wrapText="1"/>
    </xf>
    <xf numFmtId="0" fontId="155" fillId="13" borderId="118" xfId="0" applyFont="1" applyFill="1" applyBorder="1" applyAlignment="1">
      <alignment horizontal="left" vertical="top" wrapText="1"/>
    </xf>
    <xf numFmtId="0" fontId="155" fillId="13" borderId="119" xfId="0" applyFont="1" applyFill="1" applyBorder="1" applyAlignment="1">
      <alignment horizontal="left" vertical="top" wrapText="1"/>
    </xf>
    <xf numFmtId="0" fontId="155" fillId="13" borderId="120" xfId="0" applyFont="1" applyFill="1" applyBorder="1" applyAlignment="1">
      <alignment horizontal="left" vertical="top" wrapText="1"/>
    </xf>
    <xf numFmtId="0" fontId="155" fillId="13" borderId="0" xfId="21" applyFont="1" applyFill="1" applyAlignment="1">
      <alignment horizontal="left" vertical="top" wrapText="1"/>
    </xf>
    <xf numFmtId="0" fontId="154" fillId="27" borderId="29" xfId="21" applyFont="1" applyFill="1" applyBorder="1" applyAlignment="1">
      <alignment horizontal="left" vertical="top"/>
    </xf>
    <xf numFmtId="0" fontId="154" fillId="0" borderId="29" xfId="21" applyFont="1" applyBorder="1" applyAlignment="1">
      <alignment horizontal="left" vertical="top"/>
    </xf>
    <xf numFmtId="0" fontId="154" fillId="27" borderId="7" xfId="0" applyFont="1" applyFill="1" applyBorder="1" applyAlignment="1">
      <alignment horizontal="left" vertical="top"/>
    </xf>
    <xf numFmtId="0" fontId="154" fillId="27" borderId="45" xfId="0" applyFont="1" applyFill="1" applyBorder="1" applyAlignment="1">
      <alignment horizontal="left" vertical="top" wrapText="1"/>
    </xf>
    <xf numFmtId="166" fontId="154" fillId="27" borderId="7" xfId="0" applyNumberFormat="1" applyFont="1" applyFill="1" applyBorder="1" applyAlignment="1">
      <alignment horizontal="left" vertical="top"/>
    </xf>
    <xf numFmtId="0" fontId="154" fillId="27" borderId="61" xfId="0" applyFont="1" applyFill="1" applyBorder="1" applyAlignment="1">
      <alignment horizontal="left" vertical="top" wrapText="1"/>
    </xf>
    <xf numFmtId="0" fontId="156" fillId="0" borderId="0" xfId="19" applyFont="1" applyAlignment="1">
      <alignment wrapText="1"/>
    </xf>
    <xf numFmtId="0" fontId="154" fillId="31" borderId="0" xfId="0" applyFont="1" applyFill="1" applyAlignment="1">
      <alignment vertical="center" wrapText="1"/>
    </xf>
    <xf numFmtId="0" fontId="154" fillId="21" borderId="0" xfId="18" applyFont="1" applyFill="1" applyAlignment="1">
      <alignment horizontal="left"/>
    </xf>
    <xf numFmtId="0" fontId="154" fillId="13" borderId="0" xfId="18" applyFont="1" applyFill="1" applyAlignment="1">
      <alignment horizontal="left" vertical="top"/>
    </xf>
    <xf numFmtId="0" fontId="154" fillId="0" borderId="0" xfId="18" applyFont="1" applyAlignment="1">
      <alignment horizontal="left"/>
    </xf>
    <xf numFmtId="0" fontId="155" fillId="0" borderId="0" xfId="18" applyFont="1" applyAlignment="1">
      <alignment horizontal="left" vertical="top" wrapText="1" indent="1"/>
    </xf>
    <xf numFmtId="0" fontId="154" fillId="0" borderId="0" xfId="18" applyFont="1" applyAlignment="1">
      <alignment horizontal="left" vertical="center"/>
    </xf>
    <xf numFmtId="0" fontId="154" fillId="21" borderId="0" xfId="18" applyFont="1" applyFill="1" applyAlignment="1">
      <alignment horizontal="left" vertical="top"/>
    </xf>
    <xf numFmtId="0" fontId="154" fillId="13" borderId="0" xfId="0" applyFont="1" applyFill="1" applyAlignment="1">
      <alignment horizontal="left"/>
    </xf>
    <xf numFmtId="0" fontId="154" fillId="32" borderId="0" xfId="18" applyFont="1" applyFill="1" applyAlignment="1">
      <alignment horizontal="left" vertical="top" wrapText="1"/>
    </xf>
    <xf numFmtId="0" fontId="154" fillId="13" borderId="0" xfId="18" applyFont="1" applyFill="1" applyAlignment="1">
      <alignment horizontal="left" vertical="center" wrapText="1"/>
    </xf>
    <xf numFmtId="0" fontId="154" fillId="13" borderId="27" xfId="18" applyFont="1" applyFill="1" applyBorder="1" applyAlignment="1">
      <alignment horizontal="left" vertical="top" wrapText="1"/>
    </xf>
    <xf numFmtId="0" fontId="154" fillId="38" borderId="20" xfId="18" applyFont="1" applyFill="1" applyBorder="1" applyAlignment="1">
      <alignment horizontal="left" vertical="top" wrapText="1"/>
    </xf>
    <xf numFmtId="0" fontId="154" fillId="0" borderId="0" xfId="0" applyFont="1" applyAlignment="1">
      <alignment vertical="top" wrapText="1"/>
    </xf>
    <xf numFmtId="0" fontId="155" fillId="0" borderId="7" xfId="18" applyFont="1" applyBorder="1" applyAlignment="1">
      <alignment horizontal="left" vertical="top" wrapText="1" indent="1"/>
    </xf>
    <xf numFmtId="0" fontId="154" fillId="0" borderId="0" xfId="18" applyFont="1" applyAlignment="1">
      <alignment vertical="top" wrapText="1"/>
    </xf>
    <xf numFmtId="0" fontId="154" fillId="0" borderId="30" xfId="18" applyFont="1" applyBorder="1" applyAlignment="1">
      <alignment horizontal="left" vertical="top" wrapText="1"/>
    </xf>
    <xf numFmtId="0" fontId="154" fillId="27" borderId="0" xfId="18" applyFont="1" applyFill="1" applyAlignment="1">
      <alignment horizontal="left" vertical="top" wrapText="1"/>
    </xf>
    <xf numFmtId="0" fontId="155" fillId="0" borderId="80" xfId="18" applyFont="1" applyBorder="1" applyAlignment="1">
      <alignment horizontal="left" vertical="top" wrapText="1"/>
    </xf>
    <xf numFmtId="0" fontId="155" fillId="0" borderId="81" xfId="18" applyFont="1" applyBorder="1" applyAlignment="1">
      <alignment horizontal="left" vertical="top" wrapText="1"/>
    </xf>
    <xf numFmtId="0" fontId="155" fillId="13" borderId="33" xfId="18" applyFont="1" applyFill="1" applyBorder="1" applyAlignment="1">
      <alignment horizontal="left" vertical="top" wrapText="1"/>
    </xf>
    <xf numFmtId="9" fontId="155" fillId="13" borderId="83" xfId="22" applyFont="1" applyFill="1" applyBorder="1" applyAlignment="1">
      <alignment horizontal="left" vertical="top" wrapText="1"/>
    </xf>
    <xf numFmtId="0" fontId="154" fillId="13" borderId="29" xfId="18" applyFont="1" applyFill="1" applyBorder="1" applyAlignment="1">
      <alignment horizontal="left" vertical="top" wrapText="1"/>
    </xf>
    <xf numFmtId="0" fontId="154" fillId="0" borderId="29" xfId="18" applyFont="1" applyBorder="1" applyAlignment="1">
      <alignment horizontal="left" vertical="top"/>
    </xf>
    <xf numFmtId="0" fontId="154" fillId="0" borderId="21" xfId="18" applyFont="1" applyBorder="1" applyAlignment="1">
      <alignment horizontal="left" vertical="center" wrapText="1"/>
    </xf>
    <xf numFmtId="0" fontId="154" fillId="27" borderId="0" xfId="18" applyFont="1" applyFill="1" applyAlignment="1">
      <alignment horizontal="left" vertical="top"/>
    </xf>
    <xf numFmtId="0" fontId="155" fillId="27" borderId="0" xfId="21" applyFont="1" applyFill="1" applyAlignment="1">
      <alignment horizontal="left" vertical="center" wrapText="1"/>
    </xf>
    <xf numFmtId="0" fontId="157" fillId="0" borderId="29" xfId="21" applyFont="1" applyBorder="1" applyAlignment="1">
      <alignment horizontal="left" vertical="top"/>
    </xf>
    <xf numFmtId="0" fontId="154" fillId="27" borderId="29" xfId="21" applyFont="1" applyFill="1" applyBorder="1" applyAlignment="1">
      <alignment horizontal="left" vertical="top" wrapText="1"/>
    </xf>
    <xf numFmtId="0" fontId="85" fillId="13" borderId="0" xfId="0" applyFont="1" applyFill="1" applyAlignment="1">
      <alignment vertical="top"/>
    </xf>
    <xf numFmtId="0" fontId="6" fillId="47" borderId="0" xfId="18" applyFont="1" applyFill="1" applyAlignment="1">
      <alignment horizontal="left"/>
    </xf>
    <xf numFmtId="0" fontId="6" fillId="47" borderId="0" xfId="18" applyFont="1" applyFill="1"/>
    <xf numFmtId="0" fontId="6" fillId="47" borderId="0" xfId="18" applyFont="1" applyFill="1" applyAlignment="1">
      <alignment horizontal="left" vertical="top"/>
    </xf>
    <xf numFmtId="0" fontId="5" fillId="47" borderId="0" xfId="18" applyFill="1" applyAlignment="1">
      <alignment vertical="top"/>
    </xf>
    <xf numFmtId="0" fontId="6" fillId="47" borderId="0" xfId="18" applyFont="1" applyFill="1" applyAlignment="1">
      <alignment horizontal="center" vertical="top"/>
    </xf>
    <xf numFmtId="0" fontId="6" fillId="47" borderId="0" xfId="18" applyFont="1" applyFill="1" applyAlignment="1">
      <alignment vertical="top"/>
    </xf>
    <xf numFmtId="0" fontId="0" fillId="0" borderId="0" xfId="0" applyAlignment="1">
      <alignment vertical="center"/>
    </xf>
    <xf numFmtId="0" fontId="85" fillId="0" borderId="0" xfId="18" applyFont="1" applyAlignment="1">
      <alignment horizontal="center" vertical="top"/>
    </xf>
    <xf numFmtId="164" fontId="7" fillId="25" borderId="29" xfId="18" quotePrefix="1" applyNumberFormat="1" applyFont="1" applyFill="1" applyBorder="1" applyAlignment="1">
      <alignment vertical="top"/>
    </xf>
    <xf numFmtId="0" fontId="6" fillId="47" borderId="32" xfId="18" applyFont="1" applyFill="1" applyBorder="1" applyAlignment="1">
      <alignment horizontal="center" vertical="top"/>
    </xf>
    <xf numFmtId="0" fontId="6" fillId="47" borderId="0" xfId="0" applyFont="1" applyFill="1" applyAlignment="1">
      <alignment vertical="top" wrapText="1"/>
    </xf>
    <xf numFmtId="14" fontId="5" fillId="22" borderId="39" xfId="18" applyNumberFormat="1" applyFill="1" applyBorder="1" applyAlignment="1" applyProtection="1">
      <alignment horizontal="center" vertical="top" wrapText="1"/>
      <protection locked="0"/>
    </xf>
    <xf numFmtId="14" fontId="5" fillId="0" borderId="121" xfId="18" applyNumberFormat="1" applyBorder="1" applyAlignment="1">
      <alignment horizontal="center" vertical="top" wrapText="1"/>
    </xf>
    <xf numFmtId="0" fontId="6" fillId="47" borderId="0" xfId="18" applyFont="1" applyFill="1" applyAlignment="1">
      <alignment vertical="top" wrapText="1"/>
    </xf>
    <xf numFmtId="0" fontId="130" fillId="0" borderId="0" xfId="0" applyFont="1" applyAlignment="1">
      <alignment vertical="center"/>
    </xf>
    <xf numFmtId="0" fontId="85" fillId="0" borderId="0" xfId="0" applyFont="1" applyAlignment="1">
      <alignment vertical="center"/>
    </xf>
    <xf numFmtId="0" fontId="13" fillId="13" borderId="0" xfId="0" applyFont="1" applyFill="1" applyAlignment="1">
      <alignment horizontal="center" vertical="top"/>
    </xf>
    <xf numFmtId="0" fontId="53" fillId="0" borderId="0" xfId="0" applyFont="1" applyAlignment="1">
      <alignment vertical="top"/>
    </xf>
    <xf numFmtId="3" fontId="60" fillId="17" borderId="7" xfId="0" applyNumberFormat="1" applyFont="1" applyFill="1" applyBorder="1" applyAlignment="1">
      <alignment horizontal="right" vertical="top"/>
    </xf>
    <xf numFmtId="3" fontId="60" fillId="17" borderId="32" xfId="0" applyNumberFormat="1" applyFont="1" applyFill="1" applyBorder="1" applyAlignment="1">
      <alignment horizontal="right" vertical="top"/>
    </xf>
    <xf numFmtId="0" fontId="11" fillId="0" borderId="0" xfId="14" applyAlignment="1" applyProtection="1">
      <alignment horizontal="left" vertical="top" wrapText="1"/>
    </xf>
    <xf numFmtId="0" fontId="0" fillId="0" borderId="0" xfId="0" applyAlignment="1">
      <alignment horizontal="left" vertical="top" wrapText="1"/>
    </xf>
    <xf numFmtId="0" fontId="11" fillId="0" borderId="0" xfId="14" applyFill="1" applyAlignment="1" applyProtection="1">
      <alignment horizontal="left" vertical="top" wrapText="1"/>
    </xf>
    <xf numFmtId="0" fontId="153" fillId="46" borderId="0" xfId="0" applyFont="1" applyFill="1" applyAlignment="1">
      <alignment vertical="center" wrapText="1"/>
    </xf>
    <xf numFmtId="0" fontId="158" fillId="47" borderId="0" xfId="0" applyFont="1" applyFill="1" applyAlignment="1">
      <alignment vertical="center" wrapText="1"/>
    </xf>
    <xf numFmtId="0" fontId="86" fillId="47" borderId="0" xfId="0" applyFont="1" applyFill="1" applyAlignment="1">
      <alignment vertical="center" wrapText="1"/>
    </xf>
    <xf numFmtId="0" fontId="159" fillId="46" borderId="0" xfId="0" applyFont="1" applyFill="1" applyAlignment="1">
      <alignment vertical="center"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60" fillId="25" borderId="7" xfId="0" applyNumberFormat="1" applyFont="1" applyFill="1" applyBorder="1" applyAlignment="1">
      <alignment horizontal="right" vertical="top"/>
    </xf>
    <xf numFmtId="3" fontId="60" fillId="25" borderId="32" xfId="0" applyNumberFormat="1" applyFont="1" applyFill="1" applyBorder="1" applyAlignment="1">
      <alignment horizontal="right" vertical="top"/>
    </xf>
    <xf numFmtId="0" fontId="5" fillId="0" borderId="0" xfId="0" applyFont="1" applyAlignment="1">
      <alignment vertical="top" wrapText="1"/>
    </xf>
    <xf numFmtId="0" fontId="0" fillId="0" borderId="0" xfId="0" applyAlignment="1">
      <alignment vertical="top" wrapText="1"/>
    </xf>
    <xf numFmtId="0" fontId="0" fillId="0" borderId="25" xfId="0" applyBorder="1" applyAlignment="1">
      <alignmen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xf>
    <xf numFmtId="0" fontId="7" fillId="13" borderId="0" xfId="0" applyFont="1" applyFill="1" applyAlignment="1">
      <alignment vertical="top" wrapText="1"/>
    </xf>
    <xf numFmtId="14" fontId="0" fillId="0" borderId="29" xfId="0" applyNumberFormat="1" applyBorder="1" applyAlignment="1">
      <alignment horizontal="left" vertical="top" wrapText="1"/>
    </xf>
    <xf numFmtId="0" fontId="7" fillId="0" borderId="0" xfId="0" applyFont="1" applyAlignment="1">
      <alignment vertical="top" wrapText="1"/>
    </xf>
    <xf numFmtId="0" fontId="0" fillId="0" borderId="50" xfId="0" applyBorder="1" applyAlignment="1">
      <alignment vertical="top" wrapText="1"/>
    </xf>
    <xf numFmtId="0" fontId="5" fillId="13" borderId="0" xfId="0" applyFont="1" applyFill="1" applyAlignment="1">
      <alignment vertical="top" wrapText="1"/>
    </xf>
    <xf numFmtId="3" fontId="13" fillId="17" borderId="13" xfId="0" applyNumberFormat="1" applyFont="1" applyFill="1" applyBorder="1" applyAlignment="1">
      <alignment horizontal="right" vertical="center"/>
    </xf>
    <xf numFmtId="3" fontId="13" fillId="17" borderId="14" xfId="0" applyNumberFormat="1" applyFont="1" applyFill="1" applyBorder="1" applyAlignment="1">
      <alignment horizontal="right" vertical="center"/>
    </xf>
    <xf numFmtId="0" fontId="0" fillId="13" borderId="0" xfId="0" applyFill="1" applyAlignment="1">
      <alignment vertical="top" wrapText="1"/>
    </xf>
    <xf numFmtId="0" fontId="14" fillId="13" borderId="0" xfId="0" applyFont="1" applyFill="1" applyAlignment="1">
      <alignment vertical="top" wrapText="1"/>
    </xf>
    <xf numFmtId="0" fontId="158" fillId="46" borderId="0" xfId="0" applyFont="1" applyFill="1" applyAlignment="1">
      <alignment vertical="center" wrapText="1"/>
    </xf>
    <xf numFmtId="0" fontId="161" fillId="13" borderId="0" xfId="14" applyFont="1" applyFill="1" applyAlignment="1" applyProtection="1">
      <alignment horizontal="left" vertical="top" wrapText="1"/>
    </xf>
    <xf numFmtId="0" fontId="5" fillId="0" borderId="0" xfId="0" applyFont="1" applyAlignment="1">
      <alignment horizontal="left" vertical="top" wrapText="1"/>
    </xf>
    <xf numFmtId="0" fontId="5" fillId="0" borderId="25" xfId="0" applyFont="1" applyBorder="1" applyAlignment="1">
      <alignment horizontal="left" vertical="top" wrapText="1"/>
    </xf>
    <xf numFmtId="0" fontId="5" fillId="13" borderId="0" xfId="0" applyFont="1" applyFill="1" applyAlignment="1">
      <alignment horizontal="left" vertical="top" wrapText="1"/>
    </xf>
    <xf numFmtId="0" fontId="7" fillId="13" borderId="0" xfId="0" applyFont="1" applyFill="1" applyAlignment="1">
      <alignment horizontal="left" vertical="top" wrapText="1"/>
    </xf>
    <xf numFmtId="0" fontId="7" fillId="0" borderId="0" xfId="0" applyFont="1" applyAlignment="1">
      <alignment horizontal="lef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5" fillId="13" borderId="0" xfId="14" applyFont="1" applyFill="1" applyAlignment="1" applyProtection="1">
      <alignment horizontal="left" vertical="top" wrapText="1"/>
    </xf>
    <xf numFmtId="0" fontId="147" fillId="13" borderId="0" xfId="14" applyFont="1" applyFill="1" applyAlignment="1" applyProtection="1">
      <alignment vertical="top" wrapText="1"/>
    </xf>
    <xf numFmtId="0" fontId="5" fillId="27" borderId="0" xfId="0" applyFont="1" applyFill="1" applyAlignment="1">
      <alignment horizontal="left" vertical="top" wrapText="1"/>
    </xf>
    <xf numFmtId="0" fontId="0" fillId="27" borderId="0" xfId="0" applyFill="1" applyAlignment="1">
      <alignment horizontal="left" vertical="top" wrapText="1"/>
    </xf>
    <xf numFmtId="0" fontId="5" fillId="13" borderId="0" xfId="0" applyFont="1" applyFill="1" applyAlignment="1">
      <alignment horizontal="justify" vertical="top" wrapText="1"/>
    </xf>
    <xf numFmtId="0" fontId="5" fillId="16" borderId="21" xfId="0" applyFont="1" applyFill="1" applyBorder="1" applyAlignment="1">
      <alignment horizontal="left" vertical="top" wrapText="1"/>
    </xf>
    <xf numFmtId="0" fontId="5" fillId="16" borderId="31" xfId="0" applyFont="1" applyFill="1" applyBorder="1" applyAlignment="1">
      <alignment horizontal="left" vertical="top" wrapText="1"/>
    </xf>
    <xf numFmtId="0" fontId="5" fillId="16" borderId="22" xfId="0" applyFont="1" applyFill="1" applyBorder="1" applyAlignment="1">
      <alignment horizontal="left" vertical="top" wrapText="1"/>
    </xf>
    <xf numFmtId="0" fontId="5" fillId="16" borderId="24" xfId="0" applyFont="1" applyFill="1" applyBorder="1" applyAlignment="1">
      <alignment horizontal="left" vertical="top" wrapText="1"/>
    </xf>
    <xf numFmtId="0" fontId="5" fillId="16" borderId="0" xfId="0" applyFont="1" applyFill="1" applyAlignment="1">
      <alignment horizontal="left" vertical="top" wrapText="1"/>
    </xf>
    <xf numFmtId="0" fontId="5" fillId="16" borderId="25" xfId="0" applyFont="1" applyFill="1" applyBorder="1" applyAlignment="1">
      <alignment horizontal="left" vertical="top" wrapText="1"/>
    </xf>
    <xf numFmtId="0" fontId="5" fillId="16" borderId="27" xfId="0" applyFont="1" applyFill="1" applyBorder="1" applyAlignment="1">
      <alignment horizontal="left" vertical="top" wrapText="1"/>
    </xf>
    <xf numFmtId="0" fontId="5" fillId="16" borderId="30" xfId="0" applyFont="1" applyFill="1" applyBorder="1" applyAlignment="1">
      <alignment horizontal="left" vertical="top" wrapText="1"/>
    </xf>
    <xf numFmtId="0" fontId="5" fillId="16" borderId="28" xfId="0" applyFont="1" applyFill="1" applyBorder="1" applyAlignment="1">
      <alignment horizontal="left" vertical="top" wrapText="1"/>
    </xf>
    <xf numFmtId="0" fontId="90" fillId="13" borderId="0" xfId="0" applyFont="1" applyFill="1" applyAlignment="1">
      <alignment horizontal="center" vertical="top" wrapText="1"/>
    </xf>
    <xf numFmtId="0" fontId="90" fillId="0" borderId="0" xfId="0" applyFont="1" applyAlignment="1">
      <alignment horizontal="center" vertical="top" wrapText="1"/>
    </xf>
    <xf numFmtId="0" fontId="160" fillId="13" borderId="0" xfId="0" applyFont="1" applyFill="1" applyAlignment="1">
      <alignment horizontal="left" vertical="top" wrapText="1"/>
    </xf>
    <xf numFmtId="0" fontId="37" fillId="13" borderId="0" xfId="0" applyFont="1" applyFill="1" applyAlignment="1">
      <alignment horizontal="left" vertical="top" wrapText="1"/>
    </xf>
    <xf numFmtId="0" fontId="39" fillId="13" borderId="0" xfId="0" applyFont="1" applyFill="1" applyAlignment="1">
      <alignment vertical="top" wrapText="1"/>
    </xf>
    <xf numFmtId="0" fontId="55" fillId="13" borderId="0" xfId="0" applyFont="1" applyFill="1" applyAlignment="1">
      <alignment horizontal="left" vertical="top" wrapText="1"/>
    </xf>
    <xf numFmtId="0" fontId="69" fillId="13" borderId="0" xfId="0" applyFont="1" applyFill="1" applyAlignment="1">
      <alignment horizontal="justify" vertical="top" wrapText="1"/>
    </xf>
    <xf numFmtId="164" fontId="0" fillId="22" borderId="29" xfId="0" applyNumberFormat="1" applyFill="1" applyBorder="1" applyAlignment="1">
      <alignment vertical="top" wrapText="1"/>
    </xf>
    <xf numFmtId="0" fontId="5" fillId="13" borderId="29" xfId="0" applyFont="1" applyFill="1" applyBorder="1" applyAlignment="1">
      <alignment vertical="top" wrapText="1"/>
    </xf>
    <xf numFmtId="164" fontId="0" fillId="25" borderId="29" xfId="0" applyNumberFormat="1" applyFill="1" applyBorder="1" applyAlignment="1">
      <alignment vertical="top" wrapText="1"/>
    </xf>
    <xf numFmtId="0" fontId="5" fillId="25" borderId="29" xfId="0" applyFont="1" applyFill="1" applyBorder="1" applyAlignment="1">
      <alignment vertical="top" wrapText="1"/>
    </xf>
    <xf numFmtId="0" fontId="7" fillId="48" borderId="13" xfId="0" applyFont="1" applyFill="1" applyBorder="1" applyAlignment="1">
      <alignment horizontal="left" vertical="center" wrapText="1" indent="1"/>
    </xf>
    <xf numFmtId="0" fontId="7" fillId="48" borderId="14" xfId="0" applyFont="1" applyFill="1" applyBorder="1" applyAlignment="1">
      <alignment horizontal="left" vertical="center" wrapText="1" indent="1"/>
    </xf>
    <xf numFmtId="0" fontId="5" fillId="48" borderId="15" xfId="0" applyFont="1" applyFill="1" applyBorder="1" applyAlignment="1">
      <alignment horizontal="left" vertical="center" wrapText="1" indent="1"/>
    </xf>
    <xf numFmtId="0" fontId="7" fillId="13" borderId="0" xfId="14" applyFont="1" applyFill="1" applyAlignment="1" applyProtection="1">
      <alignment horizontal="left" vertical="top" wrapText="1"/>
    </xf>
    <xf numFmtId="0" fontId="5" fillId="13" borderId="0" xfId="14" applyFont="1" applyFill="1" applyAlignment="1" applyProtection="1">
      <alignment vertical="top" wrapText="1"/>
    </xf>
    <xf numFmtId="0" fontId="72" fillId="13" borderId="0" xfId="0" applyFont="1" applyFill="1" applyAlignment="1">
      <alignment horizontal="left" vertical="top" wrapText="1"/>
    </xf>
    <xf numFmtId="0" fontId="35" fillId="13" borderId="0" xfId="0" applyFont="1" applyFill="1" applyAlignment="1">
      <alignment horizontal="left" vertical="top" wrapText="1" indent="2"/>
    </xf>
    <xf numFmtId="0" fontId="52" fillId="15" borderId="0" xfId="0" applyFont="1" applyFill="1" applyAlignment="1">
      <alignment horizontal="left" vertical="center" wrapText="1"/>
    </xf>
    <xf numFmtId="0" fontId="53" fillId="15" borderId="0" xfId="0" applyFont="1" applyFill="1" applyAlignment="1">
      <alignment horizontal="left" vertical="center" wrapText="1"/>
    </xf>
    <xf numFmtId="0" fontId="0" fillId="0" borderId="0" xfId="0" applyAlignment="1">
      <alignment vertical="center" wrapText="1"/>
    </xf>
    <xf numFmtId="0" fontId="5" fillId="48" borderId="13" xfId="0" applyFont="1" applyFill="1" applyBorder="1" applyAlignment="1">
      <alignment horizontal="left" vertical="center" wrapText="1" indent="1"/>
    </xf>
    <xf numFmtId="0" fontId="5" fillId="48" borderId="14" xfId="0" applyFont="1" applyFill="1" applyBorder="1" applyAlignment="1">
      <alignment horizontal="left" vertical="center" wrapText="1" indent="1"/>
    </xf>
    <xf numFmtId="0" fontId="0" fillId="24" borderId="29" xfId="0" applyFill="1" applyBorder="1" applyAlignment="1">
      <alignment vertical="top" wrapText="1"/>
    </xf>
    <xf numFmtId="0" fontId="50" fillId="13" borderId="30" xfId="0" applyFont="1" applyFill="1" applyBorder="1" applyAlignment="1">
      <alignment vertical="top" wrapText="1"/>
    </xf>
    <xf numFmtId="0" fontId="56" fillId="13" borderId="0" xfId="0" applyFont="1" applyFill="1" applyAlignment="1">
      <alignment horizontal="left" vertical="top" wrapText="1"/>
    </xf>
    <xf numFmtId="0" fontId="158" fillId="46" borderId="0" xfId="18" applyFont="1" applyFill="1" applyAlignment="1">
      <alignment vertical="center" wrapText="1"/>
    </xf>
    <xf numFmtId="0" fontId="9" fillId="22" borderId="7" xfId="18" applyFont="1" applyFill="1" applyBorder="1" applyAlignment="1" applyProtection="1">
      <alignment horizontal="left" vertical="top" wrapText="1"/>
      <protection locked="0"/>
    </xf>
    <xf numFmtId="0" fontId="9" fillId="22" borderId="32" xfId="18" applyFont="1" applyFill="1" applyBorder="1" applyAlignment="1" applyProtection="1">
      <alignment horizontal="left" vertical="top" wrapText="1"/>
      <protection locked="0"/>
    </xf>
    <xf numFmtId="0" fontId="9" fillId="22" borderId="8" xfId="18" applyFont="1" applyFill="1" applyBorder="1" applyAlignment="1" applyProtection="1">
      <alignment horizontal="left" vertical="top" wrapText="1"/>
      <protection locked="0"/>
    </xf>
    <xf numFmtId="0" fontId="14" fillId="13" borderId="0" xfId="18" applyFont="1" applyFill="1" applyAlignment="1">
      <alignment horizontal="left" vertical="top" wrapText="1"/>
    </xf>
    <xf numFmtId="0" fontId="7" fillId="13" borderId="0" xfId="18" applyFont="1" applyFill="1" applyAlignment="1">
      <alignment horizontal="left" vertical="top" wrapText="1"/>
    </xf>
    <xf numFmtId="0" fontId="9" fillId="22" borderId="7" xfId="18" applyFont="1" applyFill="1" applyBorder="1" applyAlignment="1" applyProtection="1">
      <alignment horizontal="left" vertical="top"/>
      <protection locked="0"/>
    </xf>
    <xf numFmtId="0" fontId="9" fillId="22" borderId="32" xfId="18" applyFont="1" applyFill="1" applyBorder="1" applyAlignment="1" applyProtection="1">
      <alignment horizontal="left" vertical="top"/>
      <protection locked="0"/>
    </xf>
    <xf numFmtId="0" fontId="9" fillId="22" borderId="8" xfId="18" applyFont="1" applyFill="1" applyBorder="1" applyAlignment="1" applyProtection="1">
      <alignment horizontal="left" vertical="top"/>
      <protection locked="0"/>
    </xf>
    <xf numFmtId="0" fontId="7" fillId="13" borderId="0" xfId="18" applyFont="1" applyFill="1" applyAlignment="1">
      <alignment horizontal="left" vertical="center" wrapText="1"/>
    </xf>
    <xf numFmtId="0" fontId="7" fillId="22" borderId="7" xfId="18" applyFont="1" applyFill="1" applyBorder="1" applyAlignment="1" applyProtection="1">
      <alignment horizontal="left" vertical="center" indent="1"/>
      <protection locked="0"/>
    </xf>
    <xf numFmtId="0" fontId="7" fillId="22" borderId="32" xfId="18" applyFont="1" applyFill="1" applyBorder="1" applyAlignment="1" applyProtection="1">
      <alignment horizontal="left" vertical="center" indent="1"/>
      <protection locked="0"/>
    </xf>
    <xf numFmtId="0" fontId="7" fillId="22" borderId="8" xfId="18" applyFont="1" applyFill="1" applyBorder="1" applyAlignment="1" applyProtection="1">
      <alignment horizontal="left" vertical="center" indent="1"/>
      <protection locked="0"/>
    </xf>
    <xf numFmtId="0" fontId="5" fillId="0" borderId="0" xfId="18" applyAlignment="1">
      <alignment wrapText="1"/>
    </xf>
    <xf numFmtId="0" fontId="5" fillId="0" borderId="32" xfId="18" applyBorder="1" applyProtection="1">
      <protection locked="0"/>
    </xf>
    <xf numFmtId="0" fontId="5" fillId="0" borderId="8" xfId="18" applyBorder="1" applyProtection="1">
      <protection locked="0"/>
    </xf>
    <xf numFmtId="0" fontId="9" fillId="36" borderId="7" xfId="18" applyFont="1" applyFill="1" applyBorder="1" applyAlignment="1" applyProtection="1">
      <alignment horizontal="left" vertical="top"/>
      <protection locked="0"/>
    </xf>
    <xf numFmtId="0" fontId="9" fillId="36" borderId="32" xfId="18" applyFont="1" applyFill="1" applyBorder="1" applyAlignment="1" applyProtection="1">
      <alignment horizontal="left" vertical="top"/>
      <protection locked="0"/>
    </xf>
    <xf numFmtId="0" fontId="9" fillId="36" borderId="8" xfId="18" applyFont="1" applyFill="1" applyBorder="1" applyAlignment="1" applyProtection="1">
      <alignment horizontal="left" vertical="top"/>
      <protection locked="0"/>
    </xf>
    <xf numFmtId="0" fontId="59" fillId="13" borderId="0" xfId="18" applyFont="1" applyFill="1" applyAlignment="1">
      <alignment horizontal="left" vertical="top" wrapText="1"/>
    </xf>
    <xf numFmtId="0" fontId="7" fillId="0" borderId="0" xfId="18" applyFont="1" applyAlignment="1">
      <alignment wrapText="1"/>
    </xf>
    <xf numFmtId="0" fontId="7" fillId="13" borderId="0" xfId="18" applyFont="1" applyFill="1" applyAlignment="1">
      <alignment vertical="top"/>
    </xf>
    <xf numFmtId="0" fontId="7" fillId="13" borderId="0" xfId="18" applyFont="1" applyFill="1" applyAlignment="1">
      <alignment vertical="top" wrapText="1"/>
    </xf>
    <xf numFmtId="0" fontId="8" fillId="13" borderId="0" xfId="18" applyFont="1" applyFill="1" applyAlignment="1">
      <alignment horizontal="left" vertical="top" wrapText="1"/>
    </xf>
    <xf numFmtId="0" fontId="9" fillId="22" borderId="7" xfId="0" applyFont="1" applyFill="1" applyBorder="1" applyAlignment="1" applyProtection="1">
      <alignment horizontal="left" vertical="top"/>
      <protection locked="0"/>
    </xf>
    <xf numFmtId="0" fontId="9" fillId="22" borderId="32" xfId="0" applyFont="1" applyFill="1" applyBorder="1" applyAlignment="1" applyProtection="1">
      <alignment horizontal="left" vertical="top"/>
      <protection locked="0"/>
    </xf>
    <xf numFmtId="0" fontId="9" fillId="22" borderId="8" xfId="0" applyFont="1" applyFill="1" applyBorder="1" applyAlignment="1" applyProtection="1">
      <alignment horizontal="left" vertical="top"/>
      <protection locked="0"/>
    </xf>
    <xf numFmtId="0" fontId="8" fillId="13" borderId="0" xfId="18" applyFont="1" applyFill="1" applyAlignment="1">
      <alignment vertical="top" wrapText="1"/>
    </xf>
    <xf numFmtId="0" fontId="11" fillId="0" borderId="0" xfId="14" applyFill="1" applyAlignment="1" applyProtection="1">
      <alignment horizontal="left"/>
    </xf>
    <xf numFmtId="0" fontId="5" fillId="0" borderId="0" xfId="18"/>
    <xf numFmtId="0" fontId="5" fillId="0" borderId="0" xfId="18" applyAlignment="1">
      <alignment horizontal="left" vertical="top" wrapText="1"/>
    </xf>
    <xf numFmtId="0" fontId="5" fillId="0" borderId="25" xfId="18" applyBorder="1" applyAlignment="1">
      <alignment horizontal="left" vertical="top" wrapText="1"/>
    </xf>
    <xf numFmtId="0" fontId="7" fillId="13" borderId="0" xfId="0" applyFont="1" applyFill="1" applyAlignment="1">
      <alignment horizontal="left" vertical="top"/>
    </xf>
    <xf numFmtId="0" fontId="0" fillId="0" borderId="0" xfId="0" applyAlignment="1">
      <alignment horizontal="left" vertical="top"/>
    </xf>
    <xf numFmtId="0" fontId="0" fillId="0" borderId="25" xfId="0" applyBorder="1" applyAlignment="1">
      <alignment horizontal="left" vertical="top"/>
    </xf>
    <xf numFmtId="0" fontId="7" fillId="13" borderId="0" xfId="18" applyFont="1" applyFill="1" applyAlignment="1">
      <alignment horizontal="left" vertical="top"/>
    </xf>
    <xf numFmtId="0" fontId="14" fillId="13" borderId="0" xfId="18" applyFont="1" applyFill="1" applyAlignment="1">
      <alignment vertical="top" wrapText="1"/>
    </xf>
    <xf numFmtId="0" fontId="8" fillId="27" borderId="0" xfId="0" applyFont="1" applyFill="1" applyAlignment="1">
      <alignment horizontal="left" vertical="top" wrapText="1"/>
    </xf>
    <xf numFmtId="1" fontId="10" fillId="28" borderId="7" xfId="0" applyNumberFormat="1" applyFont="1" applyFill="1" applyBorder="1" applyAlignment="1" applyProtection="1">
      <alignment horizontal="left" vertical="top"/>
      <protection locked="0"/>
    </xf>
    <xf numFmtId="1" fontId="10" fillId="28" borderId="8" xfId="0" applyNumberFormat="1" applyFont="1" applyFill="1" applyBorder="1" applyAlignment="1" applyProtection="1">
      <alignment horizontal="left" vertical="top"/>
      <protection locked="0"/>
    </xf>
    <xf numFmtId="0" fontId="48" fillId="0" borderId="0" xfId="18" applyFont="1" applyAlignment="1">
      <alignment horizontal="left" vertical="top" wrapText="1"/>
    </xf>
    <xf numFmtId="0" fontId="8" fillId="0" borderId="0" xfId="18" applyFont="1" applyAlignment="1">
      <alignment horizontal="left" vertical="top" wrapText="1"/>
    </xf>
    <xf numFmtId="0" fontId="48" fillId="0" borderId="0" xfId="18" applyFont="1" applyAlignment="1">
      <alignment horizontal="left" vertical="center" wrapText="1"/>
    </xf>
    <xf numFmtId="0" fontId="0" fillId="0" borderId="0" xfId="0" applyAlignment="1">
      <alignment horizontal="left" vertical="center" wrapText="1"/>
    </xf>
    <xf numFmtId="0" fontId="7" fillId="0" borderId="0" xfId="18" applyFont="1" applyAlignment="1">
      <alignment horizontal="left" vertical="top" wrapText="1"/>
    </xf>
    <xf numFmtId="0" fontId="14" fillId="13" borderId="0" xfId="0" applyFont="1" applyFill="1" applyAlignment="1">
      <alignment horizontal="left" vertical="top" wrapText="1"/>
    </xf>
    <xf numFmtId="0" fontId="59" fillId="13" borderId="0" xfId="0" applyFont="1" applyFill="1" applyAlignment="1">
      <alignment horizontal="left" vertical="top" wrapText="1"/>
    </xf>
    <xf numFmtId="49" fontId="9" fillId="28" borderId="7" xfId="18" quotePrefix="1" applyNumberFormat="1" applyFont="1" applyFill="1" applyBorder="1" applyAlignment="1" applyProtection="1">
      <alignment horizontal="left" vertical="top"/>
      <protection locked="0"/>
    </xf>
    <xf numFmtId="49" fontId="9" fillId="28" borderId="8" xfId="18" quotePrefix="1" applyNumberFormat="1" applyFont="1" applyFill="1" applyBorder="1" applyAlignment="1" applyProtection="1">
      <alignment horizontal="left" vertical="top"/>
      <protection locked="0"/>
    </xf>
    <xf numFmtId="0" fontId="7" fillId="13" borderId="25" xfId="0" applyFont="1" applyFill="1" applyBorder="1" applyAlignment="1">
      <alignment vertical="top" wrapText="1"/>
    </xf>
    <xf numFmtId="0" fontId="9" fillId="28" borderId="29" xfId="18" applyFont="1" applyFill="1" applyBorder="1" applyAlignment="1" applyProtection="1">
      <alignment horizontal="left" vertical="top" wrapText="1"/>
      <protection locked="0"/>
    </xf>
    <xf numFmtId="0" fontId="9" fillId="27" borderId="29" xfId="18" applyFont="1" applyFill="1" applyBorder="1" applyAlignment="1">
      <alignment horizontal="left" vertical="top" wrapText="1"/>
    </xf>
    <xf numFmtId="0" fontId="10" fillId="13" borderId="29" xfId="18" applyFont="1" applyFill="1" applyBorder="1" applyAlignment="1">
      <alignment horizontal="left" vertical="top" wrapText="1"/>
    </xf>
    <xf numFmtId="0" fontId="59" fillId="13" borderId="78" xfId="18" applyFont="1" applyFill="1" applyBorder="1" applyAlignment="1">
      <alignment horizontal="left" vertical="top" wrapText="1"/>
    </xf>
    <xf numFmtId="0" fontId="0" fillId="0" borderId="73" xfId="0" applyBorder="1" applyAlignment="1">
      <alignment horizontal="left" vertical="top" wrapText="1"/>
    </xf>
    <xf numFmtId="0" fontId="14" fillId="13" borderId="73" xfId="0" applyFont="1" applyFill="1" applyBorder="1" applyAlignment="1">
      <alignment horizontal="left" vertical="top" wrapText="1"/>
    </xf>
    <xf numFmtId="0" fontId="0" fillId="0" borderId="83" xfId="0" applyBorder="1" applyAlignment="1">
      <alignment horizontal="left" vertical="top" wrapText="1"/>
    </xf>
    <xf numFmtId="0" fontId="9" fillId="28" borderId="29" xfId="18" quotePrefix="1" applyFont="1" applyFill="1" applyBorder="1" applyAlignment="1" applyProtection="1">
      <alignment horizontal="left" vertical="top" wrapText="1"/>
      <protection locked="0"/>
    </xf>
    <xf numFmtId="0" fontId="10" fillId="13" borderId="29" xfId="0" applyFont="1" applyFill="1" applyBorder="1" applyAlignment="1">
      <alignment horizontal="left" vertical="top" wrapText="1"/>
    </xf>
    <xf numFmtId="0" fontId="133" fillId="25" borderId="7" xfId="18" applyFont="1" applyFill="1" applyBorder="1" applyAlignment="1">
      <alignment horizontal="left" vertical="top"/>
    </xf>
    <xf numFmtId="0" fontId="0" fillId="0" borderId="8" xfId="0" applyBorder="1" applyAlignment="1">
      <alignment horizontal="left" vertical="top"/>
    </xf>
    <xf numFmtId="2" fontId="10" fillId="22" borderId="29" xfId="18" applyNumberFormat="1" applyFont="1"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59" fillId="13" borderId="0" xfId="18" applyFont="1" applyFill="1" applyAlignment="1">
      <alignment vertical="top" wrapText="1"/>
    </xf>
    <xf numFmtId="0" fontId="59" fillId="13" borderId="0" xfId="0" applyFont="1" applyFill="1" applyAlignment="1">
      <alignment vertical="top" wrapText="1"/>
    </xf>
    <xf numFmtId="0" fontId="59" fillId="13" borderId="33" xfId="18" applyFont="1" applyFill="1" applyBorder="1" applyAlignment="1">
      <alignment horizontal="left" vertical="top" wrapText="1"/>
    </xf>
    <xf numFmtId="0" fontId="0" fillId="0" borderId="78" xfId="0" applyBorder="1" applyAlignment="1">
      <alignment horizontal="left" vertical="top" wrapText="1"/>
    </xf>
    <xf numFmtId="0" fontId="9" fillId="22" borderId="7" xfId="18" applyFont="1" applyFill="1" applyBorder="1" applyAlignment="1" applyProtection="1">
      <alignment vertical="top" wrapText="1"/>
      <protection locked="0"/>
    </xf>
    <xf numFmtId="0" fontId="5" fillId="0" borderId="8" xfId="0" applyFont="1" applyBorder="1" applyAlignment="1" applyProtection="1">
      <alignment vertical="top" wrapText="1"/>
      <protection locked="0"/>
    </xf>
    <xf numFmtId="0" fontId="10" fillId="0" borderId="29" xfId="18" applyFont="1" applyBorder="1" applyAlignment="1">
      <alignment horizontal="left" vertical="top" wrapText="1"/>
    </xf>
    <xf numFmtId="0" fontId="8" fillId="0" borderId="30" xfId="18" applyFont="1" applyBorder="1" applyAlignment="1">
      <alignment horizontal="left" vertical="top" wrapText="1"/>
    </xf>
    <xf numFmtId="0" fontId="0" fillId="0" borderId="30" xfId="0" applyBorder="1" applyAlignment="1">
      <alignment horizontal="left" vertical="top" wrapText="1"/>
    </xf>
    <xf numFmtId="2" fontId="9" fillId="22" borderId="29" xfId="18" applyNumberFormat="1" applyFont="1" applyFill="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14" fillId="13" borderId="83" xfId="0" applyFont="1" applyFill="1" applyBorder="1" applyAlignment="1">
      <alignment horizontal="left" vertical="top" wrapText="1"/>
    </xf>
    <xf numFmtId="0" fontId="0" fillId="0" borderId="33" xfId="0" applyBorder="1" applyAlignment="1">
      <alignment horizontal="left" vertical="top" wrapText="1"/>
    </xf>
    <xf numFmtId="0" fontId="5" fillId="13" borderId="7" xfId="18" applyFill="1" applyBorder="1" applyAlignment="1">
      <alignment vertical="top" wrapText="1"/>
    </xf>
    <xf numFmtId="0" fontId="5" fillId="13" borderId="32" xfId="0" applyFont="1" applyFill="1" applyBorder="1" applyAlignment="1">
      <alignment vertical="top" wrapText="1"/>
    </xf>
    <xf numFmtId="0" fontId="9" fillId="13" borderId="29" xfId="0" applyFont="1" applyFill="1" applyBorder="1" applyAlignment="1">
      <alignment horizontal="left" vertical="top" wrapText="1"/>
    </xf>
    <xf numFmtId="0" fontId="5" fillId="0" borderId="29" xfId="0" applyFont="1" applyBorder="1" applyAlignment="1">
      <alignment horizontal="left" vertical="top" wrapText="1"/>
    </xf>
    <xf numFmtId="0" fontId="9" fillId="25" borderId="7" xfId="18" applyFont="1" applyFill="1" applyBorder="1" applyAlignment="1">
      <alignment horizontal="left" vertical="top" wrapText="1"/>
    </xf>
    <xf numFmtId="0" fontId="0" fillId="0" borderId="8" xfId="0" applyBorder="1" applyAlignment="1">
      <alignment horizontal="left" vertical="top" wrapText="1"/>
    </xf>
    <xf numFmtId="0" fontId="134" fillId="0" borderId="0" xfId="18" applyFont="1" applyAlignment="1">
      <alignment horizontal="left" vertical="top" wrapText="1"/>
    </xf>
    <xf numFmtId="0" fontId="9" fillId="27" borderId="29" xfId="18" applyFont="1" applyFill="1" applyBorder="1" applyAlignment="1">
      <alignment vertical="top" wrapText="1"/>
    </xf>
    <xf numFmtId="2" fontId="10" fillId="27" borderId="29" xfId="18" applyNumberFormat="1" applyFont="1" applyFill="1" applyBorder="1" applyAlignment="1">
      <alignment horizontal="left" vertical="top" wrapText="1"/>
    </xf>
    <xf numFmtId="0" fontId="134" fillId="0" borderId="75" xfId="18" applyFont="1" applyBorder="1" applyAlignment="1">
      <alignment horizontal="left" vertical="top" wrapText="1"/>
    </xf>
    <xf numFmtId="0" fontId="85" fillId="0" borderId="75" xfId="0" applyFont="1" applyBorder="1" applyAlignment="1">
      <alignment horizontal="left" vertical="top" wrapText="1"/>
    </xf>
    <xf numFmtId="0" fontId="147" fillId="13" borderId="75" xfId="14" applyFont="1" applyFill="1" applyBorder="1" applyAlignment="1" applyProtection="1">
      <alignment vertical="top" wrapText="1"/>
    </xf>
    <xf numFmtId="0" fontId="134" fillId="0" borderId="31" xfId="18" applyFont="1" applyBorder="1" applyAlignment="1">
      <alignment horizontal="left" vertical="top" wrapText="1"/>
    </xf>
    <xf numFmtId="0" fontId="9" fillId="22" borderId="29" xfId="18" applyFont="1" applyFill="1" applyBorder="1" applyAlignment="1" applyProtection="1">
      <alignment vertical="top" wrapText="1"/>
      <protection locked="0"/>
    </xf>
    <xf numFmtId="0" fontId="10" fillId="0" borderId="7" xfId="18" applyFont="1" applyBorder="1" applyAlignment="1">
      <alignment horizontal="left" vertical="top" wrapText="1"/>
    </xf>
    <xf numFmtId="0" fontId="9" fillId="0" borderId="7" xfId="18" applyFont="1" applyBorder="1" applyAlignment="1">
      <alignment horizontal="left" vertical="top" wrapText="1"/>
    </xf>
    <xf numFmtId="0" fontId="0" fillId="0" borderId="32" xfId="0" applyBorder="1" applyAlignment="1">
      <alignment horizontal="left" vertical="top" wrapText="1"/>
    </xf>
    <xf numFmtId="0" fontId="139" fillId="0" borderId="0" xfId="18" applyFont="1" applyAlignment="1">
      <alignment horizontal="left" vertical="top" wrapText="1"/>
    </xf>
    <xf numFmtId="2" fontId="9" fillId="22" borderId="55" xfId="18" applyNumberFormat="1" applyFont="1" applyFill="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9" fillId="13" borderId="26" xfId="0" applyFont="1" applyFill="1" applyBorder="1" applyAlignment="1">
      <alignment horizontal="left" vertical="top" wrapText="1"/>
    </xf>
    <xf numFmtId="0" fontId="5" fillId="0" borderId="26" xfId="0" applyFont="1" applyBorder="1" applyAlignment="1">
      <alignment horizontal="left" vertical="top" wrapText="1"/>
    </xf>
    <xf numFmtId="0" fontId="5" fillId="0" borderId="0" xfId="18" applyAlignment="1">
      <alignment vertical="top" wrapText="1"/>
    </xf>
    <xf numFmtId="0" fontId="5" fillId="0" borderId="25" xfId="18" applyBorder="1" applyAlignment="1">
      <alignment vertical="top" wrapText="1"/>
    </xf>
    <xf numFmtId="0" fontId="48" fillId="0" borderId="30" xfId="18" applyFont="1" applyBorder="1" applyAlignment="1">
      <alignment horizontal="left" vertical="top" wrapText="1"/>
    </xf>
    <xf numFmtId="0" fontId="0" fillId="0" borderId="79" xfId="0" applyBorder="1" applyAlignment="1">
      <alignment horizontal="left" vertical="top" wrapText="1"/>
    </xf>
    <xf numFmtId="0" fontId="10" fillId="22" borderId="21" xfId="18" applyFont="1" applyFill="1" applyBorder="1" applyAlignment="1" applyProtection="1">
      <alignment horizontal="left" vertical="top" wrapText="1"/>
      <protection locked="0"/>
    </xf>
    <xf numFmtId="0" fontId="10" fillId="22" borderId="31" xfId="18"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0" fillId="0" borderId="22" xfId="0" applyBorder="1" applyAlignment="1">
      <alignment horizontal="left" vertical="top" wrapText="1"/>
    </xf>
    <xf numFmtId="0" fontId="10" fillId="22" borderId="24" xfId="18" applyFont="1" applyFill="1" applyBorder="1" applyAlignment="1" applyProtection="1">
      <alignment horizontal="left" vertical="top" wrapText="1"/>
      <protection locked="0"/>
    </xf>
    <xf numFmtId="0" fontId="10" fillId="22" borderId="0" xfId="18" applyFont="1" applyFill="1" applyAlignment="1" applyProtection="1">
      <alignment horizontal="left" vertical="top" wrapText="1"/>
      <protection locked="0"/>
    </xf>
    <xf numFmtId="0" fontId="0" fillId="0" borderId="25" xfId="0" applyBorder="1" applyAlignment="1">
      <alignment horizontal="left" vertical="top" wrapText="1"/>
    </xf>
    <xf numFmtId="0" fontId="10" fillId="22" borderId="27" xfId="18" applyFont="1" applyFill="1" applyBorder="1" applyAlignment="1" applyProtection="1">
      <alignment horizontal="left" vertical="top" wrapText="1"/>
      <protection locked="0"/>
    </xf>
    <xf numFmtId="0" fontId="10" fillId="22" borderId="30" xfId="18" applyFont="1" applyFill="1" applyBorder="1" applyAlignment="1" applyProtection="1">
      <alignment horizontal="left" vertical="top" wrapText="1"/>
      <protection locked="0"/>
    </xf>
    <xf numFmtId="0" fontId="0" fillId="0" borderId="28" xfId="0" applyBorder="1" applyAlignment="1">
      <alignment horizontal="left" vertical="top" wrapText="1"/>
    </xf>
    <xf numFmtId="164" fontId="5" fillId="22" borderId="21" xfId="18" applyNumberFormat="1" applyFill="1" applyBorder="1" applyAlignment="1" applyProtection="1">
      <alignment horizontal="left" vertical="top" wrapText="1"/>
      <protection locked="0"/>
    </xf>
    <xf numFmtId="164" fontId="5" fillId="22" borderId="7" xfId="18" applyNumberFormat="1" applyFill="1" applyBorder="1" applyAlignment="1" applyProtection="1">
      <alignment horizontal="left" vertical="top" wrapText="1"/>
      <protection locked="0"/>
    </xf>
    <xf numFmtId="164" fontId="5" fillId="25" borderId="27" xfId="18" applyNumberFormat="1" applyFill="1" applyBorder="1" applyAlignment="1">
      <alignment horizontal="left" vertical="top" wrapText="1"/>
    </xf>
    <xf numFmtId="0" fontId="7" fillId="0" borderId="0" xfId="18" applyFont="1" applyAlignment="1">
      <alignment vertical="top" wrapText="1"/>
    </xf>
    <xf numFmtId="0" fontId="7" fillId="13" borderId="30" xfId="18" applyFont="1" applyFill="1" applyBorder="1" applyAlignment="1">
      <alignment horizontal="left" vertical="top" wrapText="1"/>
    </xf>
    <xf numFmtId="0" fontId="10" fillId="0" borderId="29" xfId="18" applyFont="1" applyBorder="1" applyAlignment="1">
      <alignment vertical="top" wrapText="1"/>
    </xf>
    <xf numFmtId="0" fontId="5" fillId="0" borderId="29" xfId="18" applyBorder="1" applyAlignment="1">
      <alignment vertical="top" wrapText="1"/>
    </xf>
    <xf numFmtId="0" fontId="9" fillId="0" borderId="29" xfId="18" applyFont="1" applyBorder="1" applyAlignment="1">
      <alignment vertical="top" wrapText="1"/>
    </xf>
    <xf numFmtId="0" fontId="49" fillId="13" borderId="44" xfId="18" applyFont="1" applyFill="1" applyBorder="1" applyAlignment="1">
      <alignment horizontal="left" vertical="top" wrapText="1"/>
    </xf>
    <xf numFmtId="0" fontId="49" fillId="13" borderId="42" xfId="18" applyFont="1" applyFill="1" applyBorder="1" applyAlignment="1">
      <alignment horizontal="left" vertical="top" wrapText="1"/>
    </xf>
    <xf numFmtId="0" fontId="49" fillId="13" borderId="51" xfId="18" applyFont="1" applyFill="1" applyBorder="1" applyAlignment="1">
      <alignment horizontal="left" vertical="top" wrapText="1"/>
    </xf>
    <xf numFmtId="0" fontId="7" fillId="13" borderId="45" xfId="18" applyFont="1" applyFill="1" applyBorder="1" applyAlignment="1">
      <alignment horizontal="left" vertical="top" wrapText="1"/>
    </xf>
    <xf numFmtId="0" fontId="7" fillId="13" borderId="43" xfId="0" applyFont="1" applyFill="1" applyBorder="1" applyAlignment="1">
      <alignment horizontal="left" vertical="top" wrapText="1"/>
    </xf>
    <xf numFmtId="0" fontId="0" fillId="0" borderId="84" xfId="0" applyBorder="1" applyAlignment="1">
      <alignment horizontal="left" vertical="top" wrapText="1"/>
    </xf>
    <xf numFmtId="0" fontId="5" fillId="13" borderId="7" xfId="18" applyFill="1" applyBorder="1" applyAlignment="1">
      <alignment horizontal="left" vertical="top" wrapText="1"/>
    </xf>
    <xf numFmtId="0" fontId="5" fillId="13" borderId="32" xfId="18" applyFill="1" applyBorder="1" applyAlignment="1">
      <alignment horizontal="left" vertical="top" wrapText="1"/>
    </xf>
    <xf numFmtId="0" fontId="5" fillId="13" borderId="8" xfId="18" applyFill="1" applyBorder="1" applyAlignment="1">
      <alignment horizontal="left" vertical="top" wrapText="1"/>
    </xf>
    <xf numFmtId="2" fontId="9" fillId="22" borderId="26" xfId="18" applyNumberFormat="1" applyFont="1" applyFill="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9" fillId="13" borderId="75" xfId="18" applyFont="1" applyFill="1" applyBorder="1" applyAlignment="1">
      <alignment horizontal="left" vertical="top" wrapText="1"/>
    </xf>
    <xf numFmtId="0" fontId="0" fillId="0" borderId="77" xfId="0" applyBorder="1" applyAlignment="1">
      <alignment horizontal="left" vertical="top" wrapText="1"/>
    </xf>
    <xf numFmtId="0" fontId="14" fillId="13" borderId="82" xfId="0" applyFont="1" applyFill="1" applyBorder="1" applyAlignment="1">
      <alignment horizontal="left" vertical="top" wrapText="1"/>
    </xf>
    <xf numFmtId="0" fontId="0" fillId="0" borderId="76" xfId="0" applyBorder="1" applyAlignment="1">
      <alignment horizontal="left" vertical="top" wrapText="1"/>
    </xf>
    <xf numFmtId="0" fontId="9" fillId="22" borderId="55" xfId="18" applyFont="1" applyFill="1" applyBorder="1" applyAlignment="1" applyProtection="1">
      <alignment vertical="top" wrapText="1"/>
      <protection locked="0"/>
    </xf>
    <xf numFmtId="0" fontId="9" fillId="22" borderId="26" xfId="18" applyFont="1" applyFill="1" applyBorder="1" applyAlignment="1" applyProtection="1">
      <alignment vertical="top" wrapText="1"/>
      <protection locked="0"/>
    </xf>
    <xf numFmtId="0" fontId="11" fillId="0" borderId="0" xfId="14" applyFill="1" applyAlignment="1" applyProtection="1">
      <alignment horizontal="left" vertical="top"/>
    </xf>
    <xf numFmtId="0" fontId="9" fillId="27" borderId="29" xfId="18" quotePrefix="1" applyFont="1" applyFill="1" applyBorder="1" applyAlignment="1">
      <alignment horizontal="left" vertical="top" wrapText="1"/>
    </xf>
    <xf numFmtId="0" fontId="9" fillId="0" borderId="7" xfId="18" applyFont="1" applyBorder="1" applyAlignment="1">
      <alignment vertical="top" wrapText="1"/>
    </xf>
    <xf numFmtId="0" fontId="9" fillId="0" borderId="8" xfId="18" applyFont="1" applyBorder="1" applyAlignment="1">
      <alignment vertical="top" wrapText="1"/>
    </xf>
    <xf numFmtId="0" fontId="7" fillId="25" borderId="7" xfId="18" applyFont="1" applyFill="1" applyBorder="1" applyAlignment="1">
      <alignment horizontal="left" vertical="top"/>
    </xf>
    <xf numFmtId="0" fontId="7" fillId="25" borderId="8" xfId="18" applyFont="1" applyFill="1" applyBorder="1" applyAlignment="1">
      <alignment horizontal="left" vertical="top"/>
    </xf>
    <xf numFmtId="0" fontId="87" fillId="27" borderId="0" xfId="18" applyFont="1" applyFill="1" applyAlignment="1">
      <alignment vertical="top"/>
    </xf>
    <xf numFmtId="0" fontId="49" fillId="13" borderId="27" xfId="18" applyFont="1" applyFill="1" applyBorder="1" applyAlignment="1">
      <alignment horizontal="left" vertical="top" wrapText="1"/>
    </xf>
    <xf numFmtId="0" fontId="49" fillId="13" borderId="30" xfId="18" applyFont="1" applyFill="1" applyBorder="1" applyAlignment="1">
      <alignment horizontal="left" vertical="top" wrapText="1"/>
    </xf>
    <xf numFmtId="0" fontId="49" fillId="13" borderId="28" xfId="18" applyFont="1" applyFill="1" applyBorder="1" applyAlignment="1">
      <alignment horizontal="left" vertical="top" wrapText="1"/>
    </xf>
    <xf numFmtId="0" fontId="7" fillId="13" borderId="21" xfId="18" applyFont="1" applyFill="1" applyBorder="1" applyAlignment="1">
      <alignment horizontal="left" vertical="top" wrapText="1"/>
    </xf>
    <xf numFmtId="0" fontId="7" fillId="13" borderId="31" xfId="0" applyFont="1" applyFill="1" applyBorder="1" applyAlignment="1">
      <alignment horizontal="left" vertical="top" wrapText="1"/>
    </xf>
    <xf numFmtId="0" fontId="0" fillId="0" borderId="122" xfId="0" applyBorder="1" applyAlignment="1">
      <alignment horizontal="left" vertical="top" wrapText="1"/>
    </xf>
    <xf numFmtId="0" fontId="6" fillId="47" borderId="0" xfId="18" applyFont="1" applyFill="1" applyAlignment="1">
      <alignment horizontal="left" vertical="top" wrapText="1"/>
    </xf>
    <xf numFmtId="0" fontId="0" fillId="47" borderId="0" xfId="0" applyFill="1" applyAlignment="1">
      <alignment horizontal="left" vertical="top" wrapText="1"/>
    </xf>
    <xf numFmtId="0" fontId="14" fillId="13" borderId="75" xfId="18" applyFont="1" applyFill="1" applyBorder="1" applyAlignment="1">
      <alignment horizontal="left" vertical="top" wrapText="1"/>
    </xf>
    <xf numFmtId="0" fontId="43" fillId="13" borderId="75" xfId="0" applyFont="1" applyFill="1" applyBorder="1" applyAlignment="1">
      <alignment horizontal="left" vertical="top" wrapText="1"/>
    </xf>
    <xf numFmtId="0" fontId="9" fillId="27" borderId="7" xfId="18" applyFont="1" applyFill="1" applyBorder="1" applyAlignment="1">
      <alignment horizontal="left" vertical="top" wrapText="1"/>
    </xf>
    <xf numFmtId="0" fontId="10" fillId="0" borderId="21" xfId="18" applyFont="1" applyBorder="1" applyAlignment="1">
      <alignment horizontal="center" vertical="center" wrapText="1"/>
    </xf>
    <xf numFmtId="0" fontId="10" fillId="0" borderId="27" xfId="18" applyFont="1" applyBorder="1" applyAlignment="1">
      <alignment horizontal="center" vertical="center" wrapText="1"/>
    </xf>
    <xf numFmtId="0" fontId="58" fillId="0" borderId="47" xfId="18" applyFont="1" applyBorder="1" applyAlignment="1">
      <alignment horizontal="center" vertical="center" wrapText="1"/>
    </xf>
    <xf numFmtId="0" fontId="35" fillId="0" borderId="65" xfId="0" applyFont="1" applyBorder="1" applyAlignment="1">
      <alignment vertical="center" wrapText="1"/>
    </xf>
    <xf numFmtId="0" fontId="10" fillId="0" borderId="29" xfId="18" applyFont="1" applyBorder="1" applyAlignment="1">
      <alignment horizontal="center" vertical="top"/>
    </xf>
    <xf numFmtId="0" fontId="9" fillId="0" borderId="29" xfId="18" applyFont="1" applyBorder="1" applyAlignment="1">
      <alignment horizontal="center" vertical="top"/>
    </xf>
    <xf numFmtId="0" fontId="58" fillId="0" borderId="29" xfId="18" applyFont="1" applyBorder="1" applyAlignment="1">
      <alignment horizontal="left" vertical="top" wrapText="1" indent="1"/>
    </xf>
    <xf numFmtId="0" fontId="9" fillId="0" borderId="29" xfId="18" applyFont="1" applyBorder="1" applyAlignment="1">
      <alignment horizontal="left" vertical="top" wrapText="1" indent="1"/>
    </xf>
    <xf numFmtId="0" fontId="45" fillId="0" borderId="29" xfId="18" applyFont="1" applyBorder="1" applyAlignment="1">
      <alignment horizontal="left" vertical="top" wrapText="1" indent="2"/>
    </xf>
    <xf numFmtId="0" fontId="9" fillId="0" borderId="29" xfId="18" applyFont="1" applyBorder="1" applyAlignment="1">
      <alignment horizontal="left" vertical="top" wrapText="1" indent="2"/>
    </xf>
    <xf numFmtId="0" fontId="10" fillId="0" borderId="26" xfId="18" applyFont="1" applyBorder="1" applyAlignment="1">
      <alignment vertical="top" wrapText="1"/>
    </xf>
    <xf numFmtId="0" fontId="9" fillId="0" borderId="26" xfId="18" applyFont="1" applyBorder="1" applyAlignment="1">
      <alignment vertical="top" wrapText="1"/>
    </xf>
    <xf numFmtId="0" fontId="10" fillId="0" borderId="7" xfId="18" applyFont="1" applyBorder="1" applyAlignment="1">
      <alignment vertical="top" wrapText="1"/>
    </xf>
    <xf numFmtId="0" fontId="5" fillId="0" borderId="8" xfId="18" applyBorder="1" applyAlignment="1">
      <alignment vertical="top" wrapText="1"/>
    </xf>
    <xf numFmtId="0" fontId="0" fillId="0" borderId="8" xfId="0" applyBorder="1" applyAlignment="1">
      <alignment vertical="top" wrapText="1"/>
    </xf>
    <xf numFmtId="0" fontId="54" fillId="13" borderId="0" xfId="18" applyFont="1" applyFill="1" applyAlignment="1">
      <alignment horizontal="left" vertical="top" wrapText="1"/>
    </xf>
    <xf numFmtId="0" fontId="54" fillId="13" borderId="0" xfId="0" applyFont="1" applyFill="1" applyAlignment="1">
      <alignment horizontal="left" vertical="top" wrapText="1"/>
    </xf>
    <xf numFmtId="0" fontId="45" fillId="0" borderId="29" xfId="18" applyFont="1" applyBorder="1" applyAlignment="1">
      <alignment horizontal="left" vertical="top" wrapText="1" indent="1"/>
    </xf>
    <xf numFmtId="0" fontId="69" fillId="13" borderId="0" xfId="18" applyFont="1" applyFill="1" applyAlignment="1">
      <alignment horizontal="left" vertical="top" wrapText="1"/>
    </xf>
    <xf numFmtId="0" fontId="85" fillId="13" borderId="0" xfId="18" applyFont="1" applyFill="1" applyAlignment="1">
      <alignment horizontal="left" vertical="top" wrapText="1"/>
    </xf>
    <xf numFmtId="0" fontId="85" fillId="13" borderId="0" xfId="0" applyFont="1" applyFill="1" applyAlignment="1">
      <alignment horizontal="left" vertical="top" wrapText="1"/>
    </xf>
    <xf numFmtId="0" fontId="158" fillId="46" borderId="0" xfId="18" applyFont="1" applyFill="1" applyAlignment="1">
      <alignment horizontal="left" vertical="center"/>
    </xf>
    <xf numFmtId="0" fontId="10" fillId="0" borderId="108" xfId="18" applyFont="1" applyBorder="1" applyAlignment="1">
      <alignment horizontal="center" vertical="center" wrapText="1"/>
    </xf>
    <xf numFmtId="0" fontId="35" fillId="0" borderId="46" xfId="0" applyFont="1" applyBorder="1" applyAlignment="1">
      <alignment vertical="center" wrapText="1"/>
    </xf>
    <xf numFmtId="0" fontId="6" fillId="47" borderId="32" xfId="18" applyFont="1" applyFill="1" applyBorder="1" applyAlignment="1">
      <alignment horizontal="left" vertical="top" wrapText="1"/>
    </xf>
    <xf numFmtId="0" fontId="10" fillId="0" borderId="7" xfId="18" applyFont="1" applyBorder="1" applyAlignment="1">
      <alignment horizontal="center" vertical="top" wrapText="1"/>
    </xf>
    <xf numFmtId="0" fontId="10" fillId="0" borderId="8" xfId="18" applyFont="1" applyBorder="1" applyAlignment="1">
      <alignment horizontal="center" vertical="top" wrapText="1"/>
    </xf>
    <xf numFmtId="0" fontId="10" fillId="0" borderId="20" xfId="18" applyFont="1" applyBorder="1" applyAlignment="1">
      <alignment horizontal="center" vertical="top" wrapText="1"/>
    </xf>
    <xf numFmtId="0" fontId="5" fillId="0" borderId="26" xfId="18" applyBorder="1" applyAlignment="1">
      <alignment vertical="top"/>
    </xf>
    <xf numFmtId="0" fontId="10" fillId="0" borderId="110" xfId="18" applyFont="1" applyBorder="1" applyAlignment="1">
      <alignment horizontal="center" vertical="top" wrapText="1"/>
    </xf>
    <xf numFmtId="0" fontId="5" fillId="0" borderId="106" xfId="18" applyBorder="1" applyAlignment="1">
      <alignment vertical="top"/>
    </xf>
    <xf numFmtId="0" fontId="10" fillId="32" borderId="84" xfId="18" applyFont="1" applyFill="1" applyBorder="1" applyAlignment="1">
      <alignment horizontal="center" vertical="top" wrapText="1"/>
    </xf>
    <xf numFmtId="0" fontId="5" fillId="32" borderId="60" xfId="18" applyFill="1" applyBorder="1" applyAlignment="1">
      <alignment vertical="top"/>
    </xf>
    <xf numFmtId="0" fontId="10" fillId="38" borderId="111" xfId="18" applyFont="1" applyFill="1" applyBorder="1" applyAlignment="1">
      <alignment horizontal="center" vertical="top" wrapText="1"/>
    </xf>
    <xf numFmtId="0" fontId="5" fillId="38" borderId="107" xfId="18" applyFill="1" applyBorder="1" applyAlignment="1">
      <alignment vertical="top"/>
    </xf>
    <xf numFmtId="0" fontId="10" fillId="0" borderId="0" xfId="18" applyFont="1" applyAlignment="1">
      <alignment horizontal="left" vertical="top" wrapText="1"/>
    </xf>
    <xf numFmtId="0" fontId="147" fillId="13" borderId="83" xfId="14" applyFont="1" applyFill="1" applyBorder="1" applyAlignment="1" applyProtection="1">
      <alignment vertical="top" wrapText="1"/>
    </xf>
    <xf numFmtId="0" fontId="147" fillId="13" borderId="33" xfId="14" applyFont="1" applyFill="1" applyBorder="1" applyAlignment="1" applyProtection="1">
      <alignment vertical="top" wrapText="1"/>
    </xf>
    <xf numFmtId="0" fontId="147" fillId="13" borderId="78" xfId="14" applyFont="1" applyFill="1" applyBorder="1" applyAlignment="1" applyProtection="1">
      <alignment vertical="top" wrapText="1"/>
    </xf>
    <xf numFmtId="0" fontId="14" fillId="27" borderId="75" xfId="21" applyFont="1" applyFill="1" applyBorder="1" applyAlignment="1">
      <alignment horizontal="left" vertical="top" wrapText="1"/>
    </xf>
    <xf numFmtId="0" fontId="59" fillId="13" borderId="120" xfId="0" applyFont="1" applyFill="1" applyBorder="1" applyAlignment="1">
      <alignment vertical="top" wrapText="1"/>
    </xf>
    <xf numFmtId="0" fontId="59" fillId="13" borderId="75" xfId="0" applyFont="1" applyFill="1" applyBorder="1" applyAlignment="1">
      <alignment vertical="top" wrapText="1"/>
    </xf>
    <xf numFmtId="0" fontId="134" fillId="27" borderId="0" xfId="21" applyFont="1" applyFill="1" applyAlignment="1">
      <alignment horizontal="left" vertical="top" wrapText="1"/>
    </xf>
    <xf numFmtId="0" fontId="59" fillId="27" borderId="0" xfId="21" applyFont="1" applyFill="1" applyAlignment="1">
      <alignment horizontal="left" vertical="top" wrapText="1"/>
    </xf>
    <xf numFmtId="0" fontId="14" fillId="13" borderId="0" xfId="21" applyFont="1" applyFill="1" applyAlignment="1">
      <alignment vertical="top" wrapText="1"/>
    </xf>
    <xf numFmtId="0" fontId="14" fillId="27" borderId="0" xfId="21" applyFont="1" applyFill="1" applyAlignment="1">
      <alignment horizontal="left" vertical="top" wrapText="1"/>
    </xf>
    <xf numFmtId="0" fontId="59" fillId="27" borderId="0" xfId="18" applyFont="1" applyFill="1" applyAlignment="1">
      <alignment horizontal="left" vertical="top" wrapText="1"/>
    </xf>
    <xf numFmtId="0" fontId="14" fillId="13" borderId="0" xfId="21" applyFont="1" applyFill="1" applyAlignment="1">
      <alignment horizontal="left" vertical="top" wrapText="1"/>
    </xf>
    <xf numFmtId="0" fontId="14" fillId="27" borderId="33" xfId="21" applyFont="1" applyFill="1" applyBorder="1" applyAlignment="1">
      <alignment horizontal="left" vertical="top" wrapText="1"/>
    </xf>
    <xf numFmtId="0" fontId="14" fillId="13" borderId="83" xfId="0" applyFont="1" applyFill="1" applyBorder="1" applyAlignment="1">
      <alignment vertical="top" wrapText="1"/>
    </xf>
    <xf numFmtId="0" fontId="14" fillId="13" borderId="33" xfId="0" applyFont="1" applyFill="1" applyBorder="1" applyAlignment="1">
      <alignment vertical="top" wrapText="1"/>
    </xf>
    <xf numFmtId="0" fontId="14" fillId="27" borderId="73" xfId="21" applyFont="1" applyFill="1" applyBorder="1" applyAlignment="1">
      <alignment horizontal="left" vertical="center" wrapText="1"/>
    </xf>
    <xf numFmtId="0" fontId="0" fillId="0" borderId="73" xfId="0" applyBorder="1" applyAlignment="1">
      <alignment horizontal="left" vertical="center" wrapText="1"/>
    </xf>
    <xf numFmtId="0" fontId="0" fillId="0" borderId="83" xfId="0" applyBorder="1" applyAlignment="1">
      <alignment horizontal="left" vertical="center" wrapText="1"/>
    </xf>
    <xf numFmtId="0" fontId="59" fillId="27" borderId="0" xfId="21" applyFont="1" applyFill="1" applyAlignment="1">
      <alignment horizontal="left" vertical="center" wrapText="1"/>
    </xf>
    <xf numFmtId="0" fontId="7" fillId="0" borderId="0" xfId="0" applyFont="1" applyAlignment="1">
      <alignment horizontal="left" vertical="center" wrapText="1"/>
    </xf>
    <xf numFmtId="0" fontId="14" fillId="13" borderId="118" xfId="0" applyFont="1" applyFill="1" applyBorder="1" applyAlignment="1">
      <alignment vertical="top" wrapText="1"/>
    </xf>
    <xf numFmtId="0" fontId="14" fillId="13" borderId="115" xfId="0" applyFont="1" applyFill="1" applyBorder="1" applyAlignment="1">
      <alignment vertical="top" wrapText="1"/>
    </xf>
    <xf numFmtId="0" fontId="14" fillId="27" borderId="115" xfId="21" applyFont="1" applyFill="1" applyBorder="1" applyAlignment="1">
      <alignment horizontal="left" vertical="top" wrapText="1"/>
    </xf>
    <xf numFmtId="0" fontId="14" fillId="27" borderId="116" xfId="21" applyFont="1" applyFill="1" applyBorder="1" applyAlignment="1">
      <alignment horizontal="left" vertical="top" wrapText="1"/>
    </xf>
    <xf numFmtId="0" fontId="14" fillId="27" borderId="117" xfId="21" applyFont="1" applyFill="1" applyBorder="1" applyAlignment="1">
      <alignment horizontal="left" vertical="top" wrapText="1"/>
    </xf>
    <xf numFmtId="0" fontId="14" fillId="27" borderId="77" xfId="21" applyFont="1" applyFill="1" applyBorder="1" applyAlignment="1">
      <alignment horizontal="left" vertical="top" wrapText="1"/>
    </xf>
    <xf numFmtId="0" fontId="14" fillId="13" borderId="119" xfId="0" applyFont="1" applyFill="1" applyBorder="1" applyAlignment="1">
      <alignment vertical="top" wrapText="1"/>
    </xf>
    <xf numFmtId="0" fontId="14" fillId="13" borderId="120" xfId="0" applyFont="1" applyFill="1" applyBorder="1" applyAlignment="1">
      <alignment vertical="top" wrapText="1"/>
    </xf>
    <xf numFmtId="0" fontId="14" fillId="13" borderId="75" xfId="0" applyFont="1" applyFill="1" applyBorder="1" applyAlignment="1">
      <alignment vertical="top" wrapText="1"/>
    </xf>
    <xf numFmtId="0" fontId="0" fillId="0" borderId="116" xfId="0" applyBorder="1" applyAlignment="1">
      <alignment horizontal="left" vertical="top" wrapText="1"/>
    </xf>
    <xf numFmtId="0" fontId="5" fillId="47" borderId="0" xfId="0" applyFont="1" applyFill="1" applyAlignment="1">
      <alignment horizontal="left" vertical="top" wrapText="1"/>
    </xf>
    <xf numFmtId="0" fontId="5" fillId="25" borderId="7" xfId="0" applyFont="1" applyFill="1" applyBorder="1" applyAlignment="1">
      <alignment horizontal="left" vertical="top" wrapText="1"/>
    </xf>
    <xf numFmtId="0" fontId="5" fillId="25" borderId="32" xfId="0" applyFont="1" applyFill="1" applyBorder="1" applyAlignment="1">
      <alignment horizontal="left" vertical="top" wrapText="1"/>
    </xf>
    <xf numFmtId="0" fontId="5" fillId="25" borderId="8" xfId="0" applyFont="1" applyFill="1" applyBorder="1" applyAlignment="1">
      <alignment horizontal="left" vertical="top" wrapText="1"/>
    </xf>
    <xf numFmtId="0" fontId="141" fillId="27" borderId="29" xfId="21" applyFont="1" applyFill="1" applyBorder="1" applyAlignment="1">
      <alignment horizontal="center" vertical="top"/>
    </xf>
    <xf numFmtId="0" fontId="14" fillId="13" borderId="0" xfId="18" applyFont="1" applyFill="1" applyAlignment="1">
      <alignment vertical="center" wrapText="1"/>
    </xf>
    <xf numFmtId="0" fontId="5" fillId="0" borderId="0" xfId="18" applyAlignment="1">
      <alignment vertical="center" wrapText="1"/>
    </xf>
    <xf numFmtId="0" fontId="14" fillId="28" borderId="21" xfId="18" applyFont="1" applyFill="1" applyBorder="1" applyAlignment="1" applyProtection="1">
      <alignment horizontal="left" vertical="top" wrapText="1"/>
      <protection locked="0"/>
    </xf>
    <xf numFmtId="0" fontId="0" fillId="28" borderId="31" xfId="0" applyFill="1" applyBorder="1" applyAlignment="1" applyProtection="1">
      <alignment horizontal="left" vertical="top" wrapText="1"/>
      <protection locked="0"/>
    </xf>
    <xf numFmtId="0" fontId="0" fillId="28" borderId="22" xfId="0" applyFill="1" applyBorder="1" applyAlignment="1" applyProtection="1">
      <alignment horizontal="left" vertical="top" wrapText="1"/>
      <protection locked="0"/>
    </xf>
    <xf numFmtId="0" fontId="14" fillId="28" borderId="27" xfId="18" applyFont="1" applyFill="1" applyBorder="1" applyAlignment="1" applyProtection="1">
      <alignment horizontal="left" vertical="top" wrapText="1"/>
      <protection locked="0"/>
    </xf>
    <xf numFmtId="0" fontId="0" fillId="28" borderId="30" xfId="0" applyFill="1" applyBorder="1" applyAlignment="1" applyProtection="1">
      <alignment horizontal="left" vertical="top" wrapText="1"/>
      <protection locked="0"/>
    </xf>
    <xf numFmtId="0" fontId="0" fillId="28" borderId="28" xfId="0" applyFill="1" applyBorder="1" applyAlignment="1" applyProtection="1">
      <alignment horizontal="left" vertical="top" wrapText="1"/>
      <protection locked="0"/>
    </xf>
    <xf numFmtId="0" fontId="9" fillId="28" borderId="7" xfId="0" applyFont="1" applyFill="1" applyBorder="1" applyAlignment="1" applyProtection="1">
      <alignment horizontal="left" vertical="top"/>
      <protection locked="0"/>
    </xf>
    <xf numFmtId="0" fontId="9" fillId="28" borderId="32" xfId="0" applyFont="1" applyFill="1" applyBorder="1" applyAlignment="1" applyProtection="1">
      <alignment horizontal="left" vertical="top"/>
      <protection locked="0"/>
    </xf>
    <xf numFmtId="0" fontId="9" fillId="28" borderId="8" xfId="0" applyFont="1" applyFill="1" applyBorder="1" applyAlignment="1" applyProtection="1">
      <alignment horizontal="left" vertical="top"/>
      <protection locked="0"/>
    </xf>
    <xf numFmtId="0" fontId="14" fillId="28" borderId="24" xfId="18" applyFont="1" applyFill="1" applyBorder="1" applyAlignment="1" applyProtection="1">
      <alignment horizontal="left" vertical="top" wrapText="1"/>
      <protection locked="0"/>
    </xf>
    <xf numFmtId="0" fontId="0" fillId="28" borderId="0" xfId="0" applyFill="1" applyAlignment="1" applyProtection="1">
      <alignment horizontal="left" vertical="top" wrapText="1"/>
      <protection locked="0"/>
    </xf>
    <xf numFmtId="0" fontId="0" fillId="28" borderId="25" xfId="0" applyFill="1" applyBorder="1" applyAlignment="1" applyProtection="1">
      <alignment horizontal="left" vertical="top" wrapText="1"/>
      <protection locked="0"/>
    </xf>
    <xf numFmtId="0" fontId="10" fillId="0" borderId="29" xfId="18" applyFont="1" applyBorder="1" applyAlignment="1">
      <alignment horizontal="center" vertical="top" wrapText="1"/>
    </xf>
    <xf numFmtId="0" fontId="5" fillId="0" borderId="29" xfId="18" applyBorder="1" applyAlignment="1">
      <alignment horizontal="center" vertical="top" wrapText="1"/>
    </xf>
    <xf numFmtId="0" fontId="139" fillId="13" borderId="0" xfId="18" applyFont="1" applyFill="1" applyAlignment="1">
      <alignment vertical="top" wrapText="1"/>
    </xf>
    <xf numFmtId="0" fontId="69" fillId="0" borderId="0" xfId="18" applyFont="1" applyAlignment="1">
      <alignment vertical="top" wrapText="1"/>
    </xf>
    <xf numFmtId="0" fontId="13" fillId="13" borderId="0" xfId="18" applyFont="1" applyFill="1" applyAlignment="1">
      <alignment horizontal="left" vertical="center" wrapText="1"/>
    </xf>
    <xf numFmtId="0" fontId="35" fillId="27" borderId="0" xfId="0" applyFont="1" applyFill="1" applyAlignment="1">
      <alignment horizontal="left" vertical="top"/>
    </xf>
    <xf numFmtId="0" fontId="5" fillId="27" borderId="7" xfId="0" applyFont="1" applyFill="1" applyBorder="1" applyAlignment="1">
      <alignment horizontal="left" vertical="top"/>
    </xf>
    <xf numFmtId="0" fontId="5" fillId="27" borderId="32" xfId="0" applyFont="1" applyFill="1" applyBorder="1" applyAlignment="1">
      <alignment horizontal="left" vertical="top"/>
    </xf>
    <xf numFmtId="164" fontId="5" fillId="25" borderId="7" xfId="0" applyNumberFormat="1" applyFont="1" applyFill="1" applyBorder="1" applyAlignment="1">
      <alignment horizontal="right" vertical="top"/>
    </xf>
    <xf numFmtId="164" fontId="5" fillId="25" borderId="8" xfId="0" applyNumberFormat="1" applyFont="1" applyFill="1" applyBorder="1" applyAlignment="1">
      <alignment horizontal="right" vertical="top"/>
    </xf>
    <xf numFmtId="0" fontId="5" fillId="27" borderId="8" xfId="0" applyFont="1" applyFill="1" applyBorder="1" applyAlignment="1">
      <alignment horizontal="left" vertical="top"/>
    </xf>
    <xf numFmtId="165" fontId="5" fillId="25" borderId="7" xfId="0" applyNumberFormat="1" applyFont="1" applyFill="1" applyBorder="1" applyAlignment="1">
      <alignment horizontal="right" vertical="top"/>
    </xf>
    <xf numFmtId="165" fontId="5" fillId="25" borderId="32" xfId="0" applyNumberFormat="1" applyFont="1" applyFill="1" applyBorder="1" applyAlignment="1">
      <alignment horizontal="right" vertical="top"/>
    </xf>
    <xf numFmtId="165" fontId="5" fillId="25" borderId="8" xfId="0" applyNumberFormat="1" applyFont="1" applyFill="1" applyBorder="1" applyAlignment="1">
      <alignment horizontal="right" vertical="top"/>
    </xf>
    <xf numFmtId="0" fontId="50" fillId="13" borderId="0" xfId="0" applyFont="1" applyFill="1" applyAlignment="1">
      <alignment horizontal="left" vertical="top" wrapText="1"/>
    </xf>
    <xf numFmtId="0" fontId="95" fillId="27" borderId="0" xfId="0" applyFont="1" applyFill="1" applyAlignment="1">
      <alignment horizontal="left" vertical="top" wrapText="1"/>
    </xf>
    <xf numFmtId="0" fontId="94" fillId="13" borderId="31" xfId="0" applyFont="1" applyFill="1" applyBorder="1" applyAlignment="1">
      <alignment vertical="top" wrapText="1"/>
    </xf>
    <xf numFmtId="0" fontId="5" fillId="28" borderId="7" xfId="0" applyFont="1" applyFill="1" applyBorder="1" applyAlignment="1" applyProtection="1">
      <alignment horizontal="center" vertical="top"/>
      <protection locked="0"/>
    </xf>
    <xf numFmtId="0" fontId="5" fillId="28" borderId="8" xfId="0" applyFont="1" applyFill="1" applyBorder="1" applyAlignment="1" applyProtection="1">
      <alignment horizontal="center" vertical="top"/>
      <protection locked="0"/>
    </xf>
    <xf numFmtId="0" fontId="5" fillId="28" borderId="32" xfId="0" applyFont="1" applyFill="1" applyBorder="1" applyAlignment="1" applyProtection="1">
      <alignment horizontal="center" vertical="top"/>
      <protection locked="0"/>
    </xf>
    <xf numFmtId="0" fontId="5" fillId="28" borderId="35" xfId="0" applyFont="1" applyFill="1" applyBorder="1" applyAlignment="1" applyProtection="1">
      <alignment horizontal="center" vertical="top"/>
      <protection locked="0"/>
    </xf>
    <xf numFmtId="0" fontId="5" fillId="27" borderId="21" xfId="0" applyFont="1" applyFill="1" applyBorder="1" applyAlignment="1">
      <alignment horizontal="center" vertical="top" wrapText="1"/>
    </xf>
    <xf numFmtId="0" fontId="5" fillId="27" borderId="31" xfId="0" applyFont="1" applyFill="1" applyBorder="1" applyAlignment="1">
      <alignment horizontal="center" vertical="top" wrapText="1"/>
    </xf>
    <xf numFmtId="0" fontId="5" fillId="27" borderId="22" xfId="0" applyFont="1" applyFill="1" applyBorder="1" applyAlignment="1">
      <alignment horizontal="center" vertical="top" wrapText="1"/>
    </xf>
    <xf numFmtId="0" fontId="5" fillId="27" borderId="24" xfId="0" applyFont="1" applyFill="1" applyBorder="1" applyAlignment="1">
      <alignment horizontal="center" vertical="top" wrapText="1"/>
    </xf>
    <xf numFmtId="0" fontId="5" fillId="27" borderId="0" xfId="0" applyFont="1" applyFill="1" applyAlignment="1">
      <alignment horizontal="center" vertical="top" wrapText="1"/>
    </xf>
    <xf numFmtId="0" fontId="5" fillId="27" borderId="25" xfId="0" applyFont="1" applyFill="1" applyBorder="1" applyAlignment="1">
      <alignment horizontal="center" vertical="top" wrapText="1"/>
    </xf>
    <xf numFmtId="0" fontId="5" fillId="27" borderId="27" xfId="0" applyFont="1" applyFill="1" applyBorder="1" applyAlignment="1">
      <alignment horizontal="center" vertical="top" wrapText="1"/>
    </xf>
    <xf numFmtId="0" fontId="5" fillId="27" borderId="30" xfId="0" applyFont="1" applyFill="1" applyBorder="1" applyAlignment="1">
      <alignment horizontal="center" vertical="top" wrapText="1"/>
    </xf>
    <xf numFmtId="0" fontId="5" fillId="27" borderId="28" xfId="0" applyFont="1" applyFill="1" applyBorder="1" applyAlignment="1">
      <alignment horizontal="center" vertical="top" wrapText="1"/>
    </xf>
    <xf numFmtId="0" fontId="5" fillId="27" borderId="45" xfId="0" applyFont="1" applyFill="1" applyBorder="1" applyAlignment="1">
      <alignment horizontal="center" vertical="top" wrapText="1"/>
    </xf>
    <xf numFmtId="0" fontId="5" fillId="27" borderId="68" xfId="0" applyFont="1" applyFill="1" applyBorder="1" applyAlignment="1">
      <alignment horizontal="center" vertical="top" wrapText="1"/>
    </xf>
    <xf numFmtId="0" fontId="5" fillId="27" borderId="49" xfId="0" applyFont="1" applyFill="1" applyBorder="1" applyAlignment="1">
      <alignment horizontal="center" vertical="top" wrapText="1"/>
    </xf>
    <xf numFmtId="0" fontId="5" fillId="27" borderId="59" xfId="0" applyFont="1" applyFill="1" applyBorder="1" applyAlignment="1">
      <alignment horizontal="center" vertical="top" wrapText="1"/>
    </xf>
    <xf numFmtId="0" fontId="5" fillId="27" borderId="20" xfId="0" applyFont="1" applyFill="1" applyBorder="1" applyAlignment="1">
      <alignment horizontal="center" vertical="top" wrapText="1"/>
    </xf>
    <xf numFmtId="0" fontId="5" fillId="27" borderId="26" xfId="0" applyFont="1" applyFill="1" applyBorder="1" applyAlignment="1">
      <alignment horizontal="center" vertical="top" wrapText="1"/>
    </xf>
    <xf numFmtId="0" fontId="5" fillId="27" borderId="53" xfId="0" applyFont="1" applyFill="1" applyBorder="1" applyAlignment="1">
      <alignment horizontal="center" vertical="top" wrapText="1"/>
    </xf>
    <xf numFmtId="0" fontId="5" fillId="27" borderId="54" xfId="0" applyFont="1" applyFill="1" applyBorder="1" applyAlignment="1">
      <alignment horizontal="center" vertical="top" wrapText="1"/>
    </xf>
    <xf numFmtId="0" fontId="51" fillId="0" borderId="0" xfId="0" applyFont="1" applyAlignment="1">
      <alignment horizontal="left" vertical="top" wrapText="1"/>
    </xf>
    <xf numFmtId="0" fontId="5" fillId="28" borderId="21" xfId="0" applyFont="1" applyFill="1" applyBorder="1" applyAlignment="1" applyProtection="1">
      <alignment horizontal="center" vertical="top"/>
      <protection locked="0"/>
    </xf>
    <xf numFmtId="0" fontId="5" fillId="28" borderId="22" xfId="0" applyFont="1" applyFill="1" applyBorder="1" applyAlignment="1" applyProtection="1">
      <alignment horizontal="center" vertical="top"/>
      <protection locked="0"/>
    </xf>
    <xf numFmtId="166" fontId="5" fillId="27" borderId="7" xfId="0" applyNumberFormat="1" applyFont="1" applyFill="1" applyBorder="1" applyAlignment="1">
      <alignment horizontal="left" vertical="top"/>
    </xf>
    <xf numFmtId="166" fontId="5" fillId="27" borderId="32" xfId="0" applyNumberFormat="1" applyFont="1" applyFill="1" applyBorder="1" applyAlignment="1">
      <alignment horizontal="left" vertical="top"/>
    </xf>
    <xf numFmtId="166" fontId="5" fillId="25" borderId="40" xfId="0" applyNumberFormat="1" applyFont="1" applyFill="1" applyBorder="1" applyAlignment="1">
      <alignment horizontal="center" vertical="top"/>
    </xf>
    <xf numFmtId="166" fontId="5" fillId="25" borderId="58" xfId="0" applyNumberFormat="1" applyFont="1" applyFill="1" applyBorder="1" applyAlignment="1">
      <alignment horizontal="center" vertical="top"/>
    </xf>
    <xf numFmtId="0" fontId="5" fillId="27" borderId="61" xfId="0" applyFont="1" applyFill="1" applyBorder="1" applyAlignment="1">
      <alignment horizontal="center" vertical="top" wrapText="1"/>
    </xf>
    <xf numFmtId="0" fontId="5" fillId="27" borderId="63" xfId="0" applyFont="1" applyFill="1" applyBorder="1" applyAlignment="1">
      <alignment horizontal="center" vertical="top" wrapText="1"/>
    </xf>
    <xf numFmtId="0" fontId="5" fillId="27" borderId="64" xfId="0" applyFont="1" applyFill="1" applyBorder="1" applyAlignment="1">
      <alignment horizontal="center" vertical="top" wrapText="1"/>
    </xf>
    <xf numFmtId="0" fontId="5" fillId="27" borderId="62" xfId="0" applyFont="1" applyFill="1" applyBorder="1" applyAlignment="1">
      <alignment horizontal="center" vertical="top" wrapText="1"/>
    </xf>
    <xf numFmtId="0" fontId="5" fillId="28" borderId="29" xfId="0" applyFont="1" applyFill="1" applyBorder="1" applyAlignment="1" applyProtection="1">
      <alignment horizontal="center" vertical="top"/>
      <protection locked="0"/>
    </xf>
    <xf numFmtId="0" fontId="5" fillId="27" borderId="29" xfId="0" applyFont="1" applyFill="1" applyBorder="1" applyAlignment="1">
      <alignment horizontal="center" vertical="top"/>
    </xf>
    <xf numFmtId="0" fontId="14" fillId="27" borderId="31" xfId="18" applyFont="1" applyFill="1" applyBorder="1" applyAlignment="1">
      <alignment horizontal="left" vertical="top" wrapText="1"/>
    </xf>
    <xf numFmtId="0" fontId="0" fillId="27" borderId="31" xfId="0" applyFill="1" applyBorder="1" applyAlignment="1">
      <alignment horizontal="left" vertical="top" wrapText="1"/>
    </xf>
    <xf numFmtId="0" fontId="14" fillId="27" borderId="0" xfId="18" applyFont="1" applyFill="1" applyAlignment="1">
      <alignment horizontal="left" vertical="top" wrapText="1"/>
    </xf>
    <xf numFmtId="0" fontId="5" fillId="28" borderId="7" xfId="0" applyFont="1" applyFill="1" applyBorder="1" applyAlignment="1" applyProtection="1">
      <alignment horizontal="left" vertical="top"/>
      <protection locked="0"/>
    </xf>
    <xf numFmtId="0" fontId="5" fillId="28" borderId="32" xfId="0" applyFont="1" applyFill="1" applyBorder="1" applyAlignment="1" applyProtection="1">
      <alignment horizontal="left" vertical="top"/>
      <protection locked="0"/>
    </xf>
    <xf numFmtId="0" fontId="5" fillId="28" borderId="8" xfId="0" applyFont="1" applyFill="1" applyBorder="1" applyAlignment="1" applyProtection="1">
      <alignment horizontal="left" vertical="top"/>
      <protection locked="0"/>
    </xf>
    <xf numFmtId="0" fontId="132" fillId="27" borderId="0" xfId="14" applyFont="1" applyFill="1" applyBorder="1" applyAlignment="1" applyProtection="1">
      <alignment horizontal="left" vertical="top" wrapText="1"/>
    </xf>
    <xf numFmtId="0" fontId="132" fillId="0" borderId="0" xfId="14" applyFont="1" applyAlignment="1" applyProtection="1">
      <alignment horizontal="left" vertical="top" wrapText="1"/>
    </xf>
    <xf numFmtId="0" fontId="50" fillId="27" borderId="0" xfId="0" applyFont="1" applyFill="1" applyAlignment="1">
      <alignment horizontal="left" vertical="top" wrapText="1"/>
    </xf>
    <xf numFmtId="0" fontId="51" fillId="27" borderId="0" xfId="0" applyFont="1" applyFill="1" applyAlignment="1">
      <alignment horizontal="left" vertical="top" wrapText="1"/>
    </xf>
    <xf numFmtId="0" fontId="50" fillId="27" borderId="0" xfId="18" applyFont="1" applyFill="1" applyAlignment="1">
      <alignment horizontal="left" vertical="top" wrapText="1"/>
    </xf>
    <xf numFmtId="0" fontId="93" fillId="27" borderId="0" xfId="18" applyFont="1" applyFill="1" applyAlignment="1">
      <alignment horizontal="left" vertical="top" wrapText="1"/>
    </xf>
    <xf numFmtId="0" fontId="27" fillId="27" borderId="0" xfId="0" applyFont="1" applyFill="1" applyAlignment="1">
      <alignment horizontal="left" vertical="top" wrapText="1"/>
    </xf>
    <xf numFmtId="0" fontId="7" fillId="27" borderId="0" xfId="18" applyFont="1" applyFill="1" applyAlignment="1">
      <alignment horizontal="left" vertical="top" wrapText="1"/>
    </xf>
    <xf numFmtId="0" fontId="5" fillId="40" borderId="24" xfId="0" applyFont="1" applyFill="1" applyBorder="1" applyAlignment="1">
      <alignment horizontal="center"/>
    </xf>
    <xf numFmtId="0" fontId="5" fillId="40" borderId="0" xfId="0" applyFont="1" applyFill="1" applyAlignment="1">
      <alignment horizontal="center"/>
    </xf>
    <xf numFmtId="0" fontId="5" fillId="0" borderId="0" xfId="0" applyFont="1" applyAlignment="1">
      <alignment horizontal="center"/>
    </xf>
    <xf numFmtId="0" fontId="5" fillId="0" borderId="25" xfId="0" applyFont="1" applyBorder="1" applyAlignment="1">
      <alignment horizontal="center"/>
    </xf>
  </cellXfs>
  <cellStyles count="2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Link" xfId="14" builtinId="8"/>
    <cellStyle name="Linked Cell" xfId="15" xr:uid="{00000000-0005-0000-0000-00000E000000}"/>
    <cellStyle name="Neutral" xfId="16" xr:uid="{00000000-0005-0000-0000-00000F000000}"/>
    <cellStyle name="Note" xfId="17" xr:uid="{00000000-0005-0000-0000-000010000000}"/>
    <cellStyle name="Prozent" xfId="22" builtinId="5"/>
    <cellStyle name="Standard" xfId="0" builtinId="0"/>
    <cellStyle name="Standard 2" xfId="18" xr:uid="{00000000-0005-0000-0000-000013000000}"/>
    <cellStyle name="Standard 3" xfId="21" xr:uid="{00000000-0005-0000-0000-000014000000}"/>
    <cellStyle name="Standard_Outline NIMs template 10-09-30" xfId="19" xr:uid="{00000000-0005-0000-0000-000015000000}"/>
    <cellStyle name="Title" xfId="20" xr:uid="{00000000-0005-0000-0000-000016000000}"/>
  </cellStyles>
  <dxfs count="40">
    <dxf>
      <fill>
        <patternFill patternType="lightUp"/>
      </fill>
    </dxf>
    <dxf>
      <fill>
        <patternFill patternType="lightUp"/>
      </fill>
    </dxf>
    <dxf>
      <fill>
        <patternFill patternType="lightDown"/>
      </fill>
    </dxf>
    <dxf>
      <fill>
        <patternFill patternType="lightUp"/>
      </fill>
    </dxf>
    <dxf>
      <fill>
        <patternFill patternType="lightDown"/>
      </fill>
    </dxf>
    <dxf>
      <fill>
        <patternFill patternType="lightDown"/>
      </fill>
    </dxf>
    <dxf>
      <fill>
        <patternFill>
          <bgColor theme="0" tint="-0.14996795556505021"/>
        </patternFill>
      </fill>
    </dxf>
    <dxf>
      <font>
        <b/>
        <i val="0"/>
        <color rgb="FFFF0000"/>
      </font>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Down"/>
      </fill>
    </dxf>
    <dxf>
      <fill>
        <patternFill>
          <bgColor theme="0" tint="-0.14996795556505021"/>
        </patternFill>
      </fill>
    </dxf>
    <dxf>
      <fill>
        <patternFill>
          <bgColor rgb="FFFF0000"/>
        </patternFill>
      </fill>
    </dxf>
    <dxf>
      <fill>
        <patternFill patternType="lightUp"/>
      </fill>
    </dxf>
    <dxf>
      <fill>
        <patternFill patternType="lightDown"/>
      </fill>
    </dxf>
    <dxf>
      <fill>
        <patternFill patternType="lightDown"/>
      </fill>
    </dxf>
    <dxf>
      <fill>
        <patternFill patternType="lightDown"/>
      </fill>
    </dxf>
    <dxf>
      <fill>
        <patternFill patternType="lightDown"/>
      </fill>
    </dxf>
    <dxf>
      <font>
        <b val="0"/>
        <i val="0"/>
        <strike/>
      </font>
    </dxf>
    <dxf>
      <font>
        <strike/>
      </font>
      <fill>
        <patternFill>
          <bgColor theme="0" tint="-4.9989318521683403E-2"/>
        </patternFill>
      </fill>
    </dxf>
    <dxf>
      <font>
        <b val="0"/>
        <i val="0"/>
        <strike/>
      </font>
    </dxf>
    <dxf>
      <font>
        <strike/>
      </font>
      <fill>
        <patternFill>
          <bgColor theme="0" tint="-4.9989318521683403E-2"/>
        </patternFill>
      </fill>
    </dxf>
    <dxf>
      <font>
        <strike/>
      </font>
      <fill>
        <patternFill>
          <bgColor theme="0" tint="-4.9989318521683403E-2"/>
        </patternFill>
      </fill>
    </dxf>
    <dxf>
      <fill>
        <patternFill patternType="lightDown"/>
      </fill>
    </dxf>
    <dxf>
      <font>
        <b val="0"/>
        <i val="0"/>
        <strike/>
      </font>
    </dxf>
    <dxf>
      <font>
        <strike/>
      </font>
    </dxf>
    <dxf>
      <font>
        <strike/>
      </font>
    </dxf>
    <dxf>
      <font>
        <strike/>
      </font>
    </dxf>
    <dxf>
      <fill>
        <patternFill patternType="lightUp"/>
      </fill>
    </dxf>
    <dxf>
      <font>
        <strike/>
      </font>
      <fill>
        <patternFill>
          <bgColor theme="0" tint="-4.9989318521683403E-2"/>
        </patternFill>
      </fill>
    </dxf>
    <dxf>
      <font>
        <strike/>
      </font>
      <fill>
        <patternFill>
          <bgColor theme="0" tint="-4.9989318521683403E-2"/>
        </patternFill>
      </fill>
    </dxf>
    <dxf>
      <fill>
        <patternFill patternType="lightUp"/>
      </fill>
    </dxf>
    <dxf>
      <fill>
        <patternFill patternType="lightTrellis">
          <bgColor indexed="9"/>
        </patternFill>
      </fill>
    </dxf>
    <dxf>
      <fill>
        <patternFill patternType="lightUp"/>
      </fill>
    </dxf>
    <dxf>
      <font>
        <strike/>
        <condense val="0"/>
        <extend val="0"/>
      </font>
    </dxf>
    <dxf>
      <fill>
        <patternFill patternType="lightUp"/>
      </fill>
    </dxf>
    <dxf>
      <fill>
        <patternFill patternType="lightDown"/>
      </fill>
    </dxf>
    <dxf>
      <fill>
        <patternFill patternType="lightDown"/>
      </fill>
    </dxf>
  </dxfs>
  <tableStyles count="0" defaultTableStyle="TableStyleMedium9" defaultPivotStyle="PivotStyleLight16"/>
  <colors>
    <mruColors>
      <color rgb="FF0000FF"/>
      <color rgb="FFCCFFCC"/>
      <color rgb="FFFF6464"/>
      <color rgb="FFCCFFFF"/>
      <color rgb="FFFFFFCC"/>
      <color rgb="FFFF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99393</xdr:colOff>
      <xdr:row>13</xdr:row>
      <xdr:rowOff>39645</xdr:rowOff>
    </xdr:from>
    <xdr:ext cx="1976439" cy="288000"/>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700-000007000000}"/>
                </a:ext>
              </a:extLst>
            </xdr:cNvPr>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m:t>
                    </m:r>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  </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7" name="Textfeld 6"/>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rPr>
                <a:t>𝐴𝑡𝑡𝑟𝐹_𝑁=𝑇𝑜𝑡𝑎𝑙𝐹_𝑁  </a:t>
              </a:r>
              <a:r>
                <a:rPr lang="de-DE" sz="1200" b="0" i="0">
                  <a:latin typeface="Cambria Math" panose="02040503050406030204" pitchFamily="18" charset="0"/>
                  <a:ea typeface="Cambria Math" panose="02040503050406030204" pitchFamily="18" charset="0"/>
                </a:rPr>
                <a:t>×  𝐹_𝐴𝑒</a:t>
              </a:r>
              <a:endParaRPr lang="en-GB" sz="1200"/>
            </a:p>
          </xdr:txBody>
        </xdr:sp>
      </mc:Fallback>
    </mc:AlternateContent>
    <xdr:clientData/>
  </xdr:oneCellAnchor>
  <xdr:oneCellAnchor>
    <xdr:from>
      <xdr:col>4</xdr:col>
      <xdr:colOff>1053548</xdr:colOff>
      <xdr:row>13</xdr:row>
      <xdr:rowOff>39645</xdr:rowOff>
    </xdr:from>
    <xdr:ext cx="2117554" cy="288000"/>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0000000-0008-0000-0700-000008000000}"/>
                </a:ext>
              </a:extLst>
            </xdr:cNvPr>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8" name="Textfeld 7"/>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ea typeface="Cambria Math" panose="02040503050406030204" pitchFamily="18" charset="0"/>
                </a:rPr>
                <a:t>𝐹_𝐴𝑒=𝐸𝑚_𝑟𝑒𝑙𝑒𝑣𝑎𝑛𝑡/𝐸𝑚_𝑡𝑜𝑡𝑎𝑙</a:t>
              </a:r>
              <a:endParaRPr lang="en-GB" sz="1200"/>
            </a:p>
          </xdr:txBody>
        </xdr:sp>
      </mc:Fallback>
    </mc:AlternateContent>
    <xdr:clientData/>
  </xdr:oneCellAnchor>
  <xdr:oneCellAnchor>
    <xdr:from>
      <xdr:col>2</xdr:col>
      <xdr:colOff>59635</xdr:colOff>
      <xdr:row>15</xdr:row>
      <xdr:rowOff>19879</xdr:rowOff>
    </xdr:from>
    <xdr:ext cx="655983" cy="288000"/>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00000000-0008-0000-0700-000009000000}"/>
                </a:ext>
              </a:extLst>
            </xdr:cNvPr>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9" name="Textfeld 8"/>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𝐴𝑡𝑡𝑟𝐹_𝑁</a:t>
              </a:r>
              <a:endParaRPr lang="en-GB" sz="1200"/>
            </a:p>
          </xdr:txBody>
        </xdr:sp>
      </mc:Fallback>
    </mc:AlternateContent>
    <xdr:clientData/>
  </xdr:oneCellAnchor>
  <xdr:oneCellAnchor>
    <xdr:from>
      <xdr:col>2</xdr:col>
      <xdr:colOff>59635</xdr:colOff>
      <xdr:row>16</xdr:row>
      <xdr:rowOff>14909</xdr:rowOff>
    </xdr:from>
    <xdr:ext cx="702366" cy="288000"/>
    <mc:AlternateContent xmlns:mc="http://schemas.openxmlformats.org/markup-compatibility/2006" xmlns:a14="http://schemas.microsoft.com/office/drawing/2010/main">
      <mc:Choice Requires="a14">
        <xdr:sp macro="" textlink="">
          <xdr:nvSpPr>
            <xdr:cNvPr id="10" name="Textfeld 9">
              <a:extLst>
                <a:ext uri="{FF2B5EF4-FFF2-40B4-BE49-F238E27FC236}">
                  <a16:creationId xmlns:a16="http://schemas.microsoft.com/office/drawing/2014/main" id="{00000000-0008-0000-0700-00000A000000}"/>
                </a:ext>
              </a:extLst>
            </xdr:cNvPr>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10" name="Textfeld 9"/>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𝑇𝑜𝑡𝑎𝑙𝐹_𝑁</a:t>
              </a:r>
              <a:endParaRPr lang="en-GB" sz="1200"/>
            </a:p>
          </xdr:txBody>
        </xdr:sp>
      </mc:Fallback>
    </mc:AlternateContent>
    <xdr:clientData/>
  </xdr:oneCellAnchor>
  <xdr:oneCellAnchor>
    <xdr:from>
      <xdr:col>2</xdr:col>
      <xdr:colOff>59635</xdr:colOff>
      <xdr:row>17</xdr:row>
      <xdr:rowOff>9940</xdr:rowOff>
    </xdr:from>
    <xdr:ext cx="344557" cy="288000"/>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00000000-0008-0000-0700-00000B000000}"/>
                </a:ext>
              </a:extLst>
            </xdr:cNvPr>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11" name="Textfeld 10"/>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ea typeface="Cambria Math" panose="02040503050406030204" pitchFamily="18" charset="0"/>
                </a:rPr>
                <a:t>𝐹_𝐴𝑒</a:t>
              </a:r>
              <a:endParaRPr lang="en-GB" sz="1200"/>
            </a:p>
          </xdr:txBody>
        </xdr:sp>
      </mc:Fallback>
    </mc:AlternateContent>
    <xdr:clientData/>
  </xdr:oneCellAnchor>
  <xdr:oneCellAnchor>
    <xdr:from>
      <xdr:col>2</xdr:col>
      <xdr:colOff>59635</xdr:colOff>
      <xdr:row>18</xdr:row>
      <xdr:rowOff>18222</xdr:rowOff>
    </xdr:from>
    <xdr:ext cx="768627" cy="288000"/>
    <mc:AlternateContent xmlns:mc="http://schemas.openxmlformats.org/markup-compatibility/2006" xmlns:a14="http://schemas.microsoft.com/office/drawing/2010/main">
      <mc:Choice Requires="a14">
        <xdr:sp macro="" textlink="">
          <xdr:nvSpPr>
            <xdr:cNvPr id="12" name="Textfeld 11">
              <a:extLst>
                <a:ext uri="{FF2B5EF4-FFF2-40B4-BE49-F238E27FC236}">
                  <a16:creationId xmlns:a16="http://schemas.microsoft.com/office/drawing/2014/main" id="{00000000-0008-0000-0700-00000C000000}"/>
                </a:ext>
              </a:extLst>
            </xdr:cNvPr>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oMath>
                </m:oMathPara>
              </a14:m>
              <a:endParaRPr lang="en-GB" sz="1200"/>
            </a:p>
          </xdr:txBody>
        </xdr:sp>
      </mc:Choice>
      <mc:Fallback xmlns="">
        <xdr:sp macro="" textlink="">
          <xdr:nvSpPr>
            <xdr:cNvPr id="12" name="Textfeld 11"/>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𝐸𝑚_𝑟𝑒𝑙𝑒𝑣𝑎𝑛𝑡</a:t>
              </a:r>
              <a:endParaRPr lang="en-GB" sz="1200"/>
            </a:p>
          </xdr:txBody>
        </xdr:sp>
      </mc:Fallback>
    </mc:AlternateContent>
    <xdr:clientData/>
  </xdr:oneCellAnchor>
  <xdr:oneCellAnchor>
    <xdr:from>
      <xdr:col>2</xdr:col>
      <xdr:colOff>59635</xdr:colOff>
      <xdr:row>19</xdr:row>
      <xdr:rowOff>13252</xdr:rowOff>
    </xdr:from>
    <xdr:ext cx="669235" cy="288000"/>
    <mc:AlternateContent xmlns:mc="http://schemas.openxmlformats.org/markup-compatibility/2006" xmlns:a14="http://schemas.microsoft.com/office/drawing/2010/main">
      <mc:Choice Requires="a14">
        <xdr:sp macro="" textlink="">
          <xdr:nvSpPr>
            <xdr:cNvPr id="13" name="Textfeld 12">
              <a:extLst>
                <a:ext uri="{FF2B5EF4-FFF2-40B4-BE49-F238E27FC236}">
                  <a16:creationId xmlns:a16="http://schemas.microsoft.com/office/drawing/2014/main" id="{00000000-0008-0000-0700-00000D000000}"/>
                </a:ext>
              </a:extLst>
            </xdr:cNvPr>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13" name="Textfeld 12"/>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𝐸𝑚_𝑡𝑜𝑡𝑎𝑙</a:t>
              </a:r>
              <a:endParaRPr lang="en-GB" sz="12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eur-lex.europa.eu/legal-content/EN/TXT/?uri=CELEX:22017A1207(01)" TargetMode="External"/><Relationship Id="rId7" Type="http://schemas.openxmlformats.org/officeDocument/2006/relationships/hyperlink" Target="http://www.core.admin.ch/" TargetMode="External"/><Relationship Id="rId2" Type="http://schemas.openxmlformats.org/officeDocument/2006/relationships/hyperlink" Target="https://eur-lex.europa.eu/eli/reg_del/2019/1603/oj" TargetMode="External"/><Relationship Id="rId1" Type="http://schemas.openxmlformats.org/officeDocument/2006/relationships/hyperlink" Target="http://eur-lex.europa.eu/en/index.htm" TargetMode="External"/><Relationship Id="rId6" Type="http://schemas.openxmlformats.org/officeDocument/2006/relationships/hyperlink" Target="https://www.icao.int/environmental-protection/CORSIA/Pages/default.aspx" TargetMode="External"/><Relationship Id="rId5" Type="http://schemas.openxmlformats.org/officeDocument/2006/relationships/hyperlink" Target="http://data.europa.eu/eli/dir/2003/87/2024-03-01" TargetMode="External"/><Relationship Id="rId4" Type="http://schemas.openxmlformats.org/officeDocument/2006/relationships/hyperlink" Target="http://data.europa.eu/eli/reg_impl/2018/2066/2024-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102"/>
  <sheetViews>
    <sheetView showGridLines="0" tabSelected="1" zoomScale="115" zoomScaleNormal="115" zoomScaleSheetLayoutView="100" workbookViewId="0">
      <selection activeCell="B1" sqref="B1"/>
    </sheetView>
  </sheetViews>
  <sheetFormatPr baseColWidth="10" defaultColWidth="11.453125" defaultRowHeight="12.5" x14ac:dyDescent="0.25"/>
  <cols>
    <col min="1" max="1" width="4.54296875" style="12" customWidth="1"/>
    <col min="2" max="9" width="12.54296875" style="12" customWidth="1"/>
    <col min="10" max="10" width="4.54296875" style="12" customWidth="1"/>
    <col min="11" max="11" width="11.453125" style="12" customWidth="1"/>
    <col min="12" max="16384" width="11.453125" style="12"/>
  </cols>
  <sheetData>
    <row r="2" spans="1:11" s="1019" customFormat="1" ht="63.75" customHeight="1" x14ac:dyDescent="0.25">
      <c r="B2" s="1036" t="str">
        <f>Translations!$B$840</f>
        <v>ANNUAL EMISSIONS REPORT FOR AIRCRAFT OPERATORS ADMINISTERED BY SWITZERLAND</v>
      </c>
      <c r="C2" s="1036"/>
      <c r="D2" s="1036"/>
      <c r="E2" s="1036"/>
      <c r="F2" s="1036"/>
      <c r="G2" s="1036"/>
      <c r="H2" s="1036"/>
      <c r="I2" s="1036"/>
    </row>
    <row r="3" spans="1:11" ht="63.75" customHeight="1" x14ac:dyDescent="0.25">
      <c r="B3" s="1039" t="str">
        <f>Translations!$B$1244</f>
        <v>Used for combined reporting under the CH ETS and EU ETS</v>
      </c>
      <c r="C3" s="1039"/>
      <c r="D3" s="1039"/>
      <c r="E3" s="1039"/>
      <c r="F3" s="1039"/>
      <c r="G3" s="1039"/>
      <c r="H3" s="1039"/>
      <c r="I3" s="1039"/>
    </row>
    <row r="4" spans="1:11" s="1019" customFormat="1" ht="20.25" customHeight="1" x14ac:dyDescent="0.25">
      <c r="B4" s="1027" t="str">
        <f>Translations!$B$1401</f>
        <v>Updated version for emissions of 2024</v>
      </c>
      <c r="K4" s="1028"/>
    </row>
    <row r="5" spans="1:11" ht="6" customHeight="1" x14ac:dyDescent="0.25">
      <c r="B5" s="165"/>
    </row>
    <row r="6" spans="1:11" ht="34.5" customHeight="1" x14ac:dyDescent="0.25">
      <c r="B6" s="1037" t="str">
        <f>Translations!$B$3</f>
        <v>CONTENTS</v>
      </c>
      <c r="C6" s="1038"/>
      <c r="D6" s="1038"/>
      <c r="E6" s="1038"/>
      <c r="F6" s="1038"/>
      <c r="G6" s="1038"/>
      <c r="H6" s="1038"/>
      <c r="I6" s="1038"/>
      <c r="J6" s="281"/>
    </row>
    <row r="7" spans="1:11" ht="17.5" customHeight="1" x14ac:dyDescent="0.25">
      <c r="A7" s="166"/>
      <c r="B7" s="1033" t="str">
        <f>Translations!$B$4</f>
        <v>Guidelines and conditions</v>
      </c>
      <c r="C7" s="1034"/>
      <c r="D7" s="1034"/>
      <c r="E7" s="1034"/>
      <c r="F7" s="1034"/>
      <c r="G7" s="2"/>
      <c r="H7" s="2"/>
      <c r="I7" s="2"/>
    </row>
    <row r="8" spans="1:11" ht="17.5" customHeight="1" x14ac:dyDescent="0.25">
      <c r="A8" s="166">
        <v>1</v>
      </c>
      <c r="B8" s="1033" t="str">
        <f>Translations!$B$1088</f>
        <v>Reporting Year and Scope</v>
      </c>
      <c r="C8" s="1033"/>
      <c r="D8" s="1033"/>
      <c r="E8" s="1033"/>
      <c r="F8" s="1033"/>
      <c r="G8" s="2"/>
      <c r="H8" s="2"/>
      <c r="I8" s="2"/>
    </row>
    <row r="9" spans="1:11" ht="17.5" customHeight="1" x14ac:dyDescent="0.25">
      <c r="A9" s="166">
        <v>2</v>
      </c>
      <c r="B9" s="1033" t="str">
        <f>Translations!$B$6</f>
        <v>Identification of the aircraft operator</v>
      </c>
      <c r="C9" s="1033"/>
      <c r="D9" s="1033"/>
      <c r="E9" s="1033"/>
      <c r="F9" s="1034"/>
      <c r="G9" s="3"/>
      <c r="H9" s="3"/>
      <c r="I9" s="3"/>
    </row>
    <row r="10" spans="1:11" ht="17.5" customHeight="1" x14ac:dyDescent="0.25">
      <c r="A10" s="166">
        <v>3</v>
      </c>
      <c r="B10" s="1033" t="str">
        <f>Translations!$B$842</f>
        <v>Identification of the verifier</v>
      </c>
      <c r="C10" s="1033"/>
      <c r="D10" s="1033"/>
      <c r="E10" s="1033"/>
      <c r="F10" s="1034"/>
      <c r="G10" s="3"/>
      <c r="H10" s="3"/>
      <c r="I10" s="3"/>
    </row>
    <row r="11" spans="1:11" ht="17.5" customHeight="1" x14ac:dyDescent="0.25">
      <c r="A11" s="166">
        <v>4</v>
      </c>
      <c r="B11" s="1035" t="str">
        <f>Translations!$B$843</f>
        <v>Information about the monitoring plan</v>
      </c>
      <c r="C11" s="1033"/>
      <c r="D11" s="1033"/>
      <c r="E11" s="1033"/>
      <c r="F11" s="1033"/>
      <c r="G11" s="3"/>
      <c r="H11" s="3"/>
      <c r="I11" s="3"/>
    </row>
    <row r="12" spans="1:11" ht="17.5" customHeight="1" x14ac:dyDescent="0.25">
      <c r="A12" s="166">
        <v>5</v>
      </c>
      <c r="B12" s="1035" t="str">
        <f>Translations!$B$844</f>
        <v>Total emissions</v>
      </c>
      <c r="C12" s="1033"/>
      <c r="D12" s="1033"/>
      <c r="E12" s="1033"/>
      <c r="F12" s="1034"/>
      <c r="G12" s="3"/>
      <c r="H12" s="3"/>
      <c r="I12" s="3"/>
    </row>
    <row r="13" spans="1:11" ht="17.5" customHeight="1" x14ac:dyDescent="0.25">
      <c r="A13" s="166">
        <v>6</v>
      </c>
      <c r="B13" s="1035" t="str">
        <f>Translations!$B$845</f>
        <v>Use of simplified procedures</v>
      </c>
      <c r="C13" s="1033"/>
      <c r="D13" s="1033"/>
      <c r="E13" s="1033"/>
      <c r="F13" s="1034"/>
      <c r="G13" s="3"/>
      <c r="H13" s="3"/>
      <c r="I13" s="3"/>
    </row>
    <row r="14" spans="1:11" ht="17.5" customHeight="1" x14ac:dyDescent="0.25">
      <c r="A14" s="166">
        <v>7</v>
      </c>
      <c r="B14" s="1035" t="str">
        <f>Translations!$B$846</f>
        <v>Approach for data gaps</v>
      </c>
      <c r="C14" s="1033"/>
      <c r="D14" s="1033"/>
      <c r="E14" s="1033"/>
      <c r="F14" s="1034"/>
      <c r="G14" s="3"/>
      <c r="H14" s="3"/>
      <c r="I14" s="3"/>
    </row>
    <row r="15" spans="1:11" ht="17.5" customHeight="1" x14ac:dyDescent="0.25">
      <c r="A15" s="166" t="s">
        <v>0</v>
      </c>
      <c r="B15" s="1035" t="str">
        <f>Translations!$B$1039</f>
        <v>Detailed emissions data – EU ETS</v>
      </c>
      <c r="C15" s="1033"/>
      <c r="D15" s="1033"/>
      <c r="E15" s="1033"/>
      <c r="F15" s="1034"/>
      <c r="G15" s="3"/>
      <c r="H15" s="3"/>
      <c r="I15" s="3"/>
    </row>
    <row r="16" spans="1:11" ht="17.5" customHeight="1" x14ac:dyDescent="0.25">
      <c r="A16" s="166" t="s">
        <v>1</v>
      </c>
      <c r="B16" s="1035" t="str">
        <f>Translations!$B$1245</f>
        <v>Detailed emissions data – CH ETS</v>
      </c>
      <c r="C16" s="1033"/>
      <c r="D16" s="1033"/>
      <c r="E16" s="1033"/>
      <c r="F16" s="1034"/>
      <c r="G16" s="3"/>
      <c r="H16" s="3"/>
      <c r="I16" s="3"/>
    </row>
    <row r="17" spans="1:12" ht="17.5" customHeight="1" x14ac:dyDescent="0.25">
      <c r="A17" s="166">
        <v>9</v>
      </c>
      <c r="B17" s="1035" t="str">
        <f>Translations!$B$848</f>
        <v>Aircraft data</v>
      </c>
      <c r="C17" s="1033"/>
      <c r="D17" s="1033"/>
      <c r="E17" s="1033"/>
      <c r="F17" s="1034"/>
      <c r="G17" s="3"/>
      <c r="H17" s="3"/>
      <c r="I17" s="3"/>
    </row>
    <row r="18" spans="1:12" ht="17.5" customHeight="1" x14ac:dyDescent="0.25">
      <c r="A18" s="166">
        <v>10</v>
      </c>
      <c r="B18" s="1033" t="str">
        <f>Translations!$B$20</f>
        <v>Specific further information</v>
      </c>
      <c r="C18" s="1033"/>
      <c r="D18" s="1033"/>
      <c r="E18" s="1033"/>
      <c r="F18" s="1034"/>
      <c r="G18" s="3"/>
      <c r="H18" s="3"/>
      <c r="I18" s="3"/>
    </row>
    <row r="19" spans="1:12" ht="17.5" customHeight="1" x14ac:dyDescent="0.25">
      <c r="A19" s="166" t="s">
        <v>2</v>
      </c>
      <c r="B19" s="1033" t="str">
        <f>Translations!$B$1402</f>
        <v>Proportional fuel attribution at airports</v>
      </c>
      <c r="C19" s="1033"/>
      <c r="D19" s="1033"/>
      <c r="E19" s="1033"/>
      <c r="F19" s="1033"/>
      <c r="G19" s="3"/>
      <c r="H19" s="3"/>
      <c r="I19" s="3"/>
    </row>
    <row r="20" spans="1:12" ht="17.5" customHeight="1" x14ac:dyDescent="0.25">
      <c r="A20" s="166" t="s">
        <v>4</v>
      </c>
      <c r="B20" s="1033" t="str">
        <f>Translations!$B$1403</f>
        <v>Support under Article 3c(6) of the EU ETS Directive</v>
      </c>
      <c r="C20" s="1033"/>
      <c r="D20" s="1033"/>
      <c r="E20" s="1033"/>
      <c r="F20" s="1033"/>
      <c r="G20" s="3"/>
      <c r="H20" s="3"/>
      <c r="I20" s="3"/>
    </row>
    <row r="21" spans="1:12" ht="17.5" customHeight="1" x14ac:dyDescent="0.25">
      <c r="A21" s="166">
        <v>11</v>
      </c>
      <c r="B21" s="1033" t="str">
        <f>Translations!$B$1246</f>
        <v>Annex: Emissions per aerodrome pair – EU ETS and CH ETS</v>
      </c>
      <c r="C21" s="1033"/>
      <c r="D21" s="1033"/>
      <c r="E21" s="1033"/>
      <c r="F21" s="1034"/>
      <c r="G21" s="3"/>
      <c r="H21" s="3"/>
      <c r="I21" s="3"/>
      <c r="L21" s="1012"/>
    </row>
    <row r="22" spans="1:12" ht="17.5" hidden="1" customHeight="1" x14ac:dyDescent="0.25">
      <c r="A22" s="166">
        <v>12</v>
      </c>
      <c r="B22" s="1033" t="str">
        <f>Translations!$B$1041</f>
        <v>CORSIA emissions data</v>
      </c>
      <c r="C22" s="1033"/>
      <c r="D22" s="1033"/>
      <c r="E22" s="1033"/>
      <c r="F22" s="1034"/>
      <c r="G22" s="3"/>
      <c r="H22" s="3"/>
      <c r="I22" s="3"/>
    </row>
    <row r="23" spans="1:12" x14ac:dyDescent="0.25">
      <c r="A23" s="166"/>
      <c r="B23" s="19"/>
    </row>
    <row r="24" spans="1:12" ht="13" thickBot="1" x14ac:dyDescent="0.3">
      <c r="A24" s="166"/>
    </row>
    <row r="25" spans="1:12" ht="13.5" thickBot="1" x14ac:dyDescent="0.3">
      <c r="B25" s="12" t="str">
        <f>Translations!$B$850</f>
        <v>Reporting year:</v>
      </c>
      <c r="F25" s="171">
        <f>IF(ISBLANK('Identification and description'!I7),"",'Identification and description'!I7)</f>
        <v>2024</v>
      </c>
    </row>
    <row r="26" spans="1:12" ht="5.15" customHeight="1" x14ac:dyDescent="0.25"/>
    <row r="27" spans="1:12" ht="13" thickBot="1" x14ac:dyDescent="0.3">
      <c r="B27" s="1056" t="str">
        <f>Translations!$B$851</f>
        <v>Information about this report:</v>
      </c>
      <c r="C27" s="1045"/>
      <c r="D27" s="1045"/>
      <c r="E27" s="1045"/>
      <c r="F27" s="1045"/>
      <c r="G27" s="1045"/>
      <c r="H27" s="1045"/>
      <c r="I27" s="1045"/>
    </row>
    <row r="28" spans="1:12" s="154" customFormat="1" ht="12.75" customHeight="1" x14ac:dyDescent="0.25">
      <c r="B28" s="1061" t="str">
        <f>Translations!$B$1033</f>
        <v>This Annual Emissions Report was submitted by:</v>
      </c>
      <c r="C28" s="1045"/>
      <c r="D28" s="1045"/>
      <c r="E28" s="1057"/>
      <c r="F28" s="320" t="str">
        <f>IF(ISBLANK('Identification and description'!I44),"",'Identification and description'!I44)</f>
        <v/>
      </c>
      <c r="G28" s="167"/>
      <c r="H28" s="167"/>
      <c r="I28" s="168"/>
    </row>
    <row r="29" spans="1:12" s="154" customFormat="1" ht="13" x14ac:dyDescent="0.25">
      <c r="B29" s="1045" t="str">
        <f>Translations!$B$23</f>
        <v>Unique Identifier of the aircraft operator (CRCO No.):</v>
      </c>
      <c r="C29" s="1045"/>
      <c r="D29" s="1045"/>
      <c r="E29" s="1057"/>
      <c r="F29" s="321" t="str">
        <f>IF(ISBLANK('Identification and description'!I47),"",'Identification and description'!I47)</f>
        <v/>
      </c>
      <c r="G29" s="169"/>
      <c r="H29" s="169"/>
      <c r="I29" s="170"/>
    </row>
    <row r="30" spans="1:12" s="154" customFormat="1" ht="13" x14ac:dyDescent="0.25">
      <c r="B30" s="1058" t="str">
        <f>Translations!$B$1042</f>
        <v>Version number of this emission report:</v>
      </c>
      <c r="C30" s="1045"/>
      <c r="D30" s="1045"/>
      <c r="E30" s="1057"/>
      <c r="F30" s="321" t="str">
        <f>IF(ISBLANK('Identification and description'!K10),"",'Identification and description'!K10)</f>
        <v/>
      </c>
      <c r="G30" s="169"/>
      <c r="H30" s="169"/>
      <c r="I30" s="170"/>
    </row>
    <row r="31" spans="1:12" s="154" customFormat="1" ht="13" x14ac:dyDescent="0.25">
      <c r="B31" s="1058" t="str">
        <f>Translations!$B$899</f>
        <v>Version number of the latest approved monitoring plan:</v>
      </c>
      <c r="C31" s="1045"/>
      <c r="D31" s="1045"/>
      <c r="E31" s="1057"/>
      <c r="F31" s="322" t="str">
        <f>IF(ISBLANK('Emissions overview'!I7),"",'Emissions overview'!I7)</f>
        <v/>
      </c>
      <c r="G31" s="294"/>
      <c r="H31" s="294"/>
      <c r="I31" s="295"/>
      <c r="L31" s="1012"/>
    </row>
    <row r="32" spans="1:12" s="154" customFormat="1" ht="13.5" hidden="1" thickBot="1" x14ac:dyDescent="0.3">
      <c r="B32" s="1058" t="str">
        <f>Translations!$B$1043</f>
        <v>This emission report is used for CORSIA:</v>
      </c>
      <c r="C32" s="1045"/>
      <c r="D32" s="1045"/>
      <c r="E32" s="1057"/>
      <c r="F32" s="323" t="str">
        <f>IF(ISBLANK('Identification and description'!K30),"",'Identification and description'!K30)</f>
        <v/>
      </c>
      <c r="G32" s="277"/>
      <c r="H32" s="277"/>
      <c r="I32" s="278"/>
    </row>
    <row r="33" spans="2:9" ht="13" thickBot="1" x14ac:dyDescent="0.3">
      <c r="H33" s="2"/>
    </row>
    <row r="34" spans="2:9" ht="25.5" customHeight="1" thickBot="1" x14ac:dyDescent="0.3">
      <c r="B34" s="1054" t="str">
        <f>Translations!$B$1044</f>
        <v>Total emissions of the aircraft operator from flights reportable under the EU ETS:</v>
      </c>
      <c r="C34" s="1045"/>
      <c r="D34" s="1045"/>
      <c r="E34" s="1045"/>
      <c r="F34" s="1057"/>
      <c r="G34" s="1059">
        <f>SUM(INDICATOR_ETS_TotalEmissions)</f>
        <v>0</v>
      </c>
      <c r="H34" s="1060"/>
      <c r="I34" s="354" t="s">
        <v>6</v>
      </c>
    </row>
    <row r="35" spans="2:9" ht="25.5" customHeight="1" x14ac:dyDescent="0.25">
      <c r="B35" s="1062" t="str">
        <f>Translations!$B$853</f>
        <v xml:space="preserve">This is the amount of allowances to be surrendered by the aircraft operator, as calculated in section 5(c). This figure should only include emissions to be reported under the EU ETS, i.e. relate to the reduced scope. </v>
      </c>
      <c r="C35" s="1062"/>
      <c r="D35" s="1062"/>
      <c r="E35" s="1062"/>
      <c r="F35" s="1062"/>
      <c r="G35" s="1062"/>
      <c r="H35" s="1062"/>
      <c r="I35" s="1062"/>
    </row>
    <row r="36" spans="2:9" ht="5.15" customHeight="1" x14ac:dyDescent="0.25">
      <c r="B36" s="154"/>
      <c r="C36" s="154"/>
      <c r="D36" s="154"/>
      <c r="E36" s="154"/>
      <c r="F36" s="154"/>
      <c r="G36" s="154"/>
      <c r="H36" s="154"/>
      <c r="I36" s="154"/>
    </row>
    <row r="37" spans="2:9" ht="15.5" x14ac:dyDescent="0.25">
      <c r="B37" s="173" t="str">
        <f>Translations!$B$1404</f>
        <v>Memo-Item: Total emissions based on preliminary emission factors</v>
      </c>
      <c r="C37" s="154"/>
      <c r="D37" s="154"/>
      <c r="E37" s="154"/>
      <c r="F37" s="154"/>
      <c r="G37" s="1031">
        <f>SUM(INDICATOR_ETS_TotalPrelEF_Emissions)</f>
        <v>0</v>
      </c>
      <c r="H37" s="1032"/>
      <c r="I37" s="174" t="s">
        <v>6</v>
      </c>
    </row>
    <row r="38" spans="2:9" ht="5.15" customHeight="1" x14ac:dyDescent="0.25">
      <c r="B38" s="154"/>
      <c r="C38" s="154"/>
      <c r="D38" s="154"/>
      <c r="E38" s="154"/>
      <c r="F38" s="154"/>
      <c r="G38" s="154"/>
      <c r="H38" s="154"/>
      <c r="I38" s="154"/>
    </row>
    <row r="39" spans="2:9" ht="15.5" x14ac:dyDescent="0.25">
      <c r="B39" s="173" t="str">
        <f>Translations!$B$1405</f>
        <v>Memo-Item: Total zero-rated emissions</v>
      </c>
      <c r="C39" s="154"/>
      <c r="D39" s="154"/>
      <c r="E39" s="154"/>
      <c r="F39" s="154"/>
      <c r="G39" s="1031">
        <f>SUM(INDICATOR_ETS_TotalZeroRatedEmissions)</f>
        <v>0</v>
      </c>
      <c r="H39" s="1032"/>
      <c r="I39" s="174" t="s">
        <v>6</v>
      </c>
    </row>
    <row r="40" spans="2:9" ht="5.15" customHeight="1" x14ac:dyDescent="0.25">
      <c r="B40" s="154"/>
      <c r="C40" s="154"/>
      <c r="D40" s="154"/>
      <c r="E40" s="154"/>
      <c r="F40" s="154"/>
      <c r="G40" s="154"/>
      <c r="H40" s="154"/>
      <c r="I40" s="154"/>
    </row>
    <row r="41" spans="2:9" ht="15.5" x14ac:dyDescent="0.25">
      <c r="B41" s="173" t="str">
        <f>Translations!$B$1406</f>
        <v>Memo-Item: Total zero-rated biomass emissions</v>
      </c>
      <c r="C41" s="154"/>
      <c r="D41" s="154"/>
      <c r="E41" s="154"/>
      <c r="F41" s="154"/>
      <c r="G41" s="1031">
        <f>SUM(INDICATOR_ETS_TotalZeroRatedBioEm)</f>
        <v>0</v>
      </c>
      <c r="H41" s="1032"/>
      <c r="I41" s="174" t="s">
        <v>6</v>
      </c>
    </row>
    <row r="42" spans="2:9" ht="5.15" customHeight="1" x14ac:dyDescent="0.25">
      <c r="B42" s="154"/>
      <c r="C42" s="154"/>
      <c r="D42" s="154"/>
      <c r="E42" s="154"/>
      <c r="F42" s="154"/>
      <c r="G42" s="154"/>
      <c r="H42" s="154"/>
      <c r="I42" s="154"/>
    </row>
    <row r="43" spans="2:9" ht="15.5" x14ac:dyDescent="0.25">
      <c r="B43" s="173" t="str">
        <f>Translations!$B$1407</f>
        <v>Memo-Item: Total non-zero-rated biomass emissions</v>
      </c>
      <c r="C43" s="154"/>
      <c r="D43" s="154"/>
      <c r="E43" s="154"/>
      <c r="F43" s="154"/>
      <c r="G43" s="1031">
        <f>SUM(INDICATOR_ETS_TotalNonZeroRatedBioEm)</f>
        <v>0</v>
      </c>
      <c r="H43" s="1032"/>
      <c r="I43" s="174" t="s">
        <v>6</v>
      </c>
    </row>
    <row r="44" spans="2:9" ht="5.15" customHeight="1" x14ac:dyDescent="0.25">
      <c r="B44" s="154"/>
      <c r="C44" s="154"/>
      <c r="D44" s="154"/>
      <c r="E44" s="154"/>
      <c r="F44" s="154"/>
      <c r="G44" s="154"/>
      <c r="H44" s="154"/>
      <c r="I44" s="154"/>
    </row>
    <row r="45" spans="2:9" ht="15.5" x14ac:dyDescent="0.25">
      <c r="B45" s="173" t="str">
        <f>Translations!$B$1408</f>
        <v>Memo-Item: Total zero-rated emissions from RFNBO/RCF</v>
      </c>
      <c r="C45" s="154"/>
      <c r="D45" s="154"/>
      <c r="E45" s="154"/>
      <c r="F45" s="154"/>
      <c r="G45" s="1031">
        <f>SUM(INDICATOR_ETS_TotalZeroRatedRFNBO)</f>
        <v>0</v>
      </c>
      <c r="H45" s="1032"/>
      <c r="I45" s="174" t="s">
        <v>6</v>
      </c>
    </row>
    <row r="46" spans="2:9" ht="5.15" customHeight="1" x14ac:dyDescent="0.25">
      <c r="B46" s="154"/>
      <c r="C46" s="154"/>
      <c r="D46" s="154"/>
      <c r="E46" s="154"/>
      <c r="F46" s="154"/>
      <c r="G46" s="154"/>
      <c r="H46" s="154"/>
      <c r="I46" s="154"/>
    </row>
    <row r="47" spans="2:9" ht="15.5" x14ac:dyDescent="0.25">
      <c r="B47" s="173" t="str">
        <f>Translations!$B$1409</f>
        <v>Memo-Item: Total non-zero-rated emissions from RFNBO/RCF</v>
      </c>
      <c r="C47" s="154"/>
      <c r="D47" s="154"/>
      <c r="E47" s="154"/>
      <c r="F47" s="154"/>
      <c r="G47" s="1031">
        <f>SUM(INDICATOR_ETS_TotalNonZeroRatedRFNBO)</f>
        <v>0</v>
      </c>
      <c r="H47" s="1032"/>
      <c r="I47" s="174" t="s">
        <v>6</v>
      </c>
    </row>
    <row r="48" spans="2:9" ht="5.15" customHeight="1" x14ac:dyDescent="0.25">
      <c r="B48" s="154"/>
      <c r="C48" s="154"/>
      <c r="D48" s="154"/>
      <c r="E48" s="154"/>
      <c r="F48" s="154"/>
      <c r="G48" s="154"/>
      <c r="H48" s="154"/>
      <c r="I48" s="154"/>
    </row>
    <row r="49" spans="1:10" ht="15.5" x14ac:dyDescent="0.25">
      <c r="B49" s="173" t="str">
        <f>Translations!$B$1410</f>
        <v>Memo-Item: Total zero-rated emissions from SLCFs</v>
      </c>
      <c r="C49" s="154"/>
      <c r="D49" s="154"/>
      <c r="E49" s="154"/>
      <c r="F49" s="154"/>
      <c r="G49" s="1031">
        <f>SUM(INDICATOR_ETS_TotalZeroRatedSLCF)</f>
        <v>0</v>
      </c>
      <c r="H49" s="1032"/>
      <c r="I49" s="174" t="s">
        <v>6</v>
      </c>
    </row>
    <row r="50" spans="1:10" ht="5.15" customHeight="1" x14ac:dyDescent="0.25">
      <c r="B50" s="154"/>
      <c r="C50" s="154"/>
      <c r="D50" s="154"/>
      <c r="E50" s="154"/>
      <c r="F50" s="154"/>
      <c r="G50" s="154"/>
      <c r="H50" s="154"/>
      <c r="I50" s="154"/>
    </row>
    <row r="51" spans="1:10" ht="15.5" x14ac:dyDescent="0.25">
      <c r="B51" s="173" t="str">
        <f>Translations!$B$1411</f>
        <v>Memo-Item: Total non-zero-rated emissions from SLCFs</v>
      </c>
      <c r="C51" s="154"/>
      <c r="D51" s="154"/>
      <c r="E51" s="154"/>
      <c r="F51" s="154"/>
      <c r="G51" s="1031">
        <f>SUM(INDICATOR_ETS_TotalNonZeroRatedSLCF)</f>
        <v>0</v>
      </c>
      <c r="H51" s="1032"/>
      <c r="I51" s="174" t="s">
        <v>6</v>
      </c>
    </row>
    <row r="52" spans="1:10" x14ac:dyDescent="0.25">
      <c r="H52" s="2"/>
    </row>
    <row r="53" spans="1:10" ht="5.15" customHeight="1" thickBot="1" x14ac:dyDescent="0.3">
      <c r="A53" s="453"/>
      <c r="B53" s="453"/>
      <c r="C53" s="453"/>
      <c r="D53" s="453"/>
      <c r="E53" s="453"/>
      <c r="F53" s="453"/>
      <c r="G53" s="453"/>
      <c r="H53" s="454"/>
      <c r="I53" s="453"/>
      <c r="J53" s="453"/>
    </row>
    <row r="54" spans="1:10" ht="25.5" customHeight="1" thickBot="1" x14ac:dyDescent="0.3">
      <c r="A54" s="453"/>
      <c r="B54" s="1054" t="str">
        <f>Translations!$B$1247</f>
        <v>Total emissions of the aircraft operator from flights reportable under the CH ETS (Swiss ETS):</v>
      </c>
      <c r="C54" s="1045"/>
      <c r="D54" s="1045"/>
      <c r="E54" s="1045"/>
      <c r="F54" s="1057"/>
      <c r="G54" s="1059">
        <f>SUM(INDICATOR_CHETS_TotalEmissions)</f>
        <v>0</v>
      </c>
      <c r="H54" s="1060"/>
      <c r="I54" s="354" t="s">
        <v>6</v>
      </c>
      <c r="J54" s="453"/>
    </row>
    <row r="55" spans="1:10" ht="12.75" customHeight="1" x14ac:dyDescent="0.25">
      <c r="A55" s="453"/>
      <c r="B55" s="1062" t="str">
        <f>Translations!$B$1248</f>
        <v>This is the amount of allowances to be surrendered by the aircraft operator for compliance under the CH ETS, as calculated in section 5(d).</v>
      </c>
      <c r="C55" s="1062"/>
      <c r="D55" s="1062"/>
      <c r="E55" s="1062"/>
      <c r="F55" s="1062"/>
      <c r="G55" s="1062"/>
      <c r="H55" s="1062"/>
      <c r="I55" s="1062"/>
      <c r="J55" s="453"/>
    </row>
    <row r="56" spans="1:10" ht="5.15" customHeight="1" x14ac:dyDescent="0.25">
      <c r="A56" s="453"/>
      <c r="B56" s="154"/>
      <c r="C56" s="154"/>
      <c r="D56" s="154"/>
      <c r="E56" s="154"/>
      <c r="F56" s="154"/>
      <c r="G56" s="154"/>
      <c r="H56" s="154"/>
      <c r="I56" s="154"/>
      <c r="J56" s="453"/>
    </row>
    <row r="57" spans="1:10" ht="15.5" x14ac:dyDescent="0.25">
      <c r="A57" s="453"/>
      <c r="B57" s="173" t="str">
        <f>Translations!$B$1404</f>
        <v>Memo-Item: Total emissions based on preliminary emission factors</v>
      </c>
      <c r="C57" s="154"/>
      <c r="D57" s="154"/>
      <c r="E57" s="154"/>
      <c r="F57" s="154"/>
      <c r="G57" s="1031">
        <f>SUM(INDICATOR_CHETS_TotalPrelEF_Emissions)</f>
        <v>0</v>
      </c>
      <c r="H57" s="1032"/>
      <c r="I57" s="174" t="s">
        <v>6</v>
      </c>
      <c r="J57" s="453"/>
    </row>
    <row r="58" spans="1:10" ht="5.15" customHeight="1" x14ac:dyDescent="0.25">
      <c r="A58" s="453"/>
      <c r="B58" s="154"/>
      <c r="C58" s="154"/>
      <c r="D58" s="154"/>
      <c r="E58" s="154"/>
      <c r="F58" s="154"/>
      <c r="G58" s="154"/>
      <c r="H58" s="154"/>
      <c r="I58" s="154"/>
      <c r="J58" s="453"/>
    </row>
    <row r="59" spans="1:10" ht="15.5" x14ac:dyDescent="0.25">
      <c r="A59" s="453"/>
      <c r="B59" s="173" t="str">
        <f>Translations!$B$1405</f>
        <v>Memo-Item: Total zero-rated emissions</v>
      </c>
      <c r="C59" s="154"/>
      <c r="D59" s="154"/>
      <c r="E59" s="154"/>
      <c r="F59" s="154"/>
      <c r="G59" s="1031">
        <f>SUM(INDICATOR_CHETS_TotalZeroRatedEmissions)</f>
        <v>0</v>
      </c>
      <c r="H59" s="1032"/>
      <c r="I59" s="174" t="s">
        <v>6</v>
      </c>
      <c r="J59" s="453"/>
    </row>
    <row r="60" spans="1:10" ht="5.15" customHeight="1" x14ac:dyDescent="0.25">
      <c r="A60" s="453"/>
      <c r="B60" s="154"/>
      <c r="C60" s="154"/>
      <c r="D60" s="154"/>
      <c r="E60" s="154"/>
      <c r="F60" s="154"/>
      <c r="G60" s="154"/>
      <c r="H60" s="154"/>
      <c r="I60" s="154"/>
      <c r="J60" s="453"/>
    </row>
    <row r="61" spans="1:10" ht="15.5" x14ac:dyDescent="0.25">
      <c r="A61" s="453"/>
      <c r="B61" s="173" t="str">
        <f>Translations!$B$1406</f>
        <v>Memo-Item: Total zero-rated biomass emissions</v>
      </c>
      <c r="C61" s="154"/>
      <c r="D61" s="154"/>
      <c r="E61" s="154"/>
      <c r="F61" s="154"/>
      <c r="G61" s="1031">
        <f>SUM(INDICATOR_CHETS_TotalZeroRatedBioEm)</f>
        <v>0</v>
      </c>
      <c r="H61" s="1032"/>
      <c r="I61" s="174" t="s">
        <v>6</v>
      </c>
      <c r="J61" s="453"/>
    </row>
    <row r="62" spans="1:10" ht="5.15" customHeight="1" x14ac:dyDescent="0.25">
      <c r="A62" s="453"/>
      <c r="B62" s="154"/>
      <c r="C62" s="154"/>
      <c r="D62" s="154"/>
      <c r="E62" s="154"/>
      <c r="F62" s="154"/>
      <c r="G62" s="154"/>
      <c r="H62" s="154"/>
      <c r="I62" s="154"/>
      <c r="J62" s="453"/>
    </row>
    <row r="63" spans="1:10" ht="15.5" x14ac:dyDescent="0.25">
      <c r="A63" s="453"/>
      <c r="B63" s="173" t="str">
        <f>Translations!$B$1407</f>
        <v>Memo-Item: Total non-zero-rated biomass emissions</v>
      </c>
      <c r="C63" s="154"/>
      <c r="D63" s="154"/>
      <c r="E63" s="154"/>
      <c r="F63" s="154"/>
      <c r="G63" s="1031">
        <f>SUM(INDICATOR_CHETS_TotalNonZeroRatedBioEm)</f>
        <v>0</v>
      </c>
      <c r="H63" s="1032"/>
      <c r="I63" s="174" t="s">
        <v>6</v>
      </c>
      <c r="J63" s="453"/>
    </row>
    <row r="64" spans="1:10" ht="5.15" customHeight="1" x14ac:dyDescent="0.25">
      <c r="A64" s="453"/>
      <c r="B64" s="154"/>
      <c r="C64" s="154"/>
      <c r="D64" s="154"/>
      <c r="E64" s="154"/>
      <c r="F64" s="154"/>
      <c r="G64" s="154"/>
      <c r="H64" s="154"/>
      <c r="I64" s="154"/>
      <c r="J64" s="453"/>
    </row>
    <row r="65" spans="1:10" ht="15.5" x14ac:dyDescent="0.25">
      <c r="A65" s="453"/>
      <c r="B65" s="173" t="str">
        <f>Translations!$B$1408</f>
        <v>Memo-Item: Total zero-rated emissions from RFNBO/RCF</v>
      </c>
      <c r="C65" s="154"/>
      <c r="D65" s="154"/>
      <c r="E65" s="154"/>
      <c r="F65" s="154"/>
      <c r="G65" s="1031">
        <f>SUM(INDICATOR_CHETS_TotalZeroRatedRFNBO)</f>
        <v>0</v>
      </c>
      <c r="H65" s="1032"/>
      <c r="I65" s="174" t="s">
        <v>6</v>
      </c>
      <c r="J65" s="453"/>
    </row>
    <row r="66" spans="1:10" ht="5.15" customHeight="1" x14ac:dyDescent="0.25">
      <c r="A66" s="453"/>
      <c r="B66" s="154"/>
      <c r="C66" s="154"/>
      <c r="D66" s="154"/>
      <c r="E66" s="154"/>
      <c r="F66" s="154"/>
      <c r="G66" s="154"/>
      <c r="H66" s="154"/>
      <c r="I66" s="154"/>
      <c r="J66" s="453"/>
    </row>
    <row r="67" spans="1:10" ht="15.5" x14ac:dyDescent="0.25">
      <c r="A67" s="453"/>
      <c r="B67" s="173" t="str">
        <f>Translations!$B$1409</f>
        <v>Memo-Item: Total non-zero-rated emissions from RFNBO/RCF</v>
      </c>
      <c r="C67" s="154"/>
      <c r="D67" s="154"/>
      <c r="E67" s="154"/>
      <c r="F67" s="154"/>
      <c r="G67" s="1031">
        <f>SUM(INDICATOR_CHETS_TotalNonZeroRatedRFNBO)</f>
        <v>0</v>
      </c>
      <c r="H67" s="1032"/>
      <c r="I67" s="174" t="s">
        <v>6</v>
      </c>
      <c r="J67" s="453"/>
    </row>
    <row r="68" spans="1:10" ht="5.15" customHeight="1" x14ac:dyDescent="0.25">
      <c r="A68" s="453"/>
      <c r="B68" s="154"/>
      <c r="C68" s="154"/>
      <c r="D68" s="154"/>
      <c r="E68" s="154"/>
      <c r="F68" s="154"/>
      <c r="G68" s="154"/>
      <c r="H68" s="154"/>
      <c r="I68" s="154"/>
      <c r="J68" s="453"/>
    </row>
    <row r="69" spans="1:10" ht="15.5" x14ac:dyDescent="0.25">
      <c r="A69" s="453"/>
      <c r="B69" s="173" t="str">
        <f>Translations!$B$1410</f>
        <v>Memo-Item: Total zero-rated emissions from SLCFs</v>
      </c>
      <c r="C69" s="154"/>
      <c r="D69" s="154"/>
      <c r="E69" s="154"/>
      <c r="F69" s="154"/>
      <c r="G69" s="1031">
        <f>SUM(INDICATOR_CHETS_TotalZeroRatedSLCF)</f>
        <v>0</v>
      </c>
      <c r="H69" s="1032"/>
      <c r="I69" s="174" t="s">
        <v>6</v>
      </c>
      <c r="J69" s="453"/>
    </row>
    <row r="70" spans="1:10" ht="5.15" customHeight="1" x14ac:dyDescent="0.25">
      <c r="A70" s="453"/>
      <c r="B70" s="154"/>
      <c r="C70" s="154"/>
      <c r="D70" s="154"/>
      <c r="E70" s="154"/>
      <c r="F70" s="154"/>
      <c r="G70" s="154"/>
      <c r="H70" s="154"/>
      <c r="I70" s="154"/>
      <c r="J70" s="453"/>
    </row>
    <row r="71" spans="1:10" ht="15.5" x14ac:dyDescent="0.25">
      <c r="A71" s="453"/>
      <c r="B71" s="173" t="str">
        <f>Translations!$B$1411</f>
        <v>Memo-Item: Total non-zero-rated emissions from SLCFs</v>
      </c>
      <c r="C71" s="154"/>
      <c r="D71" s="154"/>
      <c r="E71" s="154"/>
      <c r="F71" s="154"/>
      <c r="G71" s="1031">
        <f>SUM(INDICATOR_CHETS_TotalNonZeroRatedSLCF)</f>
        <v>0</v>
      </c>
      <c r="H71" s="1032"/>
      <c r="I71" s="174" t="s">
        <v>6</v>
      </c>
      <c r="J71" s="453"/>
    </row>
    <row r="72" spans="1:10" ht="5.15" customHeight="1" x14ac:dyDescent="0.25">
      <c r="A72" s="453"/>
      <c r="B72" s="453"/>
      <c r="C72" s="453"/>
      <c r="D72" s="453"/>
      <c r="E72" s="453"/>
      <c r="F72" s="453"/>
      <c r="G72" s="453"/>
      <c r="H72" s="454"/>
      <c r="I72" s="453"/>
      <c r="J72" s="453"/>
    </row>
    <row r="73" spans="1:10" x14ac:dyDescent="0.25">
      <c r="H73" s="2"/>
    </row>
    <row r="74" spans="1:10" ht="5.15" hidden="1" customHeight="1" x14ac:dyDescent="0.25">
      <c r="A74" s="279"/>
      <c r="B74" s="279"/>
      <c r="C74" s="279"/>
      <c r="D74" s="279"/>
      <c r="E74" s="279"/>
      <c r="F74" s="279"/>
      <c r="G74" s="279"/>
      <c r="H74" s="280"/>
      <c r="I74" s="279"/>
      <c r="J74" s="279"/>
    </row>
    <row r="75" spans="1:10" ht="13" hidden="1" x14ac:dyDescent="0.25">
      <c r="A75" s="279"/>
      <c r="B75" s="172" t="str">
        <f>Translations!$B$1045</f>
        <v>Emissions of the aircraft operator from international flights covered by CORSIA:</v>
      </c>
      <c r="H75" s="2"/>
      <c r="J75" s="279"/>
    </row>
    <row r="76" spans="1:10" ht="5.15" hidden="1" customHeight="1" x14ac:dyDescent="0.25">
      <c r="A76" s="279"/>
      <c r="H76" s="2"/>
      <c r="J76" s="279"/>
    </row>
    <row r="77" spans="1:10" ht="15.5" hidden="1" x14ac:dyDescent="0.25">
      <c r="A77" s="279"/>
      <c r="B77" s="1044" t="str">
        <f>Translations!$B$1046</f>
        <v>Total emissions from international flights:</v>
      </c>
      <c r="C77" s="1045"/>
      <c r="D77" s="1045"/>
      <c r="E77" s="1045"/>
      <c r="F77" s="1046"/>
      <c r="G77" s="1042" t="str">
        <f>IF(INDICATOR_CORSIA_totalCO2="","",ROUND(INDICATOR_CORSIA_totalCO2,0))</f>
        <v/>
      </c>
      <c r="H77" s="1043"/>
      <c r="I77" s="174" t="s">
        <v>6</v>
      </c>
      <c r="J77" s="279"/>
    </row>
    <row r="78" spans="1:10" ht="5.15" hidden="1" customHeight="1" x14ac:dyDescent="0.25">
      <c r="A78" s="279"/>
      <c r="G78" s="154"/>
      <c r="H78" s="154"/>
      <c r="I78" s="154"/>
      <c r="J78" s="279"/>
    </row>
    <row r="79" spans="1:10" ht="15.5" hidden="1" x14ac:dyDescent="0.25">
      <c r="A79" s="279"/>
      <c r="B79" s="1044" t="str">
        <f>Translations!$B$1047</f>
        <v>Total emissions from flights subject to offsetting requirements:</v>
      </c>
      <c r="C79" s="1045"/>
      <c r="D79" s="1045"/>
      <c r="E79" s="1045"/>
      <c r="F79" s="1046"/>
      <c r="G79" s="1042" t="str">
        <f>IF(INDICATOR_CORSIA_totalCO2withOffsetting="","",ROUND(INDICATOR_CORSIA_totalCO2withOffsetting,0))</f>
        <v/>
      </c>
      <c r="H79" s="1043"/>
      <c r="I79" s="285" t="s">
        <v>6</v>
      </c>
      <c r="J79" s="279"/>
    </row>
    <row r="80" spans="1:10" ht="5.15" hidden="1" customHeight="1" x14ac:dyDescent="0.25">
      <c r="A80" s="279"/>
      <c r="H80" s="2"/>
      <c r="J80" s="279"/>
    </row>
    <row r="81" spans="1:12" ht="15.5" hidden="1" x14ac:dyDescent="0.25">
      <c r="A81" s="279"/>
      <c r="B81" s="1044" t="str">
        <f>Translations!$B$1412</f>
        <v>Total reductions claimed from the use of CORSIA eligible fuels:</v>
      </c>
      <c r="C81" s="1045"/>
      <c r="D81" s="1045"/>
      <c r="E81" s="1045"/>
      <c r="F81" s="1045"/>
      <c r="G81" s="1042" t="str">
        <f>IF(INDICATOR_CORSIA_totalTonnesEligibleFuelsClaimed="","",ROUND(INDICATOR_CORSIA_totalTonnesEligibleFuelsClaimed,0))</f>
        <v/>
      </c>
      <c r="H81" s="1043"/>
      <c r="I81" s="174" t="s">
        <v>6</v>
      </c>
      <c r="J81" s="279"/>
    </row>
    <row r="82" spans="1:12" ht="5.15" hidden="1" customHeight="1" x14ac:dyDescent="0.25">
      <c r="A82" s="279"/>
      <c r="H82" s="2"/>
      <c r="J82" s="279"/>
    </row>
    <row r="83" spans="1:12" ht="5.15" hidden="1" customHeight="1" x14ac:dyDescent="0.25">
      <c r="A83" s="279"/>
      <c r="B83" s="279"/>
      <c r="C83" s="279"/>
      <c r="D83" s="279"/>
      <c r="E83" s="279"/>
      <c r="F83" s="279"/>
      <c r="G83" s="279"/>
      <c r="H83" s="280"/>
      <c r="I83" s="279"/>
      <c r="J83" s="279"/>
    </row>
    <row r="84" spans="1:12" ht="13" x14ac:dyDescent="0.25">
      <c r="B84" s="18"/>
      <c r="C84" s="18"/>
      <c r="D84" s="18"/>
      <c r="E84" s="18"/>
      <c r="F84" s="18"/>
      <c r="G84" s="18"/>
    </row>
    <row r="85" spans="1:12" ht="25.5" customHeight="1" x14ac:dyDescent="0.25">
      <c r="B85" s="1054" t="str">
        <f>Translations!$B$25</f>
        <v>The Federal Office for the Environment (FOEN) requires you to submit this monitoring report via the FOEN’s information and documentation system.</v>
      </c>
      <c r="C85" s="1054"/>
      <c r="D85" s="1054"/>
      <c r="E85" s="1054"/>
      <c r="F85" s="1054"/>
      <c r="G85" s="1054"/>
      <c r="H85" s="1054"/>
      <c r="I85" s="1054"/>
      <c r="L85" s="514"/>
    </row>
    <row r="86" spans="1:12" ht="13" x14ac:dyDescent="0.25">
      <c r="B86" s="18"/>
      <c r="C86" s="18"/>
      <c r="D86" s="18"/>
      <c r="E86" s="18"/>
      <c r="F86" s="18"/>
      <c r="G86" s="18"/>
    </row>
    <row r="92" spans="1:12" ht="13" thickBot="1" x14ac:dyDescent="0.3">
      <c r="F92" s="175"/>
      <c r="G92" s="175"/>
    </row>
    <row r="93" spans="1:12" x14ac:dyDescent="0.25">
      <c r="B93" s="1053" t="str">
        <f>Translations!$B$26</f>
        <v>Date</v>
      </c>
      <c r="C93" s="1053"/>
      <c r="D93" s="1053"/>
      <c r="F93" s="1051" t="str">
        <f>Translations!$B$27</f>
        <v>Name and Signature of 
legally responsible person</v>
      </c>
      <c r="G93" s="1051"/>
      <c r="H93" s="1051"/>
      <c r="I93" s="1051"/>
    </row>
    <row r="94" spans="1:12" x14ac:dyDescent="0.25">
      <c r="F94" s="1052"/>
      <c r="G94" s="1052"/>
      <c r="H94" s="1052"/>
      <c r="I94" s="1052"/>
    </row>
    <row r="98" spans="1:12" ht="13" thickBot="1" x14ac:dyDescent="0.3">
      <c r="A98" s="166"/>
      <c r="B98" s="1056" t="str">
        <f>Translations!$B$28</f>
        <v>Template version information:</v>
      </c>
      <c r="C98" s="1045"/>
      <c r="D98" s="1045"/>
      <c r="E98" s="1045"/>
      <c r="F98" s="1045"/>
      <c r="G98" s="1045"/>
      <c r="H98" s="1045"/>
      <c r="I98" s="1045"/>
    </row>
    <row r="99" spans="1:12" ht="12.75" customHeight="1" x14ac:dyDescent="0.25">
      <c r="B99" s="176" t="str">
        <f>Translations!$B$29</f>
        <v>Template provided by:</v>
      </c>
      <c r="C99" s="177"/>
      <c r="D99" s="282"/>
      <c r="E99" s="1047" t="str">
        <f>VersionDocumentation!B4</f>
        <v>Federal Office for the Environment</v>
      </c>
      <c r="F99" s="1047"/>
      <c r="G99" s="1047"/>
      <c r="H99" s="1048"/>
      <c r="L99" s="514"/>
    </row>
    <row r="100" spans="1:12" x14ac:dyDescent="0.25">
      <c r="B100" s="178" t="str">
        <f>Translations!$B$30</f>
        <v>Publication date:</v>
      </c>
      <c r="C100" s="179"/>
      <c r="D100" s="283"/>
      <c r="E100" s="1055">
        <f>VersionDocumentation!B3</f>
        <v>45699</v>
      </c>
      <c r="F100" s="1049"/>
      <c r="G100" s="1049"/>
      <c r="H100" s="1050"/>
      <c r="L100" s="514"/>
    </row>
    <row r="101" spans="1:12" x14ac:dyDescent="0.25">
      <c r="B101" s="178" t="str">
        <f>Translations!$B$31</f>
        <v>Language version:</v>
      </c>
      <c r="C101" s="180"/>
      <c r="D101" s="283"/>
      <c r="E101" s="1049" t="str">
        <f>VersionDocumentation!B5</f>
        <v>English</v>
      </c>
      <c r="F101" s="1049"/>
      <c r="G101" s="1049"/>
      <c r="H101" s="1050"/>
      <c r="L101" s="514"/>
    </row>
    <row r="102" spans="1:12" ht="13" thickBot="1" x14ac:dyDescent="0.3">
      <c r="B102" s="181" t="str">
        <f>Translations!$B$32</f>
        <v>Reference filename:</v>
      </c>
      <c r="C102" s="182"/>
      <c r="D102" s="284"/>
      <c r="E102" s="1040" t="str">
        <f>VersionDocumentation!C3</f>
        <v>AER AO 2024_FOEN_en_110225.xls</v>
      </c>
      <c r="F102" s="1040"/>
      <c r="G102" s="1040"/>
      <c r="H102" s="1041"/>
      <c r="L102" s="514"/>
    </row>
  </sheetData>
  <sheetProtection sheet="1" formatCells="0" formatColumns="0" formatRows="0" insertColumns="0" insertRows="0"/>
  <mergeCells count="61">
    <mergeCell ref="B18:F18"/>
    <mergeCell ref="B21:F21"/>
    <mergeCell ref="B22:F22"/>
    <mergeCell ref="B13:F13"/>
    <mergeCell ref="B14:F14"/>
    <mergeCell ref="B15:F15"/>
    <mergeCell ref="B16:F16"/>
    <mergeCell ref="B17:F17"/>
    <mergeCell ref="B19:F19"/>
    <mergeCell ref="B20:F20"/>
    <mergeCell ref="B54:F54"/>
    <mergeCell ref="G54:H54"/>
    <mergeCell ref="B55:I55"/>
    <mergeCell ref="B34:F34"/>
    <mergeCell ref="G43:H43"/>
    <mergeCell ref="B35:I35"/>
    <mergeCell ref="G45:H45"/>
    <mergeCell ref="G47:H47"/>
    <mergeCell ref="G49:H49"/>
    <mergeCell ref="G51:H51"/>
    <mergeCell ref="G39:H39"/>
    <mergeCell ref="G41:H41"/>
    <mergeCell ref="G37:H37"/>
    <mergeCell ref="B29:E29"/>
    <mergeCell ref="B31:E31"/>
    <mergeCell ref="B27:I27"/>
    <mergeCell ref="G34:H34"/>
    <mergeCell ref="B28:E28"/>
    <mergeCell ref="B30:E30"/>
    <mergeCell ref="B32:E32"/>
    <mergeCell ref="E102:H102"/>
    <mergeCell ref="G79:H79"/>
    <mergeCell ref="B77:F77"/>
    <mergeCell ref="B79:F79"/>
    <mergeCell ref="B81:F81"/>
    <mergeCell ref="G81:H81"/>
    <mergeCell ref="E99:H99"/>
    <mergeCell ref="E101:H101"/>
    <mergeCell ref="F93:I94"/>
    <mergeCell ref="B93:D93"/>
    <mergeCell ref="B85:I85"/>
    <mergeCell ref="G77:H77"/>
    <mergeCell ref="E100:H100"/>
    <mergeCell ref="B98:I98"/>
    <mergeCell ref="B9:F9"/>
    <mergeCell ref="B10:F10"/>
    <mergeCell ref="B11:F11"/>
    <mergeCell ref="B12:F12"/>
    <mergeCell ref="B2:I2"/>
    <mergeCell ref="B6:I6"/>
    <mergeCell ref="B3:I3"/>
    <mergeCell ref="B7:F7"/>
    <mergeCell ref="B8:F8"/>
    <mergeCell ref="G57:H57"/>
    <mergeCell ref="G69:H69"/>
    <mergeCell ref="G71:H71"/>
    <mergeCell ref="G59:H59"/>
    <mergeCell ref="G61:H61"/>
    <mergeCell ref="G63:H63"/>
    <mergeCell ref="G65:H65"/>
    <mergeCell ref="G67:H67"/>
  </mergeCells>
  <phoneticPr fontId="12"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21:E21" location="Annex!A1" display="Annex: Emissions per airodrome pair" xr:uid="{00000000-0004-0000-0000-00000F000000}"/>
    <hyperlink ref="B22:E22"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 ref="B19:F19" location="'Annex Aerodromes'!B2" display="Proportional fuel attribution at airports" xr:uid="{00000000-0004-0000-0000-000013000000}"/>
    <hyperlink ref="B20:F20" location="'FEETS Application'!B2" display="Support under Article 3c(6) of the EU ETS Directive" xr:uid="{00000000-0004-0000-0000-000014000000}"/>
    <hyperlink ref="B8:F8" location="'Identification and description'!B2" display="'Identification and description'!B2" xr:uid="{00000000-0004-0000-0000-000015000000}"/>
    <hyperlink ref="B11:F11" location="'Emissions overview'!B2" display="'Emissions overview'!B2" xr:uid="{00000000-0004-0000-0000-000016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pageSetUpPr fitToPage="1"/>
  </sheetPr>
  <dimension ref="A1:J118"/>
  <sheetViews>
    <sheetView showGridLines="0" zoomScale="115" zoomScaleNormal="115" workbookViewId="0">
      <selection activeCell="C7" sqref="C7:H7"/>
    </sheetView>
  </sheetViews>
  <sheetFormatPr baseColWidth="10" defaultColWidth="11.453125" defaultRowHeight="12.5" x14ac:dyDescent="0.25"/>
  <cols>
    <col min="1" max="1" width="4" style="54" customWidth="1"/>
    <col min="2" max="2" width="4.54296875" style="54" customWidth="1"/>
    <col min="3" max="8" width="17.54296875" style="54" customWidth="1"/>
    <col min="9" max="10" width="4" style="54" customWidth="1"/>
    <col min="11" max="16384" width="11.453125" style="54"/>
  </cols>
  <sheetData>
    <row r="1" spans="1:10" x14ac:dyDescent="0.25">
      <c r="B1" s="100"/>
      <c r="E1" s="109"/>
      <c r="F1" s="109"/>
      <c r="G1" s="109"/>
    </row>
    <row r="2" spans="1:10" ht="30" customHeight="1" x14ac:dyDescent="0.25">
      <c r="B2" s="1112" t="str">
        <f>Translations!$B$1246</f>
        <v>Annex: Emissions per aerodrome pair – EU ETS and CH ETS</v>
      </c>
      <c r="C2" s="1112"/>
      <c r="D2" s="1112"/>
      <c r="E2" s="1112"/>
      <c r="F2" s="1112"/>
      <c r="G2" s="1112"/>
      <c r="H2" s="1112"/>
    </row>
    <row r="3" spans="1:10" x14ac:dyDescent="0.25">
      <c r="B3" s="100"/>
      <c r="E3" s="109"/>
      <c r="F3" s="109"/>
      <c r="G3" s="109"/>
    </row>
    <row r="4" spans="1:10" ht="15.5" x14ac:dyDescent="0.35">
      <c r="A4" s="465"/>
      <c r="B4" s="1013">
        <v>11</v>
      </c>
      <c r="C4" s="1013" t="str">
        <f>Translations!$B$1291</f>
        <v>Additional emissions data – EU ETS and CH ETS</v>
      </c>
      <c r="D4" s="1013"/>
      <c r="E4" s="1013"/>
      <c r="F4" s="1013"/>
      <c r="G4" s="1013"/>
      <c r="H4" s="1013"/>
      <c r="J4" s="465"/>
    </row>
    <row r="5" spans="1:10" s="65" customFormat="1" ht="25.5" customHeight="1" x14ac:dyDescent="0.25">
      <c r="A5" s="458"/>
      <c r="B5" s="57"/>
      <c r="C5" s="1338" t="str">
        <f>Translations!$B$1292</f>
        <v>For reducing administrative burden, this Annex should include both flights covered by the EU ETS and CH ETS</v>
      </c>
      <c r="D5" s="1339"/>
      <c r="E5" s="1339"/>
      <c r="F5" s="1339"/>
      <c r="G5" s="1339"/>
      <c r="H5" s="1339"/>
      <c r="I5" s="54"/>
      <c r="J5" s="458"/>
    </row>
    <row r="6" spans="1:10" s="65" customFormat="1" ht="12.75" customHeight="1" x14ac:dyDescent="0.25">
      <c r="A6" s="458"/>
      <c r="B6" s="57"/>
      <c r="C6" s="1116" t="str">
        <f>Translations!$B$1357</f>
        <v>This annex to the annual emissions report is used for consistency and compliance checking of data in the previous sections.</v>
      </c>
      <c r="D6" s="1034"/>
      <c r="E6" s="1034"/>
      <c r="F6" s="1034"/>
      <c r="G6" s="1034"/>
      <c r="H6" s="1034"/>
      <c r="I6" s="54"/>
      <c r="J6" s="458"/>
    </row>
    <row r="7" spans="1:10" s="65" customFormat="1" ht="39.65" customHeight="1" x14ac:dyDescent="0.25">
      <c r="A7" s="458"/>
      <c r="B7" s="57"/>
      <c r="C7" s="1131" t="str">
        <f>Translations!$B$1358</f>
        <v>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v>
      </c>
      <c r="D7" s="1069"/>
      <c r="E7" s="1069"/>
      <c r="F7" s="1069"/>
      <c r="G7" s="1069"/>
      <c r="H7" s="1069"/>
      <c r="I7" s="54"/>
      <c r="J7" s="458"/>
    </row>
    <row r="8" spans="1:10" s="65" customFormat="1" ht="25.5" customHeight="1" x14ac:dyDescent="0.25">
      <c r="A8" s="458"/>
      <c r="B8" s="57"/>
      <c r="C8" s="1116" t="str">
        <f>Translations!$B$1359</f>
        <v>That article also specifies that in particular situations aircraft operators may request that some data are treated as confidential, i.e. that the publication of data is done at a higher aggregated level. For such request, the Directive specifies:</v>
      </c>
      <c r="D8" s="1034"/>
      <c r="E8" s="1034"/>
      <c r="F8" s="1034"/>
      <c r="G8" s="1034"/>
      <c r="H8" s="1034"/>
      <c r="I8" s="54"/>
      <c r="J8" s="458"/>
    </row>
    <row r="9" spans="1:10" s="65" customFormat="1" ht="63.75" customHeight="1" x14ac:dyDescent="0.25">
      <c r="A9" s="458"/>
      <c r="B9" s="57"/>
      <c r="C9" s="1116"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9" s="1034"/>
      <c r="E9" s="1034"/>
      <c r="F9" s="1034"/>
      <c r="G9" s="1034"/>
      <c r="H9" s="1034"/>
      <c r="I9" s="54"/>
      <c r="J9" s="458"/>
    </row>
    <row r="10" spans="1:10" s="65" customFormat="1" ht="5.15" customHeight="1" x14ac:dyDescent="0.25">
      <c r="A10" s="458"/>
      <c r="B10" s="57"/>
      <c r="C10" s="1116"/>
      <c r="D10" s="1034"/>
      <c r="E10" s="1034"/>
      <c r="F10" s="1034"/>
      <c r="G10" s="1034"/>
      <c r="H10" s="1034"/>
      <c r="I10" s="54"/>
      <c r="J10" s="458"/>
    </row>
    <row r="11" spans="1:10" ht="13" x14ac:dyDescent="0.25">
      <c r="A11" s="465"/>
      <c r="B11" s="57" t="s">
        <v>25</v>
      </c>
      <c r="C11" s="71" t="str">
        <f>Translations!$B$1015</f>
        <v>Please indicate if the data in this annex is considered confidential:</v>
      </c>
      <c r="D11" s="66"/>
      <c r="E11" s="66"/>
      <c r="F11" s="66"/>
      <c r="G11" s="66"/>
      <c r="H11" s="164" t="b">
        <v>0</v>
      </c>
      <c r="J11" s="465"/>
    </row>
    <row r="12" spans="1:10" s="65" customFormat="1" ht="5.15" customHeight="1" x14ac:dyDescent="0.25">
      <c r="A12" s="458"/>
      <c r="B12" s="107"/>
      <c r="G12" s="106"/>
      <c r="H12" s="106"/>
      <c r="I12" s="54"/>
      <c r="J12" s="458"/>
    </row>
    <row r="13" spans="1:10" s="65" customFormat="1" ht="39.65" customHeight="1" x14ac:dyDescent="0.25">
      <c r="A13" s="458"/>
      <c r="B13" s="57" t="s">
        <v>236</v>
      </c>
      <c r="C13" s="1156" t="str">
        <f>Translations!$B$1627</f>
        <v>Please, provide a description of how you meet the specific circumstances defined as well as a comprehensive and detailed explenation why disclosure of data would be considered to harm your commercial interests.</v>
      </c>
      <c r="D13" s="1034"/>
      <c r="E13" s="1034"/>
      <c r="F13" s="1034"/>
      <c r="G13" s="1034"/>
      <c r="H13" s="1034"/>
      <c r="I13" s="54"/>
      <c r="J13" s="458"/>
    </row>
    <row r="14" spans="1:10" s="65" customFormat="1" ht="25.5" customHeight="1" x14ac:dyDescent="0.25">
      <c r="A14" s="458"/>
      <c r="B14" s="57"/>
      <c r="C14" s="1340"/>
      <c r="D14" s="1341"/>
      <c r="E14" s="1341"/>
      <c r="F14" s="1341"/>
      <c r="G14" s="1341"/>
      <c r="H14" s="1342"/>
      <c r="I14" s="54"/>
      <c r="J14" s="458"/>
    </row>
    <row r="15" spans="1:10" s="65" customFormat="1" ht="25.5" customHeight="1" x14ac:dyDescent="0.25">
      <c r="A15" s="458"/>
      <c r="B15" s="57"/>
      <c r="C15" s="1349"/>
      <c r="D15" s="1350"/>
      <c r="E15" s="1350"/>
      <c r="F15" s="1350"/>
      <c r="G15" s="1350"/>
      <c r="H15" s="1351"/>
      <c r="I15" s="54"/>
      <c r="J15" s="458"/>
    </row>
    <row r="16" spans="1:10" s="65" customFormat="1" ht="25.5" customHeight="1" x14ac:dyDescent="0.25">
      <c r="A16" s="458"/>
      <c r="B16" s="57"/>
      <c r="C16" s="1349"/>
      <c r="D16" s="1350"/>
      <c r="E16" s="1350"/>
      <c r="F16" s="1350"/>
      <c r="G16" s="1350"/>
      <c r="H16" s="1351"/>
      <c r="I16" s="54"/>
      <c r="J16" s="458"/>
    </row>
    <row r="17" spans="1:10" s="65" customFormat="1" ht="25.5" customHeight="1" x14ac:dyDescent="0.25">
      <c r="A17" s="458"/>
      <c r="B17" s="57"/>
      <c r="C17" s="1349"/>
      <c r="D17" s="1350"/>
      <c r="E17" s="1350"/>
      <c r="F17" s="1350"/>
      <c r="G17" s="1350"/>
      <c r="H17" s="1351"/>
      <c r="I17" s="54"/>
      <c r="J17" s="458"/>
    </row>
    <row r="18" spans="1:10" s="65" customFormat="1" ht="25.5" customHeight="1" x14ac:dyDescent="0.25">
      <c r="A18" s="458"/>
      <c r="B18" s="57"/>
      <c r="C18" s="1343"/>
      <c r="D18" s="1344"/>
      <c r="E18" s="1344"/>
      <c r="F18" s="1344"/>
      <c r="G18" s="1344"/>
      <c r="H18" s="1345"/>
      <c r="I18" s="54"/>
      <c r="J18" s="458"/>
    </row>
    <row r="19" spans="1:10" s="65" customFormat="1" ht="25.5" customHeight="1" x14ac:dyDescent="0.25">
      <c r="A19" s="458"/>
      <c r="B19" s="57"/>
      <c r="C19" s="1116" t="str">
        <f>Translations!$B$1362</f>
        <v>Note that the request will be granted only if both the administering Member State and the Commission deem the reasons for not publishing data satisfactory.</v>
      </c>
      <c r="D19" s="1034"/>
      <c r="E19" s="1034"/>
      <c r="F19" s="1034"/>
      <c r="G19" s="1034"/>
      <c r="H19" s="1034"/>
      <c r="I19" s="54"/>
      <c r="J19" s="458"/>
    </row>
    <row r="20" spans="1:10" s="65" customFormat="1" ht="25.5" customHeight="1" x14ac:dyDescent="0.25">
      <c r="A20" s="458"/>
      <c r="B20" s="57" t="s">
        <v>237</v>
      </c>
      <c r="C20" s="1116" t="str">
        <f>Translations!$B$1363</f>
        <v>In case the space above under point (a1) is not sufficient for explaining your reasons, you may attach a comprehensive explanation in a separate file. In this case, please enter here the filename of the attached file:</v>
      </c>
      <c r="D20" s="1034"/>
      <c r="E20" s="1034"/>
      <c r="F20" s="1034"/>
      <c r="G20" s="1034"/>
      <c r="H20" s="1034"/>
      <c r="I20" s="54"/>
      <c r="J20" s="458"/>
    </row>
    <row r="21" spans="1:10" s="65" customFormat="1" ht="13.4" customHeight="1" x14ac:dyDescent="0.25">
      <c r="A21" s="458"/>
      <c r="B21" s="57"/>
      <c r="C21" s="71" t="str">
        <f>Translations!$B$1364</f>
        <v>Filename of attachment, if applicable:</v>
      </c>
      <c r="D21" s="299"/>
      <c r="E21" s="1346"/>
      <c r="F21" s="1347"/>
      <c r="G21" s="1347"/>
      <c r="H21" s="1348"/>
      <c r="I21" s="54"/>
      <c r="J21" s="458"/>
    </row>
    <row r="22" spans="1:10" s="65" customFormat="1" ht="13.4" customHeight="1" x14ac:dyDescent="0.25">
      <c r="A22" s="458"/>
      <c r="B22" s="57"/>
      <c r="C22" s="1116"/>
      <c r="D22" s="1034"/>
      <c r="E22" s="1034"/>
      <c r="F22" s="1034"/>
      <c r="G22" s="1034"/>
      <c r="H22" s="1034"/>
      <c r="I22" s="54"/>
      <c r="J22" s="458"/>
    </row>
    <row r="23" spans="1:10" s="65" customFormat="1" ht="30" customHeight="1" x14ac:dyDescent="0.25">
      <c r="A23" s="458"/>
      <c r="B23" s="57" t="s">
        <v>26</v>
      </c>
      <c r="C23" s="1227" t="str">
        <f>Translations!$B$1016</f>
        <v>Please provide the data (totals during the reporting period, related to the reduced scope) in the table below per aerodrome pair.</v>
      </c>
      <c r="D23" s="1210"/>
      <c r="E23" s="1210"/>
      <c r="F23" s="1210"/>
      <c r="G23" s="1210"/>
      <c r="H23" s="1210"/>
      <c r="I23" s="54"/>
      <c r="J23" s="458"/>
    </row>
    <row r="24" spans="1:10" s="65" customFormat="1" ht="13.4" customHeight="1" x14ac:dyDescent="0.25">
      <c r="A24" s="458"/>
      <c r="B24" s="57"/>
      <c r="C24" s="1148" t="str">
        <f>Translations!$B$1017</f>
        <v xml:space="preserve">Please fill in the table below. If you need additional rows, please insert them above the "end of list" row. In that case the formula for the totals will work correctly. </v>
      </c>
      <c r="D24" s="1210"/>
      <c r="E24" s="1210"/>
      <c r="F24" s="1210"/>
      <c r="G24" s="1210"/>
      <c r="H24" s="1210"/>
      <c r="I24" s="54"/>
      <c r="J24" s="458"/>
    </row>
    <row r="25" spans="1:10" s="65" customFormat="1" ht="13.4" customHeight="1" x14ac:dyDescent="0.25">
      <c r="A25" s="458"/>
      <c r="B25" s="57"/>
      <c r="C25" s="1354" t="str">
        <f>Translations!$B$1628</f>
        <v>The addition of further rows must be done by copying an empty row and inserting it thereafter. A simple "insert row" command will NOT be sufficent.</v>
      </c>
      <c r="D25" s="1355"/>
      <c r="E25" s="1355"/>
      <c r="F25" s="1355"/>
      <c r="G25" s="1355"/>
      <c r="H25" s="1355"/>
      <c r="I25" s="54"/>
      <c r="J25" s="458"/>
    </row>
    <row r="26" spans="1:10" s="65" customFormat="1" ht="26.5" customHeight="1" x14ac:dyDescent="0.25">
      <c r="A26" s="458"/>
      <c r="B26" s="57"/>
      <c r="C26" s="1148"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26" s="1210"/>
      <c r="E26" s="1210"/>
      <c r="F26" s="1210"/>
      <c r="G26" s="1210"/>
      <c r="H26" s="1210"/>
      <c r="I26" s="54"/>
      <c r="J26" s="458"/>
    </row>
    <row r="27" spans="1:10" s="65" customFormat="1" ht="13.4" customHeight="1" x14ac:dyDescent="0.25">
      <c r="A27" s="458"/>
      <c r="B27" s="57"/>
      <c r="C27" s="1354" t="str">
        <f>Translations!$B$1546</f>
        <v>Note: Unlike in earler versions of this template, you have to enter tonnes of neat fuel consumed in this sheet, not emissions!</v>
      </c>
      <c r="D27" s="1355"/>
      <c r="E27" s="1355"/>
      <c r="F27" s="1355"/>
      <c r="G27" s="1355"/>
      <c r="H27" s="1355"/>
      <c r="I27" s="54"/>
      <c r="J27" s="458"/>
    </row>
    <row r="28" spans="1:10" s="65" customFormat="1" ht="13.4" customHeight="1" x14ac:dyDescent="0.25">
      <c r="A28" s="458"/>
      <c r="B28" s="57"/>
      <c r="C28" s="1175" t="str">
        <f>Translations!$B$1629</f>
        <v>If you used more than one (neat) fuel per aerodrome pair, please report the same pair in a separate line for each fuel.</v>
      </c>
      <c r="D28" s="1227"/>
      <c r="E28" s="1227"/>
      <c r="F28" s="1227"/>
      <c r="G28" s="1227"/>
      <c r="H28" s="1227"/>
      <c r="I28" s="54"/>
      <c r="J28" s="458"/>
    </row>
    <row r="29" spans="1:10" s="65" customFormat="1" ht="66.25" customHeight="1" x14ac:dyDescent="0.25">
      <c r="A29" s="458"/>
      <c r="B29" s="57"/>
      <c r="C29" s="1116" t="str">
        <f>Translations!$B$1630</f>
        <v>Please, be aware that in this sheet the fuel use of ALL fuels, including standard fuels, is to be reported. The total figures will therefore significantly deviate from the amounts in section 10a (Annex Aerodromes), where only alternative fuels under EU ETS need to be reported. However, the total amount of alternative fuels reported on EU ETS flights in this sheet should indeed match the  total amount of alternative fuels attributed in section 10a. Moreover, please, be aware that alternative fuels reported on CH ETS flights are not included in section 10a and should be therefore attributed directly in this sheet.</v>
      </c>
      <c r="D29" s="1034"/>
      <c r="E29" s="1034"/>
      <c r="F29" s="1034"/>
      <c r="G29" s="1034"/>
      <c r="H29" s="1034"/>
      <c r="I29" s="54"/>
      <c r="J29" s="458"/>
    </row>
    <row r="30" spans="1:10" s="65" customFormat="1" ht="5.15" customHeight="1" x14ac:dyDescent="0.25">
      <c r="A30" s="458"/>
      <c r="B30" s="57"/>
      <c r="C30" s="707"/>
      <c r="D30" s="51"/>
      <c r="E30" s="51"/>
      <c r="F30" s="51"/>
      <c r="G30" s="51"/>
      <c r="H30" s="51"/>
      <c r="I30" s="54"/>
      <c r="J30" s="458"/>
    </row>
    <row r="31" spans="1:10" s="95" customFormat="1" ht="24.75" customHeight="1" x14ac:dyDescent="0.25">
      <c r="A31" s="466"/>
      <c r="C31" s="1352" t="str">
        <f>Translations!$B$1019</f>
        <v>Aerodrome Pair (use 4-letter ICAO designator)</v>
      </c>
      <c r="D31" s="1353"/>
      <c r="E31" s="1352" t="str">
        <f>Translations!$B$1020</f>
        <v>Total number of flights per aerodrome pair</v>
      </c>
      <c r="F31" s="1352" t="str">
        <f>Translations!$B$1631</f>
        <v>Fuel name as defined in section 5</v>
      </c>
      <c r="G31" s="1352" t="str">
        <f>Translations!$B$1632</f>
        <v>Fuel consumed [tonnes]</v>
      </c>
      <c r="H31" s="1352" t="str">
        <f>Translations!$B$1021</f>
        <v>Total emissions
[t CO2]</v>
      </c>
      <c r="I31" s="54"/>
      <c r="J31" s="466"/>
    </row>
    <row r="32" spans="1:10" s="95" customFormat="1" ht="13.4" customHeight="1" x14ac:dyDescent="0.25">
      <c r="A32" s="466"/>
      <c r="C32" s="183" t="str">
        <f>Translations!$B$1022</f>
        <v>Aerodrome of departure</v>
      </c>
      <c r="D32" s="184" t="str">
        <f>Translations!$B$1023</f>
        <v>Aerodrome of arrival</v>
      </c>
      <c r="E32" s="1353"/>
      <c r="F32" s="1353"/>
      <c r="G32" s="1353"/>
      <c r="H32" s="1353"/>
      <c r="I32" s="54"/>
      <c r="J32" s="466"/>
    </row>
    <row r="33" spans="1:10" s="105" customFormat="1" ht="13.4" customHeight="1" x14ac:dyDescent="0.25">
      <c r="A33" s="467"/>
      <c r="B33" s="102"/>
      <c r="C33" s="104"/>
      <c r="D33" s="104"/>
      <c r="E33" s="103"/>
      <c r="F33" s="750"/>
      <c r="G33" s="103"/>
      <c r="H33" s="741" t="str">
        <f t="shared" ref="H33:H64" si="0">IF( AND(F33&lt;&gt;"",ISNUMBER(G33)),  IFERROR( G33 * INDEX(CNTR_FuelListEFprelimInclStd,MATCH( F33,  CNTR_FuelListNamesInclStd,0))  * IF(INDEX(CNTR_FuelListIsZeroInclStd,MATCH( F33,  CNTR_FuelListNamesInclStd,0)) =TRUE, 0, 1),  "--"),  "")</f>
        <v/>
      </c>
      <c r="I33" s="54"/>
      <c r="J33" s="467"/>
    </row>
    <row r="34" spans="1:10" s="105" customFormat="1" ht="13.4" customHeight="1" x14ac:dyDescent="0.25">
      <c r="A34" s="467"/>
      <c r="B34" s="102"/>
      <c r="C34" s="104"/>
      <c r="D34" s="104"/>
      <c r="E34" s="103"/>
      <c r="F34" s="750"/>
      <c r="G34" s="103"/>
      <c r="H34" s="741" t="str">
        <f t="shared" si="0"/>
        <v/>
      </c>
      <c r="I34" s="54"/>
      <c r="J34" s="467"/>
    </row>
    <row r="35" spans="1:10" s="105" customFormat="1" ht="13.4" customHeight="1" x14ac:dyDescent="0.25">
      <c r="A35" s="467"/>
      <c r="B35" s="102"/>
      <c r="C35" s="104"/>
      <c r="D35" s="104"/>
      <c r="E35" s="103"/>
      <c r="F35" s="750"/>
      <c r="G35" s="103"/>
      <c r="H35" s="741" t="str">
        <f t="shared" si="0"/>
        <v/>
      </c>
      <c r="I35" s="54"/>
      <c r="J35" s="467"/>
    </row>
    <row r="36" spans="1:10" s="105" customFormat="1" ht="13.4" customHeight="1" x14ac:dyDescent="0.25">
      <c r="A36" s="467"/>
      <c r="B36" s="102"/>
      <c r="C36" s="104"/>
      <c r="D36" s="104"/>
      <c r="E36" s="103"/>
      <c r="F36" s="750"/>
      <c r="G36" s="103"/>
      <c r="H36" s="741" t="str">
        <f t="shared" si="0"/>
        <v/>
      </c>
      <c r="I36" s="54"/>
      <c r="J36" s="467"/>
    </row>
    <row r="37" spans="1:10" s="105" customFormat="1" ht="13.4" customHeight="1" x14ac:dyDescent="0.25">
      <c r="A37" s="467"/>
      <c r="B37" s="102"/>
      <c r="C37" s="104"/>
      <c r="D37" s="104"/>
      <c r="E37" s="103"/>
      <c r="F37" s="750"/>
      <c r="G37" s="103"/>
      <c r="H37" s="741" t="str">
        <f t="shared" si="0"/>
        <v/>
      </c>
      <c r="I37" s="54"/>
      <c r="J37" s="467"/>
    </row>
    <row r="38" spans="1:10" s="105" customFormat="1" ht="13.4" customHeight="1" x14ac:dyDescent="0.25">
      <c r="A38" s="467"/>
      <c r="B38" s="102"/>
      <c r="C38" s="104"/>
      <c r="D38" s="104"/>
      <c r="E38" s="103"/>
      <c r="F38" s="750"/>
      <c r="G38" s="103"/>
      <c r="H38" s="741" t="str">
        <f t="shared" si="0"/>
        <v/>
      </c>
      <c r="I38" s="54"/>
      <c r="J38" s="467"/>
    </row>
    <row r="39" spans="1:10" s="105" customFormat="1" ht="13.4" customHeight="1" x14ac:dyDescent="0.25">
      <c r="A39" s="467"/>
      <c r="B39" s="102"/>
      <c r="C39" s="104"/>
      <c r="D39" s="104"/>
      <c r="E39" s="103"/>
      <c r="F39" s="750"/>
      <c r="G39" s="103"/>
      <c r="H39" s="741" t="str">
        <f t="shared" si="0"/>
        <v/>
      </c>
      <c r="I39" s="54"/>
      <c r="J39" s="467"/>
    </row>
    <row r="40" spans="1:10" s="105" customFormat="1" ht="13.4" customHeight="1" x14ac:dyDescent="0.25">
      <c r="A40" s="467"/>
      <c r="B40" s="102"/>
      <c r="C40" s="104"/>
      <c r="D40" s="104"/>
      <c r="E40" s="103"/>
      <c r="F40" s="750"/>
      <c r="G40" s="103"/>
      <c r="H40" s="741" t="str">
        <f t="shared" si="0"/>
        <v/>
      </c>
      <c r="I40" s="54"/>
      <c r="J40" s="467"/>
    </row>
    <row r="41" spans="1:10" s="105" customFormat="1" ht="13.4" customHeight="1" x14ac:dyDescent="0.25">
      <c r="A41" s="467"/>
      <c r="B41" s="102"/>
      <c r="C41" s="104"/>
      <c r="D41" s="104"/>
      <c r="E41" s="103"/>
      <c r="F41" s="750"/>
      <c r="G41" s="103"/>
      <c r="H41" s="741" t="str">
        <f t="shared" si="0"/>
        <v/>
      </c>
      <c r="I41" s="54"/>
      <c r="J41" s="467"/>
    </row>
    <row r="42" spans="1:10" s="105" customFormat="1" ht="13.4" customHeight="1" x14ac:dyDescent="0.25">
      <c r="A42" s="467"/>
      <c r="B42" s="102"/>
      <c r="C42" s="104"/>
      <c r="D42" s="104"/>
      <c r="E42" s="103"/>
      <c r="F42" s="750"/>
      <c r="G42" s="103"/>
      <c r="H42" s="741" t="str">
        <f t="shared" si="0"/>
        <v/>
      </c>
      <c r="I42" s="54"/>
      <c r="J42" s="467"/>
    </row>
    <row r="43" spans="1:10" s="105" customFormat="1" ht="13.4" customHeight="1" x14ac:dyDescent="0.25">
      <c r="A43" s="467"/>
      <c r="B43" s="102"/>
      <c r="C43" s="104"/>
      <c r="D43" s="104"/>
      <c r="E43" s="103"/>
      <c r="F43" s="750"/>
      <c r="G43" s="103"/>
      <c r="H43" s="741" t="str">
        <f t="shared" si="0"/>
        <v/>
      </c>
      <c r="I43" s="54"/>
      <c r="J43" s="467"/>
    </row>
    <row r="44" spans="1:10" s="105" customFormat="1" ht="13.4" customHeight="1" x14ac:dyDescent="0.25">
      <c r="A44" s="467"/>
      <c r="B44" s="102"/>
      <c r="C44" s="104"/>
      <c r="D44" s="104"/>
      <c r="E44" s="103"/>
      <c r="F44" s="750"/>
      <c r="G44" s="103"/>
      <c r="H44" s="741" t="str">
        <f t="shared" si="0"/>
        <v/>
      </c>
      <c r="I44" s="54"/>
      <c r="J44" s="467"/>
    </row>
    <row r="45" spans="1:10" s="105" customFormat="1" ht="13.4" customHeight="1" x14ac:dyDescent="0.25">
      <c r="A45" s="467"/>
      <c r="B45" s="102"/>
      <c r="C45" s="104"/>
      <c r="D45" s="104"/>
      <c r="E45" s="103"/>
      <c r="F45" s="750"/>
      <c r="G45" s="103"/>
      <c r="H45" s="741" t="str">
        <f t="shared" si="0"/>
        <v/>
      </c>
      <c r="I45" s="54"/>
      <c r="J45" s="467"/>
    </row>
    <row r="46" spans="1:10" s="105" customFormat="1" ht="13.4" customHeight="1" x14ac:dyDescent="0.25">
      <c r="A46" s="467"/>
      <c r="B46" s="102"/>
      <c r="C46" s="104"/>
      <c r="D46" s="104"/>
      <c r="E46" s="103"/>
      <c r="F46" s="750"/>
      <c r="G46" s="103"/>
      <c r="H46" s="741" t="str">
        <f t="shared" si="0"/>
        <v/>
      </c>
      <c r="I46" s="54"/>
      <c r="J46" s="467"/>
    </row>
    <row r="47" spans="1:10" s="105" customFormat="1" ht="13.4" customHeight="1" x14ac:dyDescent="0.25">
      <c r="A47" s="467"/>
      <c r="B47" s="102"/>
      <c r="C47" s="104"/>
      <c r="D47" s="104"/>
      <c r="E47" s="103"/>
      <c r="F47" s="750"/>
      <c r="G47" s="103"/>
      <c r="H47" s="741" t="str">
        <f t="shared" si="0"/>
        <v/>
      </c>
      <c r="I47" s="54"/>
      <c r="J47" s="467"/>
    </row>
    <row r="48" spans="1:10" s="105" customFormat="1" ht="13.4" customHeight="1" x14ac:dyDescent="0.25">
      <c r="A48" s="467"/>
      <c r="B48" s="102"/>
      <c r="C48" s="104"/>
      <c r="D48" s="104"/>
      <c r="E48" s="103"/>
      <c r="F48" s="750"/>
      <c r="G48" s="103"/>
      <c r="H48" s="741" t="str">
        <f t="shared" si="0"/>
        <v/>
      </c>
      <c r="I48" s="54"/>
      <c r="J48" s="467"/>
    </row>
    <row r="49" spans="1:10" s="105" customFormat="1" ht="13.4" customHeight="1" x14ac:dyDescent="0.25">
      <c r="A49" s="467"/>
      <c r="B49" s="102"/>
      <c r="C49" s="104"/>
      <c r="D49" s="104"/>
      <c r="E49" s="103"/>
      <c r="F49" s="750"/>
      <c r="G49" s="103"/>
      <c r="H49" s="741" t="str">
        <f t="shared" si="0"/>
        <v/>
      </c>
      <c r="I49" s="54"/>
      <c r="J49" s="467"/>
    </row>
    <row r="50" spans="1:10" s="105" customFormat="1" ht="13.4" customHeight="1" x14ac:dyDescent="0.25">
      <c r="A50" s="467"/>
      <c r="B50" s="102"/>
      <c r="C50" s="104"/>
      <c r="D50" s="104"/>
      <c r="E50" s="103"/>
      <c r="F50" s="750"/>
      <c r="G50" s="103"/>
      <c r="H50" s="741" t="str">
        <f t="shared" si="0"/>
        <v/>
      </c>
      <c r="I50" s="54"/>
      <c r="J50" s="467"/>
    </row>
    <row r="51" spans="1:10" s="105" customFormat="1" ht="13.4" customHeight="1" x14ac:dyDescent="0.25">
      <c r="A51" s="467"/>
      <c r="B51" s="102"/>
      <c r="C51" s="104"/>
      <c r="D51" s="104"/>
      <c r="E51" s="103"/>
      <c r="F51" s="750"/>
      <c r="G51" s="103"/>
      <c r="H51" s="741" t="str">
        <f t="shared" si="0"/>
        <v/>
      </c>
      <c r="I51" s="54"/>
      <c r="J51" s="467"/>
    </row>
    <row r="52" spans="1:10" s="105" customFormat="1" ht="13.4" customHeight="1" x14ac:dyDescent="0.25">
      <c r="A52" s="467"/>
      <c r="B52" s="102"/>
      <c r="C52" s="104"/>
      <c r="D52" s="104"/>
      <c r="E52" s="103"/>
      <c r="F52" s="750"/>
      <c r="G52" s="103"/>
      <c r="H52" s="741" t="str">
        <f t="shared" si="0"/>
        <v/>
      </c>
      <c r="I52" s="54"/>
      <c r="J52" s="467"/>
    </row>
    <row r="53" spans="1:10" s="105" customFormat="1" ht="13.4" customHeight="1" x14ac:dyDescent="0.25">
      <c r="A53" s="467"/>
      <c r="B53" s="102"/>
      <c r="C53" s="104"/>
      <c r="D53" s="104"/>
      <c r="E53" s="103"/>
      <c r="F53" s="750"/>
      <c r="G53" s="103"/>
      <c r="H53" s="741" t="str">
        <f t="shared" si="0"/>
        <v/>
      </c>
      <c r="I53" s="54"/>
      <c r="J53" s="467"/>
    </row>
    <row r="54" spans="1:10" s="105" customFormat="1" ht="13.4" customHeight="1" x14ac:dyDescent="0.25">
      <c r="A54" s="467"/>
      <c r="B54" s="102"/>
      <c r="C54" s="104"/>
      <c r="D54" s="104"/>
      <c r="E54" s="103"/>
      <c r="F54" s="750"/>
      <c r="G54" s="103"/>
      <c r="H54" s="741" t="str">
        <f t="shared" si="0"/>
        <v/>
      </c>
      <c r="I54" s="54"/>
      <c r="J54" s="467"/>
    </row>
    <row r="55" spans="1:10" s="105" customFormat="1" ht="13.4" customHeight="1" x14ac:dyDescent="0.25">
      <c r="A55" s="467"/>
      <c r="B55" s="102"/>
      <c r="C55" s="104"/>
      <c r="D55" s="104"/>
      <c r="E55" s="103"/>
      <c r="F55" s="750"/>
      <c r="G55" s="103"/>
      <c r="H55" s="741" t="str">
        <f t="shared" si="0"/>
        <v/>
      </c>
      <c r="I55" s="54"/>
      <c r="J55" s="467"/>
    </row>
    <row r="56" spans="1:10" s="100" customFormat="1" ht="13.4" customHeight="1" x14ac:dyDescent="0.25">
      <c r="A56" s="468"/>
      <c r="B56" s="102"/>
      <c r="C56" s="104"/>
      <c r="D56" s="104"/>
      <c r="E56" s="103"/>
      <c r="F56" s="750"/>
      <c r="G56" s="103"/>
      <c r="H56" s="741" t="str">
        <f t="shared" si="0"/>
        <v/>
      </c>
      <c r="I56" s="54"/>
      <c r="J56" s="468"/>
    </row>
    <row r="57" spans="1:10" s="100" customFormat="1" ht="13.4" customHeight="1" x14ac:dyDescent="0.25">
      <c r="A57" s="468"/>
      <c r="B57" s="102"/>
      <c r="C57" s="104"/>
      <c r="D57" s="104"/>
      <c r="E57" s="103"/>
      <c r="F57" s="750"/>
      <c r="G57" s="103"/>
      <c r="H57" s="741" t="str">
        <f t="shared" si="0"/>
        <v/>
      </c>
      <c r="I57" s="54"/>
      <c r="J57" s="468"/>
    </row>
    <row r="58" spans="1:10" s="100" customFormat="1" ht="13.4" customHeight="1" x14ac:dyDescent="0.25">
      <c r="A58" s="468"/>
      <c r="B58" s="102"/>
      <c r="C58" s="104"/>
      <c r="D58" s="104"/>
      <c r="E58" s="103"/>
      <c r="F58" s="750"/>
      <c r="G58" s="103"/>
      <c r="H58" s="741" t="str">
        <f t="shared" si="0"/>
        <v/>
      </c>
      <c r="I58" s="54"/>
      <c r="J58" s="468"/>
    </row>
    <row r="59" spans="1:10" s="100" customFormat="1" ht="13.4" customHeight="1" x14ac:dyDescent="0.25">
      <c r="A59" s="468"/>
      <c r="B59" s="102"/>
      <c r="C59" s="104"/>
      <c r="D59" s="104"/>
      <c r="E59" s="103"/>
      <c r="F59" s="750"/>
      <c r="G59" s="103"/>
      <c r="H59" s="741" t="str">
        <f t="shared" si="0"/>
        <v/>
      </c>
      <c r="I59" s="54"/>
      <c r="J59" s="468"/>
    </row>
    <row r="60" spans="1:10" s="100" customFormat="1" ht="13.4" customHeight="1" x14ac:dyDescent="0.25">
      <c r="A60" s="468"/>
      <c r="B60" s="102"/>
      <c r="C60" s="104"/>
      <c r="D60" s="104"/>
      <c r="E60" s="103"/>
      <c r="F60" s="750"/>
      <c r="G60" s="103"/>
      <c r="H60" s="741" t="str">
        <f t="shared" si="0"/>
        <v/>
      </c>
      <c r="I60" s="54"/>
      <c r="J60" s="468"/>
    </row>
    <row r="61" spans="1:10" s="105" customFormat="1" ht="13.4" customHeight="1" x14ac:dyDescent="0.25">
      <c r="A61" s="467"/>
      <c r="B61" s="102"/>
      <c r="C61" s="104"/>
      <c r="D61" s="104"/>
      <c r="E61" s="103"/>
      <c r="F61" s="750"/>
      <c r="G61" s="103"/>
      <c r="H61" s="741" t="str">
        <f t="shared" si="0"/>
        <v/>
      </c>
      <c r="I61" s="54"/>
      <c r="J61" s="467"/>
    </row>
    <row r="62" spans="1:10" s="105" customFormat="1" ht="13.4" customHeight="1" x14ac:dyDescent="0.25">
      <c r="A62" s="467"/>
      <c r="B62" s="102"/>
      <c r="C62" s="104"/>
      <c r="D62" s="104"/>
      <c r="E62" s="103"/>
      <c r="F62" s="750"/>
      <c r="G62" s="103"/>
      <c r="H62" s="741" t="str">
        <f t="shared" si="0"/>
        <v/>
      </c>
      <c r="I62" s="54"/>
      <c r="J62" s="467"/>
    </row>
    <row r="63" spans="1:10" s="105" customFormat="1" ht="13.4" customHeight="1" x14ac:dyDescent="0.25">
      <c r="A63" s="467"/>
      <c r="B63" s="102"/>
      <c r="C63" s="104"/>
      <c r="D63" s="104"/>
      <c r="E63" s="103"/>
      <c r="F63" s="750"/>
      <c r="G63" s="103"/>
      <c r="H63" s="741" t="str">
        <f t="shared" si="0"/>
        <v/>
      </c>
      <c r="I63" s="54"/>
      <c r="J63" s="467"/>
    </row>
    <row r="64" spans="1:10" s="105" customFormat="1" ht="13.4" customHeight="1" x14ac:dyDescent="0.25">
      <c r="A64" s="467"/>
      <c r="B64" s="102"/>
      <c r="C64" s="104"/>
      <c r="D64" s="104"/>
      <c r="E64" s="103"/>
      <c r="F64" s="750"/>
      <c r="G64" s="103"/>
      <c r="H64" s="741" t="str">
        <f t="shared" si="0"/>
        <v/>
      </c>
      <c r="I64" s="54"/>
      <c r="J64" s="467"/>
    </row>
    <row r="65" spans="1:10" s="105" customFormat="1" ht="13.4" customHeight="1" x14ac:dyDescent="0.25">
      <c r="A65" s="467"/>
      <c r="B65" s="102"/>
      <c r="C65" s="104"/>
      <c r="D65" s="104"/>
      <c r="E65" s="103"/>
      <c r="F65" s="750"/>
      <c r="G65" s="103"/>
      <c r="H65" s="741" t="str">
        <f t="shared" ref="H65:H96" si="1">IF( AND(F65&lt;&gt;"",ISNUMBER(G65)),  IFERROR( G65 * INDEX(CNTR_FuelListEFprelimInclStd,MATCH( F65,  CNTR_FuelListNamesInclStd,0))  * IF(INDEX(CNTR_FuelListIsZeroInclStd,MATCH( F65,  CNTR_FuelListNamesInclStd,0)) =TRUE, 0, 1),  "--"),  "")</f>
        <v/>
      </c>
      <c r="I65" s="54"/>
      <c r="J65" s="467"/>
    </row>
    <row r="66" spans="1:10" s="105" customFormat="1" ht="13.4" customHeight="1" x14ac:dyDescent="0.25">
      <c r="A66" s="467"/>
      <c r="B66" s="102"/>
      <c r="C66" s="104"/>
      <c r="D66" s="104"/>
      <c r="E66" s="103"/>
      <c r="F66" s="750"/>
      <c r="G66" s="103"/>
      <c r="H66" s="741" t="str">
        <f t="shared" si="1"/>
        <v/>
      </c>
      <c r="I66" s="54"/>
      <c r="J66" s="467"/>
    </row>
    <row r="67" spans="1:10" s="105" customFormat="1" ht="13.4" customHeight="1" x14ac:dyDescent="0.25">
      <c r="A67" s="467"/>
      <c r="B67" s="102"/>
      <c r="C67" s="104"/>
      <c r="D67" s="104"/>
      <c r="E67" s="103"/>
      <c r="F67" s="750"/>
      <c r="G67" s="103"/>
      <c r="H67" s="741" t="str">
        <f t="shared" si="1"/>
        <v/>
      </c>
      <c r="I67" s="54"/>
      <c r="J67" s="467"/>
    </row>
    <row r="68" spans="1:10" s="105" customFormat="1" ht="13.4" customHeight="1" x14ac:dyDescent="0.25">
      <c r="A68" s="467"/>
      <c r="B68" s="102"/>
      <c r="C68" s="104"/>
      <c r="D68" s="104"/>
      <c r="E68" s="103"/>
      <c r="F68" s="750"/>
      <c r="G68" s="103"/>
      <c r="H68" s="741" t="str">
        <f t="shared" si="1"/>
        <v/>
      </c>
      <c r="I68" s="54"/>
      <c r="J68" s="467"/>
    </row>
    <row r="69" spans="1:10" s="105" customFormat="1" ht="13.4" customHeight="1" x14ac:dyDescent="0.25">
      <c r="A69" s="467"/>
      <c r="B69" s="102"/>
      <c r="C69" s="104"/>
      <c r="D69" s="104"/>
      <c r="E69" s="103"/>
      <c r="F69" s="750"/>
      <c r="G69" s="103"/>
      <c r="H69" s="741" t="str">
        <f t="shared" si="1"/>
        <v/>
      </c>
      <c r="I69" s="54"/>
      <c r="J69" s="467"/>
    </row>
    <row r="70" spans="1:10" s="105" customFormat="1" ht="13.4" customHeight="1" x14ac:dyDescent="0.25">
      <c r="A70" s="467"/>
      <c r="B70" s="102"/>
      <c r="C70" s="104"/>
      <c r="D70" s="104"/>
      <c r="E70" s="103"/>
      <c r="F70" s="750"/>
      <c r="G70" s="103"/>
      <c r="H70" s="741" t="str">
        <f t="shared" si="1"/>
        <v/>
      </c>
      <c r="I70" s="54"/>
      <c r="J70" s="467"/>
    </row>
    <row r="71" spans="1:10" s="105" customFormat="1" ht="13.4" customHeight="1" x14ac:dyDescent="0.25">
      <c r="A71" s="467"/>
      <c r="B71" s="102"/>
      <c r="C71" s="104"/>
      <c r="D71" s="104"/>
      <c r="E71" s="103"/>
      <c r="F71" s="750"/>
      <c r="G71" s="103"/>
      <c r="H71" s="741" t="str">
        <f t="shared" si="1"/>
        <v/>
      </c>
      <c r="I71" s="54"/>
      <c r="J71" s="467"/>
    </row>
    <row r="72" spans="1:10" s="105" customFormat="1" ht="13.4" customHeight="1" x14ac:dyDescent="0.25">
      <c r="A72" s="467"/>
      <c r="B72" s="102"/>
      <c r="C72" s="104"/>
      <c r="D72" s="104"/>
      <c r="E72" s="103"/>
      <c r="F72" s="750"/>
      <c r="G72" s="103"/>
      <c r="H72" s="741" t="str">
        <f t="shared" si="1"/>
        <v/>
      </c>
      <c r="I72" s="54"/>
      <c r="J72" s="467"/>
    </row>
    <row r="73" spans="1:10" s="105" customFormat="1" ht="13.4" customHeight="1" x14ac:dyDescent="0.25">
      <c r="A73" s="467"/>
      <c r="B73" s="102"/>
      <c r="C73" s="104"/>
      <c r="D73" s="104"/>
      <c r="E73" s="103"/>
      <c r="F73" s="750"/>
      <c r="G73" s="103"/>
      <c r="H73" s="741" t="str">
        <f t="shared" si="1"/>
        <v/>
      </c>
      <c r="I73" s="54"/>
      <c r="J73" s="467"/>
    </row>
    <row r="74" spans="1:10" s="105" customFormat="1" ht="13.4" customHeight="1" x14ac:dyDescent="0.25">
      <c r="A74" s="467"/>
      <c r="B74" s="102"/>
      <c r="C74" s="104"/>
      <c r="D74" s="104"/>
      <c r="E74" s="103"/>
      <c r="F74" s="750"/>
      <c r="G74" s="103"/>
      <c r="H74" s="741" t="str">
        <f t="shared" si="1"/>
        <v/>
      </c>
      <c r="I74" s="54"/>
      <c r="J74" s="467"/>
    </row>
    <row r="75" spans="1:10" s="105" customFormat="1" ht="13.4" customHeight="1" x14ac:dyDescent="0.25">
      <c r="A75" s="467"/>
      <c r="B75" s="102"/>
      <c r="C75" s="104"/>
      <c r="D75" s="104"/>
      <c r="E75" s="103"/>
      <c r="F75" s="750"/>
      <c r="G75" s="103"/>
      <c r="H75" s="741" t="str">
        <f t="shared" si="1"/>
        <v/>
      </c>
      <c r="I75" s="54"/>
      <c r="J75" s="467"/>
    </row>
    <row r="76" spans="1:10" s="105" customFormat="1" ht="13.4" customHeight="1" x14ac:dyDescent="0.25">
      <c r="A76" s="467"/>
      <c r="B76" s="102"/>
      <c r="C76" s="104"/>
      <c r="D76" s="104"/>
      <c r="E76" s="103"/>
      <c r="F76" s="750"/>
      <c r="G76" s="103"/>
      <c r="H76" s="741" t="str">
        <f t="shared" si="1"/>
        <v/>
      </c>
      <c r="I76" s="54"/>
      <c r="J76" s="467"/>
    </row>
    <row r="77" spans="1:10" s="105" customFormat="1" ht="13.4" customHeight="1" x14ac:dyDescent="0.25">
      <c r="A77" s="467"/>
      <c r="B77" s="102"/>
      <c r="C77" s="104"/>
      <c r="D77" s="104"/>
      <c r="E77" s="103"/>
      <c r="F77" s="750"/>
      <c r="G77" s="103"/>
      <c r="H77" s="741" t="str">
        <f t="shared" si="1"/>
        <v/>
      </c>
      <c r="I77" s="54"/>
      <c r="J77" s="467"/>
    </row>
    <row r="78" spans="1:10" s="105" customFormat="1" ht="13.4" customHeight="1" x14ac:dyDescent="0.25">
      <c r="A78" s="467"/>
      <c r="B78" s="102"/>
      <c r="C78" s="104"/>
      <c r="D78" s="104"/>
      <c r="E78" s="103"/>
      <c r="F78" s="750"/>
      <c r="G78" s="103"/>
      <c r="H78" s="741" t="str">
        <f t="shared" si="1"/>
        <v/>
      </c>
      <c r="I78" s="54"/>
      <c r="J78" s="467"/>
    </row>
    <row r="79" spans="1:10" s="105" customFormat="1" ht="13.4" customHeight="1" x14ac:dyDescent="0.25">
      <c r="A79" s="467"/>
      <c r="B79" s="102"/>
      <c r="C79" s="104"/>
      <c r="D79" s="104"/>
      <c r="E79" s="103"/>
      <c r="F79" s="750"/>
      <c r="G79" s="103"/>
      <c r="H79" s="741" t="str">
        <f t="shared" si="1"/>
        <v/>
      </c>
      <c r="I79" s="54"/>
      <c r="J79" s="467"/>
    </row>
    <row r="80" spans="1:10" s="105" customFormat="1" ht="13.4" customHeight="1" x14ac:dyDescent="0.25">
      <c r="A80" s="467"/>
      <c r="B80" s="102"/>
      <c r="C80" s="104"/>
      <c r="D80" s="104"/>
      <c r="E80" s="103"/>
      <c r="F80" s="750"/>
      <c r="G80" s="103"/>
      <c r="H80" s="741" t="str">
        <f t="shared" si="1"/>
        <v/>
      </c>
      <c r="I80" s="54"/>
      <c r="J80" s="467"/>
    </row>
    <row r="81" spans="1:10" s="100" customFormat="1" ht="13.4" customHeight="1" x14ac:dyDescent="0.25">
      <c r="A81" s="468"/>
      <c r="B81" s="102"/>
      <c r="C81" s="104"/>
      <c r="D81" s="104"/>
      <c r="E81" s="103"/>
      <c r="F81" s="750"/>
      <c r="G81" s="103"/>
      <c r="H81" s="741" t="str">
        <f t="shared" si="1"/>
        <v/>
      </c>
      <c r="I81" s="54"/>
      <c r="J81" s="468"/>
    </row>
    <row r="82" spans="1:10" s="100" customFormat="1" ht="13.4" customHeight="1" x14ac:dyDescent="0.25">
      <c r="A82" s="468"/>
      <c r="B82" s="102"/>
      <c r="C82" s="104"/>
      <c r="D82" s="104"/>
      <c r="E82" s="103"/>
      <c r="F82" s="750"/>
      <c r="G82" s="103"/>
      <c r="H82" s="741" t="str">
        <f t="shared" si="1"/>
        <v/>
      </c>
      <c r="I82" s="54"/>
      <c r="J82" s="468"/>
    </row>
    <row r="83" spans="1:10" s="100" customFormat="1" ht="13.4" customHeight="1" x14ac:dyDescent="0.25">
      <c r="A83" s="468"/>
      <c r="B83" s="102"/>
      <c r="C83" s="104"/>
      <c r="D83" s="104"/>
      <c r="E83" s="103"/>
      <c r="F83" s="750"/>
      <c r="G83" s="103"/>
      <c r="H83" s="741" t="str">
        <f t="shared" si="1"/>
        <v/>
      </c>
      <c r="I83" s="54"/>
      <c r="J83" s="468"/>
    </row>
    <row r="84" spans="1:10" s="100" customFormat="1" ht="13.4" customHeight="1" x14ac:dyDescent="0.25">
      <c r="A84" s="468"/>
      <c r="B84" s="102"/>
      <c r="C84" s="104"/>
      <c r="D84" s="104"/>
      <c r="E84" s="103"/>
      <c r="F84" s="750"/>
      <c r="G84" s="103"/>
      <c r="H84" s="741" t="str">
        <f t="shared" si="1"/>
        <v/>
      </c>
      <c r="I84" s="54"/>
      <c r="J84" s="468"/>
    </row>
    <row r="85" spans="1:10" s="100" customFormat="1" ht="13.4" customHeight="1" x14ac:dyDescent="0.25">
      <c r="A85" s="468"/>
      <c r="B85" s="102"/>
      <c r="C85" s="104"/>
      <c r="D85" s="104"/>
      <c r="E85" s="103"/>
      <c r="F85" s="750"/>
      <c r="G85" s="103"/>
      <c r="H85" s="741" t="str">
        <f t="shared" si="1"/>
        <v/>
      </c>
      <c r="I85" s="54"/>
      <c r="J85" s="468"/>
    </row>
    <row r="86" spans="1:10" s="105" customFormat="1" ht="13.4" customHeight="1" x14ac:dyDescent="0.25">
      <c r="A86" s="467"/>
      <c r="B86" s="102"/>
      <c r="C86" s="104"/>
      <c r="D86" s="104"/>
      <c r="E86" s="103"/>
      <c r="F86" s="750"/>
      <c r="G86" s="103"/>
      <c r="H86" s="741" t="str">
        <f t="shared" si="1"/>
        <v/>
      </c>
      <c r="I86" s="54"/>
      <c r="J86" s="467"/>
    </row>
    <row r="87" spans="1:10" s="105" customFormat="1" ht="13.4" customHeight="1" x14ac:dyDescent="0.25">
      <c r="A87" s="467"/>
      <c r="B87" s="102"/>
      <c r="C87" s="104"/>
      <c r="D87" s="104"/>
      <c r="E87" s="103"/>
      <c r="F87" s="750"/>
      <c r="G87" s="103"/>
      <c r="H87" s="741" t="str">
        <f t="shared" si="1"/>
        <v/>
      </c>
      <c r="I87" s="54"/>
      <c r="J87" s="467"/>
    </row>
    <row r="88" spans="1:10" s="105" customFormat="1" ht="13.4" customHeight="1" x14ac:dyDescent="0.25">
      <c r="A88" s="467"/>
      <c r="B88" s="102"/>
      <c r="C88" s="104"/>
      <c r="D88" s="104"/>
      <c r="E88" s="103"/>
      <c r="F88" s="750"/>
      <c r="G88" s="103"/>
      <c r="H88" s="741" t="str">
        <f t="shared" si="1"/>
        <v/>
      </c>
      <c r="I88" s="54"/>
      <c r="J88" s="467"/>
    </row>
    <row r="89" spans="1:10" s="105" customFormat="1" ht="13.4" customHeight="1" x14ac:dyDescent="0.25">
      <c r="A89" s="467"/>
      <c r="B89" s="102"/>
      <c r="C89" s="104"/>
      <c r="D89" s="104"/>
      <c r="E89" s="103"/>
      <c r="F89" s="750"/>
      <c r="G89" s="103"/>
      <c r="H89" s="741" t="str">
        <f t="shared" si="1"/>
        <v/>
      </c>
      <c r="I89" s="54"/>
      <c r="J89" s="467"/>
    </row>
    <row r="90" spans="1:10" s="105" customFormat="1" ht="13.4" customHeight="1" x14ac:dyDescent="0.25">
      <c r="A90" s="467"/>
      <c r="B90" s="102"/>
      <c r="C90" s="104"/>
      <c r="D90" s="104"/>
      <c r="E90" s="103"/>
      <c r="F90" s="750"/>
      <c r="G90" s="103"/>
      <c r="H90" s="741" t="str">
        <f t="shared" si="1"/>
        <v/>
      </c>
      <c r="I90" s="54"/>
      <c r="J90" s="467"/>
    </row>
    <row r="91" spans="1:10" s="105" customFormat="1" ht="13.4" customHeight="1" x14ac:dyDescent="0.25">
      <c r="A91" s="467"/>
      <c r="B91" s="102"/>
      <c r="C91" s="104"/>
      <c r="D91" s="104"/>
      <c r="E91" s="103"/>
      <c r="F91" s="750"/>
      <c r="G91" s="103"/>
      <c r="H91" s="741" t="str">
        <f t="shared" si="1"/>
        <v/>
      </c>
      <c r="I91" s="54"/>
      <c r="J91" s="467"/>
    </row>
    <row r="92" spans="1:10" s="105" customFormat="1" ht="13.4" customHeight="1" x14ac:dyDescent="0.25">
      <c r="A92" s="467"/>
      <c r="B92" s="102"/>
      <c r="C92" s="104"/>
      <c r="D92" s="104"/>
      <c r="E92" s="103"/>
      <c r="F92" s="750"/>
      <c r="G92" s="103"/>
      <c r="H92" s="741" t="str">
        <f t="shared" si="1"/>
        <v/>
      </c>
      <c r="I92" s="54"/>
      <c r="J92" s="467"/>
    </row>
    <row r="93" spans="1:10" s="105" customFormat="1" ht="13.4" customHeight="1" x14ac:dyDescent="0.25">
      <c r="A93" s="467"/>
      <c r="B93" s="102"/>
      <c r="C93" s="104"/>
      <c r="D93" s="104"/>
      <c r="E93" s="103"/>
      <c r="F93" s="750"/>
      <c r="G93" s="103"/>
      <c r="H93" s="741" t="str">
        <f t="shared" si="1"/>
        <v/>
      </c>
      <c r="I93" s="54"/>
      <c r="J93" s="467"/>
    </row>
    <row r="94" spans="1:10" s="105" customFormat="1" ht="13.4" customHeight="1" x14ac:dyDescent="0.25">
      <c r="A94" s="467"/>
      <c r="B94" s="102"/>
      <c r="C94" s="104"/>
      <c r="D94" s="104"/>
      <c r="E94" s="103"/>
      <c r="F94" s="750"/>
      <c r="G94" s="103"/>
      <c r="H94" s="741" t="str">
        <f t="shared" si="1"/>
        <v/>
      </c>
      <c r="I94" s="54"/>
      <c r="J94" s="467"/>
    </row>
    <row r="95" spans="1:10" s="105" customFormat="1" ht="13.4" customHeight="1" x14ac:dyDescent="0.25">
      <c r="A95" s="467"/>
      <c r="B95" s="102"/>
      <c r="C95" s="104"/>
      <c r="D95" s="104"/>
      <c r="E95" s="103"/>
      <c r="F95" s="750"/>
      <c r="G95" s="103"/>
      <c r="H95" s="741" t="str">
        <f t="shared" si="1"/>
        <v/>
      </c>
      <c r="I95" s="54"/>
      <c r="J95" s="467"/>
    </row>
    <row r="96" spans="1:10" s="105" customFormat="1" ht="13.4" customHeight="1" x14ac:dyDescent="0.25">
      <c r="A96" s="467"/>
      <c r="B96" s="102"/>
      <c r="C96" s="104"/>
      <c r="D96" s="104"/>
      <c r="E96" s="103"/>
      <c r="F96" s="750"/>
      <c r="G96" s="103"/>
      <c r="H96" s="741" t="str">
        <f t="shared" si="1"/>
        <v/>
      </c>
      <c r="I96" s="54"/>
      <c r="J96" s="467"/>
    </row>
    <row r="97" spans="1:10" s="105" customFormat="1" ht="13.4" customHeight="1" x14ac:dyDescent="0.25">
      <c r="A97" s="467"/>
      <c r="B97" s="102"/>
      <c r="C97" s="104"/>
      <c r="D97" s="104"/>
      <c r="E97" s="103"/>
      <c r="F97" s="750"/>
      <c r="G97" s="103"/>
      <c r="H97" s="741" t="str">
        <f t="shared" ref="H97:H112" si="2">IF( AND(F97&lt;&gt;"",ISNUMBER(G97)),  IFERROR( G97 * INDEX(CNTR_FuelListEFprelimInclStd,MATCH( F97,  CNTR_FuelListNamesInclStd,0))  * IF(INDEX(CNTR_FuelListIsZeroInclStd,MATCH( F97,  CNTR_FuelListNamesInclStd,0)) =TRUE, 0, 1),  "--"),  "")</f>
        <v/>
      </c>
      <c r="I97" s="54"/>
      <c r="J97" s="467"/>
    </row>
    <row r="98" spans="1:10" s="105" customFormat="1" ht="13.4" customHeight="1" x14ac:dyDescent="0.25">
      <c r="A98" s="467"/>
      <c r="B98" s="102"/>
      <c r="C98" s="104"/>
      <c r="D98" s="104"/>
      <c r="E98" s="103"/>
      <c r="F98" s="750"/>
      <c r="G98" s="103"/>
      <c r="H98" s="741" t="str">
        <f t="shared" si="2"/>
        <v/>
      </c>
      <c r="I98" s="54"/>
      <c r="J98" s="467"/>
    </row>
    <row r="99" spans="1:10" s="105" customFormat="1" ht="13.4" customHeight="1" x14ac:dyDescent="0.25">
      <c r="A99" s="467"/>
      <c r="B99" s="102"/>
      <c r="C99" s="104"/>
      <c r="D99" s="104"/>
      <c r="E99" s="103"/>
      <c r="F99" s="750"/>
      <c r="G99" s="103"/>
      <c r="H99" s="741" t="str">
        <f t="shared" si="2"/>
        <v/>
      </c>
      <c r="I99" s="54"/>
      <c r="J99" s="467"/>
    </row>
    <row r="100" spans="1:10" s="105" customFormat="1" ht="13.4" customHeight="1" x14ac:dyDescent="0.25">
      <c r="A100" s="467"/>
      <c r="B100" s="102"/>
      <c r="C100" s="104"/>
      <c r="D100" s="104"/>
      <c r="E100" s="103"/>
      <c r="F100" s="750"/>
      <c r="G100" s="103"/>
      <c r="H100" s="741" t="str">
        <f t="shared" si="2"/>
        <v/>
      </c>
      <c r="I100" s="54"/>
      <c r="J100" s="467"/>
    </row>
    <row r="101" spans="1:10" s="105" customFormat="1" ht="13.4" customHeight="1" x14ac:dyDescent="0.25">
      <c r="A101" s="467"/>
      <c r="B101" s="102"/>
      <c r="C101" s="104"/>
      <c r="D101" s="104"/>
      <c r="E101" s="103"/>
      <c r="F101" s="750"/>
      <c r="G101" s="103"/>
      <c r="H101" s="741" t="str">
        <f t="shared" si="2"/>
        <v/>
      </c>
      <c r="I101" s="54"/>
      <c r="J101" s="467"/>
    </row>
    <row r="102" spans="1:10" s="105" customFormat="1" ht="13.4" customHeight="1" x14ac:dyDescent="0.25">
      <c r="A102" s="467"/>
      <c r="B102" s="102"/>
      <c r="C102" s="104"/>
      <c r="D102" s="104"/>
      <c r="E102" s="103"/>
      <c r="F102" s="750"/>
      <c r="G102" s="103"/>
      <c r="H102" s="741" t="str">
        <f t="shared" si="2"/>
        <v/>
      </c>
      <c r="I102" s="54"/>
      <c r="J102" s="467"/>
    </row>
    <row r="103" spans="1:10" s="105" customFormat="1" ht="13.4" customHeight="1" x14ac:dyDescent="0.25">
      <c r="A103" s="467"/>
      <c r="B103" s="102"/>
      <c r="C103" s="104"/>
      <c r="D103" s="104"/>
      <c r="E103" s="103"/>
      <c r="F103" s="750"/>
      <c r="G103" s="103"/>
      <c r="H103" s="741" t="str">
        <f t="shared" si="2"/>
        <v/>
      </c>
      <c r="I103" s="54"/>
      <c r="J103" s="467"/>
    </row>
    <row r="104" spans="1:10" s="105" customFormat="1" ht="13.4" customHeight="1" x14ac:dyDescent="0.25">
      <c r="A104" s="467"/>
      <c r="B104" s="102"/>
      <c r="C104" s="104"/>
      <c r="D104" s="104"/>
      <c r="E104" s="103"/>
      <c r="F104" s="750"/>
      <c r="G104" s="103"/>
      <c r="H104" s="741" t="str">
        <f t="shared" si="2"/>
        <v/>
      </c>
      <c r="I104" s="54"/>
      <c r="J104" s="467"/>
    </row>
    <row r="105" spans="1:10" s="105" customFormat="1" ht="13.4" customHeight="1" x14ac:dyDescent="0.25">
      <c r="A105" s="467"/>
      <c r="B105" s="102"/>
      <c r="C105" s="104"/>
      <c r="D105" s="104"/>
      <c r="E105" s="103"/>
      <c r="F105" s="750"/>
      <c r="G105" s="103"/>
      <c r="H105" s="741" t="str">
        <f t="shared" si="2"/>
        <v/>
      </c>
      <c r="I105" s="54"/>
      <c r="J105" s="467"/>
    </row>
    <row r="106" spans="1:10" s="105" customFormat="1" ht="13.4" customHeight="1" x14ac:dyDescent="0.25">
      <c r="A106" s="467"/>
      <c r="B106" s="102"/>
      <c r="C106" s="104"/>
      <c r="D106" s="104"/>
      <c r="E106" s="103"/>
      <c r="F106" s="750"/>
      <c r="G106" s="103"/>
      <c r="H106" s="741" t="str">
        <f t="shared" si="2"/>
        <v/>
      </c>
      <c r="I106" s="54"/>
      <c r="J106" s="467"/>
    </row>
    <row r="107" spans="1:10" s="100" customFormat="1" ht="13.4" customHeight="1" x14ac:dyDescent="0.25">
      <c r="A107" s="468"/>
      <c r="B107" s="102"/>
      <c r="C107" s="104"/>
      <c r="D107" s="104"/>
      <c r="E107" s="103"/>
      <c r="F107" s="750"/>
      <c r="G107" s="103"/>
      <c r="H107" s="741" t="str">
        <f t="shared" si="2"/>
        <v/>
      </c>
      <c r="I107" s="54"/>
      <c r="J107" s="468"/>
    </row>
    <row r="108" spans="1:10" s="100" customFormat="1" ht="13.4" customHeight="1" x14ac:dyDescent="0.25">
      <c r="A108" s="468"/>
      <c r="B108" s="102"/>
      <c r="C108" s="104"/>
      <c r="D108" s="104"/>
      <c r="E108" s="103"/>
      <c r="F108" s="750"/>
      <c r="G108" s="103"/>
      <c r="H108" s="741" t="str">
        <f t="shared" si="2"/>
        <v/>
      </c>
      <c r="I108" s="54"/>
      <c r="J108" s="468"/>
    </row>
    <row r="109" spans="1:10" s="100" customFormat="1" ht="13.4" customHeight="1" x14ac:dyDescent="0.25">
      <c r="A109" s="468"/>
      <c r="B109" s="102"/>
      <c r="C109" s="104"/>
      <c r="D109" s="104"/>
      <c r="E109" s="103"/>
      <c r="F109" s="750"/>
      <c r="G109" s="103"/>
      <c r="H109" s="741" t="str">
        <f t="shared" si="2"/>
        <v/>
      </c>
      <c r="I109" s="54"/>
      <c r="J109" s="468"/>
    </row>
    <row r="110" spans="1:10" s="100" customFormat="1" ht="13.4" customHeight="1" x14ac:dyDescent="0.25">
      <c r="A110" s="468"/>
      <c r="B110" s="102"/>
      <c r="C110" s="104"/>
      <c r="D110" s="104"/>
      <c r="E110" s="103"/>
      <c r="F110" s="750"/>
      <c r="G110" s="103"/>
      <c r="H110" s="741" t="str">
        <f t="shared" si="2"/>
        <v/>
      </c>
      <c r="I110" s="54"/>
      <c r="J110" s="468"/>
    </row>
    <row r="111" spans="1:10" s="100" customFormat="1" ht="13.4" customHeight="1" x14ac:dyDescent="0.25">
      <c r="A111" s="468"/>
      <c r="B111" s="102"/>
      <c r="C111" s="104"/>
      <c r="D111" s="104"/>
      <c r="E111" s="103"/>
      <c r="F111" s="750"/>
      <c r="G111" s="103"/>
      <c r="H111" s="741" t="str">
        <f t="shared" si="2"/>
        <v/>
      </c>
      <c r="I111" s="54"/>
      <c r="J111" s="468"/>
    </row>
    <row r="112" spans="1:10" s="100" customFormat="1" ht="13.4" customHeight="1" x14ac:dyDescent="0.25">
      <c r="A112" s="468"/>
      <c r="B112" s="102"/>
      <c r="C112" s="104"/>
      <c r="D112" s="104"/>
      <c r="E112" s="103"/>
      <c r="F112" s="750"/>
      <c r="G112" s="103"/>
      <c r="H112" s="741" t="str">
        <f t="shared" si="2"/>
        <v/>
      </c>
      <c r="I112" s="54"/>
      <c r="J112" s="468"/>
    </row>
    <row r="113" spans="1:10" s="100" customFormat="1" ht="13.4" customHeight="1" x14ac:dyDescent="0.25">
      <c r="A113" s="468"/>
      <c r="B113" s="102"/>
      <c r="C113" s="101" t="str">
        <f>Translations!$B$1024</f>
        <v>end of list</v>
      </c>
      <c r="D113" s="101" t="str">
        <f>Translations!$B$1024</f>
        <v>end of list</v>
      </c>
      <c r="E113" s="751" t="str">
        <f>Translations!$B$1024</f>
        <v>end of list</v>
      </c>
      <c r="F113" s="751" t="str">
        <f>Translations!$B$1024</f>
        <v>end of list</v>
      </c>
      <c r="G113" s="751" t="str">
        <f>Translations!$B$1024</f>
        <v>end of list</v>
      </c>
      <c r="H113" s="751" t="str">
        <f>Translations!$B$1024</f>
        <v>end of list</v>
      </c>
      <c r="I113" s="54"/>
      <c r="J113" s="468"/>
    </row>
    <row r="114" spans="1:10" ht="13.4" customHeight="1" x14ac:dyDescent="0.25">
      <c r="A114" s="465"/>
      <c r="E114" s="99"/>
      <c r="F114" s="99"/>
      <c r="G114" s="99"/>
      <c r="H114" s="99"/>
      <c r="J114" s="465"/>
    </row>
    <row r="115" spans="1:10" s="65" customFormat="1" ht="15.5" x14ac:dyDescent="0.25">
      <c r="A115" s="458"/>
      <c r="B115" s="98"/>
      <c r="C115" s="1015" t="str">
        <f>Translations!$B$1025</f>
        <v>Totals:</v>
      </c>
      <c r="D115" s="1015"/>
      <c r="E115" s="1015"/>
      <c r="F115" s="1015"/>
      <c r="G115" s="1015"/>
      <c r="H115" s="1015"/>
      <c r="I115" s="54"/>
      <c r="J115" s="458"/>
    </row>
    <row r="116" spans="1:10" s="95" customFormat="1" ht="26.5" customHeight="1" x14ac:dyDescent="0.25">
      <c r="A116" s="466"/>
      <c r="C116" s="55"/>
      <c r="D116" s="96"/>
      <c r="E116" s="50" t="str">
        <f>Translations!$B$1026</f>
        <v>Total number of flights</v>
      </c>
      <c r="F116" s="50"/>
      <c r="G116" s="50" t="str">
        <f>Translations!$B$1633</f>
        <v>Total fuels consumed [tonnes]</v>
      </c>
      <c r="H116" s="50" t="str">
        <f>Translations!$B$1021</f>
        <v>Total emissions
[t CO2]</v>
      </c>
      <c r="I116" s="54"/>
      <c r="J116" s="466"/>
    </row>
    <row r="117" spans="1:10" ht="13" x14ac:dyDescent="0.3">
      <c r="A117" s="465"/>
      <c r="C117" s="94" t="str">
        <f>Translations!$B$1027</f>
        <v>Reporting year totals:</v>
      </c>
      <c r="D117" s="93"/>
      <c r="E117" s="759">
        <f>SUM(E33:E113)</f>
        <v>0</v>
      </c>
      <c r="F117" s="760"/>
      <c r="G117" s="759">
        <f>SUM(G33:G113)</f>
        <v>0</v>
      </c>
      <c r="H117" s="759">
        <f>ROUND(SUM(H33:H113),0)</f>
        <v>0</v>
      </c>
      <c r="J117" s="465"/>
    </row>
    <row r="118" spans="1:10" ht="13" x14ac:dyDescent="0.3">
      <c r="A118" s="465"/>
      <c r="C118" s="94" t="str">
        <f>Translations!$B$1028</f>
        <v>Compare data entered in section 5:</v>
      </c>
      <c r="D118" s="93"/>
      <c r="E118" s="759">
        <f>INDICATOR_ETS_TotalFlights</f>
        <v>0</v>
      </c>
      <c r="F118" s="760"/>
      <c r="G118" s="759">
        <f>SUM('Emissions overview'!I117:I134,'Emissions overview'!I156:I173)</f>
        <v>0</v>
      </c>
      <c r="H118" s="759">
        <f>SUM(INDICATOR_ETS_TotalEmissions,INDICATOR_CHETS_TotalEmissions)</f>
        <v>0</v>
      </c>
      <c r="J118" s="465"/>
    </row>
  </sheetData>
  <sheetProtection sheet="1" objects="1" scenarios="1" formatCells="0" formatColumns="0" formatRows="0" insertColumns="0" insertRows="0"/>
  <mergeCells count="29">
    <mergeCell ref="C15:H15"/>
    <mergeCell ref="C16:H16"/>
    <mergeCell ref="C17:H17"/>
    <mergeCell ref="C20:H20"/>
    <mergeCell ref="F31:F32"/>
    <mergeCell ref="G31:G32"/>
    <mergeCell ref="C25:H25"/>
    <mergeCell ref="C27:H27"/>
    <mergeCell ref="C28:H28"/>
    <mergeCell ref="C31:D31"/>
    <mergeCell ref="E31:E32"/>
    <mergeCell ref="H31:H32"/>
    <mergeCell ref="C29:H29"/>
    <mergeCell ref="B2:H2"/>
    <mergeCell ref="C23:H23"/>
    <mergeCell ref="C24:H24"/>
    <mergeCell ref="C26:H26"/>
    <mergeCell ref="C5:H5"/>
    <mergeCell ref="C6:H6"/>
    <mergeCell ref="C7:H7"/>
    <mergeCell ref="C8:H8"/>
    <mergeCell ref="C9:H9"/>
    <mergeCell ref="C13:H13"/>
    <mergeCell ref="C14:H14"/>
    <mergeCell ref="C18:H18"/>
    <mergeCell ref="C19:H19"/>
    <mergeCell ref="C22:H22"/>
    <mergeCell ref="E21:H21"/>
    <mergeCell ref="C10:H10"/>
  </mergeCells>
  <conditionalFormatting sqref="B29:C29 B30:H118">
    <cfRule type="expression" dxfId="5" priority="1">
      <formula>CONTR_onlyCORSIA=TRUE</formula>
    </cfRule>
  </conditionalFormatting>
  <conditionalFormatting sqref="B5:H28">
    <cfRule type="expression" dxfId="4" priority="2">
      <formula>CONTR_onlyCORSIA=TRUE</formula>
    </cfRule>
  </conditionalFormatting>
  <conditionalFormatting sqref="C14:H18 E21:F21">
    <cfRule type="expression" dxfId="3" priority="7">
      <formula>AND(NOT(ISBLANK(INDICATOR_EUETSAnnexConfidential)),INDICATOR_EUETSAnnexConfidential=FALSE)</formula>
    </cfRule>
  </conditionalFormatting>
  <dataValidations disablePrompts="1" count="2">
    <dataValidation type="list" allowBlank="1" showInputMessage="1" showErrorMessage="1" sqref="H11" xr:uid="{00000000-0002-0000-0900-000000000000}">
      <formula1>TrueFalse</formula1>
    </dataValidation>
    <dataValidation type="list" allowBlank="1" showInputMessage="1" showErrorMessage="1" sqref="F33:F112" xr:uid="{00000000-0002-0000-0900-000001000000}">
      <formula1>INDIRECT(CNTR_FuelSelectionInclStd)</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
    <tabColor rgb="FFBDD7EE"/>
    <pageSetUpPr fitToPage="1"/>
  </sheetPr>
  <dimension ref="A1:Q370"/>
  <sheetViews>
    <sheetView zoomScale="115" zoomScaleNormal="115" workbookViewId="0"/>
  </sheetViews>
  <sheetFormatPr baseColWidth="10" defaultColWidth="11.54296875" defaultRowHeight="12.5" x14ac:dyDescent="0.25"/>
  <cols>
    <col min="1" max="1" width="4.54296875" style="319" customWidth="1"/>
    <col min="2" max="2" width="3.54296875" style="319" customWidth="1"/>
    <col min="3" max="3" width="8.54296875" style="319" customWidth="1"/>
    <col min="4" max="4" width="11.54296875" style="319" customWidth="1"/>
    <col min="5" max="5" width="3.54296875" style="319" customWidth="1"/>
    <col min="6" max="6" width="8.54296875" style="319" customWidth="1"/>
    <col min="7" max="7" width="11.54296875" style="319" customWidth="1"/>
    <col min="8" max="8" width="3.54296875" style="319" customWidth="1"/>
    <col min="9" max="9" width="11.54296875" style="319"/>
    <col min="10" max="11" width="8.54296875" style="319" customWidth="1"/>
    <col min="12" max="12" width="12.54296875" style="319" customWidth="1"/>
    <col min="13" max="13" width="11.54296875" style="319" customWidth="1"/>
    <col min="14" max="14" width="12.54296875" style="319" customWidth="1"/>
    <col min="15" max="15" width="13.54296875" style="319" customWidth="1"/>
    <col min="16" max="16" width="3.54296875" style="319" customWidth="1"/>
    <col min="17" max="17" width="4.54296875" style="319" customWidth="1"/>
    <col min="18" max="18" width="3.54296875" style="319" customWidth="1"/>
    <col min="19" max="16384" width="11.54296875" style="319"/>
  </cols>
  <sheetData>
    <row r="1" spans="1:17" x14ac:dyDescent="0.25">
      <c r="A1" s="325"/>
      <c r="B1" s="325"/>
      <c r="C1" s="325"/>
      <c r="D1" s="325"/>
      <c r="E1" s="325"/>
      <c r="F1" s="325"/>
      <c r="G1" s="325"/>
      <c r="H1" s="325"/>
      <c r="I1" s="325"/>
      <c r="J1" s="325"/>
      <c r="K1" s="325"/>
      <c r="L1" s="325"/>
      <c r="M1" s="325"/>
      <c r="N1" s="325"/>
      <c r="O1" s="325"/>
      <c r="P1" s="325"/>
      <c r="Q1" s="325"/>
    </row>
    <row r="2" spans="1:17" ht="14.5" customHeight="1" x14ac:dyDescent="0.25">
      <c r="A2" s="325"/>
      <c r="B2" s="314"/>
      <c r="C2" s="1356" t="str">
        <f>Translations!$B$1158</f>
        <v>(12) CORSIA REPORTING</v>
      </c>
      <c r="D2" s="1356"/>
      <c r="E2" s="1356"/>
      <c r="F2" s="1356"/>
      <c r="G2" s="1356"/>
      <c r="H2" s="1356"/>
      <c r="I2" s="1356"/>
      <c r="J2" s="1356"/>
      <c r="K2" s="1356"/>
      <c r="L2" s="1356"/>
      <c r="M2" s="1356"/>
      <c r="N2" s="1356"/>
      <c r="O2" s="1356"/>
      <c r="Q2" s="325"/>
    </row>
    <row r="3" spans="1:17" ht="14.5" customHeight="1" x14ac:dyDescent="0.25">
      <c r="A3" s="325"/>
      <c r="B3" s="314"/>
      <c r="C3" s="1356"/>
      <c r="D3" s="1356"/>
      <c r="E3" s="1356"/>
      <c r="F3" s="1356"/>
      <c r="G3" s="1356"/>
      <c r="H3" s="1356"/>
      <c r="I3" s="1356"/>
      <c r="J3" s="1356"/>
      <c r="K3" s="1356"/>
      <c r="L3" s="1356"/>
      <c r="M3" s="1356"/>
      <c r="N3" s="1356"/>
      <c r="O3" s="1356"/>
      <c r="Q3" s="325"/>
    </row>
    <row r="4" spans="1:17" ht="40" customHeight="1" x14ac:dyDescent="0.25">
      <c r="A4" s="325"/>
      <c r="B4" s="314"/>
      <c r="C4" s="1367" t="str">
        <f>Translations!$B$1634</f>
        <v>Note: This sheet only has to be filled if you have an obligation to report CORSIA-related emissions to your administering Member State. All international flights have to be reported here in accordance with the delegated act pursuant to Article 28c of the ETS Directive.</v>
      </c>
      <c r="D4" s="1065"/>
      <c r="E4" s="1065"/>
      <c r="F4" s="1065"/>
      <c r="G4" s="1065"/>
      <c r="H4" s="1065"/>
      <c r="I4" s="1065"/>
      <c r="J4" s="1065"/>
      <c r="K4" s="1065"/>
      <c r="L4" s="1065"/>
      <c r="M4" s="1065"/>
      <c r="N4" s="1065"/>
      <c r="O4" s="1065"/>
      <c r="Q4" s="325"/>
    </row>
    <row r="5" spans="1:17" ht="13.4" customHeight="1" x14ac:dyDescent="0.25">
      <c r="A5" s="325"/>
      <c r="B5" s="314"/>
      <c r="C5" s="1366" t="str">
        <f>Translations!$B$1162</f>
        <v>Explanation for the data below: Please complete the list underneath. All aerodrome pairs that were operated during the reporting year have to be reported.</v>
      </c>
      <c r="D5" s="1065"/>
      <c r="E5" s="1065"/>
      <c r="F5" s="1065"/>
      <c r="G5" s="1065"/>
      <c r="H5" s="1065"/>
      <c r="I5" s="1065"/>
      <c r="J5" s="1065"/>
      <c r="K5" s="1065"/>
      <c r="L5" s="1065"/>
      <c r="M5" s="1065"/>
      <c r="N5" s="1065"/>
      <c r="O5" s="1065"/>
      <c r="Q5" s="325"/>
    </row>
    <row r="6" spans="1:17" ht="13.4" customHeight="1" x14ac:dyDescent="0.25">
      <c r="A6" s="325"/>
      <c r="B6" s="314"/>
      <c r="C6" s="1366" t="str">
        <f>Translations!$B$1163</f>
        <v>Note I: Please report both directions between aerodrome pairs if applicable (A-B and B-A).</v>
      </c>
      <c r="D6" s="1065"/>
      <c r="E6" s="1065"/>
      <c r="F6" s="1065"/>
      <c r="G6" s="1065"/>
      <c r="H6" s="1065"/>
      <c r="I6" s="1065"/>
      <c r="J6" s="1065"/>
      <c r="K6" s="1065"/>
      <c r="L6" s="1065"/>
      <c r="M6" s="1065"/>
      <c r="N6" s="1065"/>
      <c r="O6" s="1065"/>
      <c r="Q6" s="325"/>
    </row>
    <row r="7" spans="1:17" ht="26.5" customHeight="1" x14ac:dyDescent="0.25">
      <c r="A7" s="325"/>
      <c r="B7" s="314"/>
      <c r="C7" s="1366" t="str">
        <f>Translations!$B$1635</f>
        <v>Note II: If you used different type of fuels on the same aerodrome pair with different preliminary emission factors, you need to create an identical aerodrome pair and report this portion of fuel separately.</v>
      </c>
      <c r="D7" s="1065"/>
      <c r="E7" s="1065"/>
      <c r="F7" s="1065"/>
      <c r="G7" s="1065"/>
      <c r="H7" s="1065"/>
      <c r="I7" s="1065"/>
      <c r="J7" s="1065"/>
      <c r="K7" s="1065"/>
      <c r="L7" s="1065"/>
      <c r="M7" s="1065"/>
      <c r="N7" s="1065"/>
      <c r="O7" s="1065"/>
      <c r="Q7" s="325"/>
    </row>
    <row r="8" spans="1:17" ht="26.15" customHeight="1" x14ac:dyDescent="0.25">
      <c r="A8" s="325"/>
      <c r="B8" s="314"/>
      <c r="C8" s="1366" t="str">
        <f>Translations!$B$1636</f>
        <v>Note III: Please also complete the CORSIA eligible fuels supplementary information to the Annual Emissions Report, if CORSIA eligible fuels were used during the reporting period.</v>
      </c>
      <c r="D8" s="1065"/>
      <c r="E8" s="1065"/>
      <c r="F8" s="1065"/>
      <c r="G8" s="1065"/>
      <c r="H8" s="1065"/>
      <c r="I8" s="1065"/>
      <c r="J8" s="1065"/>
      <c r="K8" s="1065"/>
      <c r="L8" s="1065"/>
      <c r="M8" s="1065"/>
      <c r="N8" s="1065"/>
      <c r="O8" s="1065"/>
      <c r="Q8" s="325"/>
    </row>
    <row r="9" spans="1:17" ht="5.15" customHeight="1" x14ac:dyDescent="0.25">
      <c r="A9" s="325"/>
      <c r="B9" s="314"/>
      <c r="C9" s="313"/>
      <c r="D9" s="313"/>
      <c r="E9" s="313"/>
      <c r="F9" s="313"/>
      <c r="G9" s="313"/>
      <c r="H9" s="313"/>
      <c r="I9" s="313"/>
      <c r="J9" s="313"/>
      <c r="K9" s="313"/>
      <c r="L9" s="313"/>
      <c r="M9" s="313"/>
      <c r="N9" s="313"/>
      <c r="O9" s="313"/>
      <c r="Q9" s="325"/>
    </row>
    <row r="10" spans="1:17" ht="13" x14ac:dyDescent="0.25">
      <c r="A10" s="325"/>
      <c r="B10" s="326" t="s">
        <v>239</v>
      </c>
      <c r="C10" s="326" t="str">
        <f>Translations!$B$1166</f>
        <v>Summary of reported international flights and emissions</v>
      </c>
      <c r="Q10" s="325"/>
    </row>
    <row r="11" spans="1:17" ht="5.15" customHeight="1" x14ac:dyDescent="0.25">
      <c r="A11" s="325"/>
      <c r="B11" s="327"/>
      <c r="C11" s="1357"/>
      <c r="D11" s="1357"/>
      <c r="E11" s="1357"/>
      <c r="F11" s="1357"/>
      <c r="G11" s="1357"/>
      <c r="H11" s="1357"/>
      <c r="I11" s="1357"/>
      <c r="J11" s="1357"/>
      <c r="K11" s="1357"/>
      <c r="L11" s="1357"/>
      <c r="M11" s="1357"/>
      <c r="Q11" s="325"/>
    </row>
    <row r="12" spans="1:17" x14ac:dyDescent="0.25">
      <c r="A12" s="325"/>
      <c r="B12" s="327"/>
      <c r="C12" s="1358" t="str">
        <f>Translations!$B$1167</f>
        <v>Total CO2 emissions from international flights (in tonnes):</v>
      </c>
      <c r="D12" s="1359"/>
      <c r="E12" s="1359"/>
      <c r="F12" s="1359"/>
      <c r="G12" s="1359"/>
      <c r="H12" s="1359"/>
      <c r="I12" s="1359"/>
      <c r="J12" s="1359"/>
      <c r="K12" s="1359"/>
      <c r="L12" s="1359"/>
      <c r="M12" s="1360" t="str">
        <f>IF(COUNT(N67:N366)&gt;0,SUM(N67:N366),"")</f>
        <v/>
      </c>
      <c r="N12" s="1361"/>
      <c r="O12" s="328" t="s">
        <v>188</v>
      </c>
      <c r="Q12" s="325"/>
    </row>
    <row r="13" spans="1:17" x14ac:dyDescent="0.25">
      <c r="A13" s="325"/>
      <c r="B13" s="327"/>
      <c r="C13" s="1358" t="str">
        <f>Translations!$B$1168</f>
        <v xml:space="preserve">   Total CO2 emissions from flights subject to offsetting requirements (in tonnes):</v>
      </c>
      <c r="D13" s="1359"/>
      <c r="E13" s="1359"/>
      <c r="F13" s="1359"/>
      <c r="G13" s="1359"/>
      <c r="H13" s="1359"/>
      <c r="I13" s="1359"/>
      <c r="J13" s="1359"/>
      <c r="K13" s="1359"/>
      <c r="L13" s="1359"/>
      <c r="M13" s="1360" t="str">
        <f>IF(M12="","",SUMIF(O67:O366,TRUE,N67:N366))</f>
        <v/>
      </c>
      <c r="N13" s="1361"/>
      <c r="O13" s="328" t="s">
        <v>188</v>
      </c>
      <c r="Q13" s="325"/>
    </row>
    <row r="14" spans="1:17" x14ac:dyDescent="0.25">
      <c r="A14" s="325"/>
      <c r="B14" s="327"/>
      <c r="C14" s="1358" t="str">
        <f>Translations!$B$1169</f>
        <v>Total number of international flights during reporting period:</v>
      </c>
      <c r="D14" s="1359"/>
      <c r="E14" s="1359"/>
      <c r="F14" s="1359"/>
      <c r="G14" s="1359"/>
      <c r="H14" s="1359"/>
      <c r="I14" s="1359"/>
      <c r="J14" s="1359"/>
      <c r="K14" s="1359"/>
      <c r="L14" s="1359"/>
      <c r="M14" s="1360" t="str">
        <f>IF(COUNT(J67:J366)&gt;0,SUM(J67:J366),"")</f>
        <v/>
      </c>
      <c r="N14" s="1361"/>
      <c r="O14" s="328"/>
      <c r="Q14" s="325"/>
    </row>
    <row r="15" spans="1:17" x14ac:dyDescent="0.25">
      <c r="A15" s="325"/>
      <c r="B15" s="327"/>
      <c r="C15" s="1358" t="str">
        <f>Translations!$B$1170</f>
        <v xml:space="preserve">   Total number of international flights subject to offsetting requirements:</v>
      </c>
      <c r="D15" s="1359"/>
      <c r="E15" s="1359"/>
      <c r="F15" s="1359"/>
      <c r="G15" s="1359"/>
      <c r="H15" s="1359"/>
      <c r="I15" s="1359"/>
      <c r="J15" s="1359"/>
      <c r="K15" s="1359"/>
      <c r="L15" s="1359"/>
      <c r="M15" s="1360" t="str">
        <f>IF(M14="","",SUMIF(O67:O366,TRUE,J67:J366))</f>
        <v/>
      </c>
      <c r="N15" s="1361"/>
      <c r="O15" s="328"/>
      <c r="Q15" s="325"/>
    </row>
    <row r="16" spans="1:17" x14ac:dyDescent="0.25">
      <c r="A16" s="325"/>
      <c r="B16" s="327"/>
      <c r="C16" s="1358" t="str">
        <f>Translations!$B$1637</f>
        <v>Total reductions claimed from the use of CORSIA eligible fuels (in tonnes):</v>
      </c>
      <c r="D16" s="1359"/>
      <c r="E16" s="1359"/>
      <c r="F16" s="1359"/>
      <c r="G16" s="1359"/>
      <c r="H16" s="1359"/>
      <c r="I16" s="1359"/>
      <c r="J16" s="1359"/>
      <c r="K16" s="1359"/>
      <c r="L16" s="1359"/>
      <c r="M16" s="1360" t="str">
        <f>IF(L36="","",L36)</f>
        <v/>
      </c>
      <c r="N16" s="1361"/>
      <c r="O16" s="328" t="s">
        <v>188</v>
      </c>
      <c r="Q16" s="325"/>
    </row>
    <row r="17" spans="1:17" ht="40.4" customHeight="1" x14ac:dyDescent="0.25">
      <c r="A17" s="325"/>
      <c r="B17" s="315"/>
      <c r="C17" s="1368"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17" s="1368"/>
      <c r="E17" s="1368"/>
      <c r="F17" s="1368"/>
      <c r="G17" s="1368"/>
      <c r="H17" s="1368"/>
      <c r="I17" s="1368"/>
      <c r="J17" s="1368"/>
      <c r="K17" s="1368"/>
      <c r="L17" s="1368"/>
      <c r="M17" s="1368"/>
      <c r="N17" s="1368"/>
      <c r="O17" s="1368"/>
      <c r="Q17" s="325"/>
    </row>
    <row r="18" spans="1:17" ht="14" x14ac:dyDescent="0.25">
      <c r="A18" s="325"/>
      <c r="B18" s="315"/>
      <c r="C18" s="314"/>
      <c r="D18" s="314"/>
      <c r="E18" s="314"/>
      <c r="F18" s="314"/>
      <c r="G18" s="314"/>
      <c r="H18" s="314"/>
      <c r="I18" s="314"/>
      <c r="J18" s="314"/>
      <c r="K18" s="314"/>
      <c r="L18" s="314"/>
      <c r="M18" s="314"/>
      <c r="N18" s="314"/>
      <c r="O18" s="317"/>
      <c r="Q18" s="325"/>
    </row>
    <row r="19" spans="1:17" ht="13" x14ac:dyDescent="0.25">
      <c r="A19" s="325"/>
      <c r="B19" s="326" t="s">
        <v>240</v>
      </c>
      <c r="C19" s="326" t="str">
        <f>Translations!$B$1173</f>
        <v>Summary of fuel quantities (in tonnes):</v>
      </c>
      <c r="O19" s="329"/>
      <c r="Q19" s="325"/>
    </row>
    <row r="20" spans="1:17" ht="13" x14ac:dyDescent="0.25">
      <c r="A20" s="325"/>
      <c r="B20" s="327"/>
      <c r="C20" s="330"/>
      <c r="O20" s="329"/>
      <c r="Q20" s="325"/>
    </row>
    <row r="21" spans="1:17" x14ac:dyDescent="0.25">
      <c r="A21" s="325"/>
      <c r="B21" s="327"/>
      <c r="C21" s="1358" t="str">
        <f>Translations!$B$1151</f>
        <v>Jet-A</v>
      </c>
      <c r="D21" s="1359"/>
      <c r="E21" s="1359"/>
      <c r="F21" s="1359"/>
      <c r="G21" s="1362"/>
      <c r="H21" s="1363" t="str">
        <f>IF($M$12="","",SUMIF($K$67:$K$366,C21,$L$67:$L$366))</f>
        <v/>
      </c>
      <c r="I21" s="1364"/>
      <c r="J21" s="1364"/>
      <c r="K21" s="1364"/>
      <c r="L21" s="1364"/>
      <c r="M21" s="1364"/>
      <c r="N21" s="1365"/>
      <c r="O21" s="328" t="s">
        <v>241</v>
      </c>
      <c r="Q21" s="325"/>
    </row>
    <row r="22" spans="1:17" x14ac:dyDescent="0.25">
      <c r="A22" s="325"/>
      <c r="B22" s="327"/>
      <c r="C22" s="1358" t="str">
        <f>Translations!$B$1152</f>
        <v>Jet-A1</v>
      </c>
      <c r="D22" s="1359"/>
      <c r="E22" s="1359"/>
      <c r="F22" s="1359"/>
      <c r="G22" s="1362"/>
      <c r="H22" s="1363" t="str">
        <f>IF($M$12="","",SUMIF($K$67:$K$366,C22,$L$67:$L$366))</f>
        <v/>
      </c>
      <c r="I22" s="1364"/>
      <c r="J22" s="1364"/>
      <c r="K22" s="1364"/>
      <c r="L22" s="1364"/>
      <c r="M22" s="1364"/>
      <c r="N22" s="1365"/>
      <c r="O22" s="328" t="s">
        <v>241</v>
      </c>
      <c r="Q22" s="325"/>
    </row>
    <row r="23" spans="1:17" x14ac:dyDescent="0.25">
      <c r="A23" s="325"/>
      <c r="B23" s="327"/>
      <c r="C23" s="1358" t="str">
        <f>Translations!$B$1153</f>
        <v>Jet-B</v>
      </c>
      <c r="D23" s="1359"/>
      <c r="E23" s="1359"/>
      <c r="F23" s="1359"/>
      <c r="G23" s="1359"/>
      <c r="H23" s="1363" t="str">
        <f>IF($M$12="","",SUMIF($K$67:$K$366,C23,$L$67:$L$366))</f>
        <v/>
      </c>
      <c r="I23" s="1364"/>
      <c r="J23" s="1364"/>
      <c r="K23" s="1364"/>
      <c r="L23" s="1364"/>
      <c r="M23" s="1364"/>
      <c r="N23" s="1365"/>
      <c r="O23" s="328" t="s">
        <v>241</v>
      </c>
      <c r="Q23" s="325"/>
    </row>
    <row r="24" spans="1:17" x14ac:dyDescent="0.25">
      <c r="A24" s="325"/>
      <c r="B24" s="327"/>
      <c r="C24" s="1358" t="str">
        <f>Translations!$B$1154</f>
        <v>AvGas</v>
      </c>
      <c r="D24" s="1359"/>
      <c r="E24" s="1359"/>
      <c r="F24" s="1359"/>
      <c r="G24" s="1359"/>
      <c r="H24" s="1363" t="str">
        <f>IF($M$12="","",SUMIF($K$67:$K$366,C24,$L$67:$L$366))</f>
        <v/>
      </c>
      <c r="I24" s="1364"/>
      <c r="J24" s="1364"/>
      <c r="K24" s="1364"/>
      <c r="L24" s="1364"/>
      <c r="M24" s="1364"/>
      <c r="N24" s="1365"/>
      <c r="O24" s="328" t="s">
        <v>241</v>
      </c>
      <c r="Q24" s="325"/>
    </row>
    <row r="25" spans="1:17" ht="14" x14ac:dyDescent="0.25">
      <c r="A25" s="325"/>
      <c r="B25" s="314"/>
      <c r="C25" s="314"/>
      <c r="D25" s="314"/>
      <c r="E25" s="314"/>
      <c r="F25" s="314"/>
      <c r="G25" s="314"/>
      <c r="H25" s="314"/>
      <c r="I25" s="314"/>
      <c r="J25" s="314"/>
      <c r="K25" s="314"/>
      <c r="L25" s="314"/>
      <c r="M25" s="314"/>
      <c r="N25" s="314"/>
      <c r="O25" s="314"/>
      <c r="Q25" s="325"/>
    </row>
    <row r="26" spans="1:17" ht="13" x14ac:dyDescent="0.25">
      <c r="A26" s="325"/>
      <c r="B26" s="326" t="s">
        <v>242</v>
      </c>
      <c r="C26" s="326" t="str">
        <f>Translations!$B$1174</f>
        <v>CORSIA eligible fuels claimed (only applicable from reporting year 2021 onwards)</v>
      </c>
      <c r="Q26" s="325"/>
    </row>
    <row r="27" spans="1:17" ht="38.25" customHeight="1" thickBot="1" x14ac:dyDescent="0.3">
      <c r="A27" s="325"/>
      <c r="B27" s="331"/>
      <c r="C27" s="1366" t="str">
        <f>Translations!$B$1638</f>
        <v>If claiming reductions from the use of CORSIA eligible fuels, please complete the table below in accordance with the CORSIA delegated act. Supplementary information about the claim is also required, and can be reported using the appropriate supplementary template on CORSIA eligible fuels supplementary information.</v>
      </c>
      <c r="D27" s="1366"/>
      <c r="E27" s="1366"/>
      <c r="F27" s="1366"/>
      <c r="G27" s="1366"/>
      <c r="H27" s="1366"/>
      <c r="I27" s="1366"/>
      <c r="J27" s="1366"/>
      <c r="K27" s="1366"/>
      <c r="L27" s="1366"/>
      <c r="M27" s="1366"/>
      <c r="N27" s="1390"/>
      <c r="O27" s="1390"/>
      <c r="Q27" s="325"/>
    </row>
    <row r="28" spans="1:17" ht="13" x14ac:dyDescent="0.25">
      <c r="A28" s="325"/>
      <c r="B28" s="331"/>
      <c r="C28" s="1373" t="str">
        <f>Translations!$B$1121</f>
        <v>Fuel type</v>
      </c>
      <c r="D28" s="1374"/>
      <c r="E28" s="1374"/>
      <c r="F28" s="1375"/>
      <c r="G28" s="1373" t="str">
        <f>Translations!$B$1176</f>
        <v>Total mass of the neat CORSIA eligible fuel (in tonnes)</v>
      </c>
      <c r="H28" s="1374"/>
      <c r="I28" s="1375"/>
      <c r="J28" s="1373" t="str">
        <f>Translations!$B$1177</f>
        <v>Life Cycle Emissions</v>
      </c>
      <c r="K28" s="1374"/>
      <c r="L28" s="1382" t="str">
        <f>Translations!$B$1639</f>
        <v>Reductions claimed</v>
      </c>
      <c r="M28" s="1383"/>
      <c r="N28" s="1388" t="str">
        <f>Translations!$B$1179</f>
        <v>Unit</v>
      </c>
      <c r="Q28" s="325"/>
    </row>
    <row r="29" spans="1:17" ht="13" x14ac:dyDescent="0.25">
      <c r="A29" s="325"/>
      <c r="B29" s="331"/>
      <c r="C29" s="1386" t="str">
        <f>Translations!$B$1121</f>
        <v>Fuel type</v>
      </c>
      <c r="D29" s="1375" t="str">
        <f>Translations!$B$1122</f>
        <v>Feedstock</v>
      </c>
      <c r="E29" s="1373" t="str">
        <f>Translations!$B$1123</f>
        <v>Conversion process</v>
      </c>
      <c r="F29" s="1375"/>
      <c r="G29" s="1376"/>
      <c r="H29" s="1377"/>
      <c r="I29" s="1378"/>
      <c r="J29" s="1376"/>
      <c r="K29" s="1377"/>
      <c r="L29" s="1384"/>
      <c r="M29" s="1378"/>
      <c r="N29" s="1389"/>
      <c r="Q29" s="325"/>
    </row>
    <row r="30" spans="1:17" ht="13" x14ac:dyDescent="0.25">
      <c r="A30" s="325"/>
      <c r="B30" s="331"/>
      <c r="C30" s="1387"/>
      <c r="D30" s="1381"/>
      <c r="E30" s="1379"/>
      <c r="F30" s="1381"/>
      <c r="G30" s="1379"/>
      <c r="H30" s="1380"/>
      <c r="I30" s="1381"/>
      <c r="J30" s="1379"/>
      <c r="K30" s="1380"/>
      <c r="L30" s="1385"/>
      <c r="M30" s="1381"/>
      <c r="N30" s="1389"/>
      <c r="Q30" s="325"/>
    </row>
    <row r="31" spans="1:17" ht="13" x14ac:dyDescent="0.25">
      <c r="A31" s="325"/>
      <c r="B31" s="331"/>
      <c r="C31" s="332"/>
      <c r="D31" s="333"/>
      <c r="E31" s="1369"/>
      <c r="F31" s="1370"/>
      <c r="G31" s="1369"/>
      <c r="H31" s="1371"/>
      <c r="I31" s="1370"/>
      <c r="J31" s="1369"/>
      <c r="K31" s="1371"/>
      <c r="L31" s="1372"/>
      <c r="M31" s="1370"/>
      <c r="N31" s="352" t="s">
        <v>188</v>
      </c>
      <c r="Q31" s="325"/>
    </row>
    <row r="32" spans="1:17" ht="13" x14ac:dyDescent="0.25">
      <c r="A32" s="325"/>
      <c r="B32" s="331"/>
      <c r="C32" s="332"/>
      <c r="D32" s="333"/>
      <c r="E32" s="1369"/>
      <c r="F32" s="1370"/>
      <c r="G32" s="1369"/>
      <c r="H32" s="1371"/>
      <c r="I32" s="1370"/>
      <c r="J32" s="1369"/>
      <c r="K32" s="1371"/>
      <c r="L32" s="1372"/>
      <c r="M32" s="1370"/>
      <c r="N32" s="352" t="s">
        <v>188</v>
      </c>
      <c r="Q32" s="325"/>
    </row>
    <row r="33" spans="1:17" ht="13" x14ac:dyDescent="0.25">
      <c r="A33" s="325"/>
      <c r="B33" s="331"/>
      <c r="C33" s="332"/>
      <c r="D33" s="333"/>
      <c r="E33" s="1369"/>
      <c r="F33" s="1370"/>
      <c r="G33" s="1369"/>
      <c r="H33" s="1371"/>
      <c r="I33" s="1370"/>
      <c r="J33" s="1369"/>
      <c r="K33" s="1371"/>
      <c r="L33" s="1372"/>
      <c r="M33" s="1370"/>
      <c r="N33" s="352" t="s">
        <v>188</v>
      </c>
      <c r="Q33" s="325"/>
    </row>
    <row r="34" spans="1:17" ht="13" x14ac:dyDescent="0.25">
      <c r="A34" s="325"/>
      <c r="B34" s="331"/>
      <c r="C34" s="332"/>
      <c r="D34" s="333"/>
      <c r="E34" s="1369"/>
      <c r="F34" s="1370"/>
      <c r="G34" s="1369"/>
      <c r="H34" s="1371"/>
      <c r="I34" s="1370"/>
      <c r="J34" s="1369"/>
      <c r="K34" s="1371"/>
      <c r="L34" s="1372"/>
      <c r="M34" s="1370"/>
      <c r="N34" s="352" t="s">
        <v>188</v>
      </c>
      <c r="Q34" s="325"/>
    </row>
    <row r="35" spans="1:17" ht="13" x14ac:dyDescent="0.25">
      <c r="A35" s="325"/>
      <c r="B35" s="331"/>
      <c r="C35" s="334"/>
      <c r="D35" s="335"/>
      <c r="E35" s="1391"/>
      <c r="F35" s="1392"/>
      <c r="G35" s="1369"/>
      <c r="H35" s="1371"/>
      <c r="I35" s="1370"/>
      <c r="J35" s="1369"/>
      <c r="K35" s="1371"/>
      <c r="L35" s="1372"/>
      <c r="M35" s="1370"/>
      <c r="N35" s="352" t="s">
        <v>188</v>
      </c>
      <c r="Q35" s="325"/>
    </row>
    <row r="36" spans="1:17" ht="13" thickBot="1" x14ac:dyDescent="0.3">
      <c r="A36" s="325"/>
      <c r="B36" s="327"/>
      <c r="C36" s="1393" t="str">
        <f>Translations!$B$1640</f>
        <v>Total reductions from the use of CORSIA eligible fuel(s) claimed:</v>
      </c>
      <c r="D36" s="1394"/>
      <c r="E36" s="1394"/>
      <c r="F36" s="1394"/>
      <c r="G36" s="1394"/>
      <c r="H36" s="1394"/>
      <c r="I36" s="1394"/>
      <c r="J36" s="1394"/>
      <c r="K36" s="1394"/>
      <c r="L36" s="1395" t="str">
        <f>IF(COUNT(L31:M35)=0,"",  SUM(L31:M35))</f>
        <v/>
      </c>
      <c r="M36" s="1396"/>
      <c r="N36" s="353" t="s">
        <v>188</v>
      </c>
      <c r="Q36" s="325"/>
    </row>
    <row r="37" spans="1:17" x14ac:dyDescent="0.25">
      <c r="A37" s="325"/>
      <c r="B37" s="327"/>
      <c r="Q37" s="325"/>
    </row>
    <row r="38" spans="1:17" ht="5.15" customHeight="1" x14ac:dyDescent="0.25">
      <c r="A38" s="325"/>
      <c r="C38" s="324"/>
      <c r="D38" s="324"/>
      <c r="E38" s="324"/>
      <c r="F38" s="324"/>
      <c r="G38" s="324"/>
      <c r="H38" s="324"/>
      <c r="I38" s="324"/>
      <c r="J38" s="324"/>
      <c r="K38" s="324"/>
      <c r="L38" s="324"/>
      <c r="M38" s="324"/>
      <c r="N38" s="324"/>
      <c r="O38" s="324"/>
      <c r="Q38" s="325"/>
    </row>
    <row r="39" spans="1:17" ht="13" x14ac:dyDescent="0.25">
      <c r="A39" s="325"/>
      <c r="B39" s="326" t="s">
        <v>243</v>
      </c>
      <c r="C39" s="326" t="str">
        <f>Translations!$B$1181</f>
        <v>Table of all aerodrome pairs</v>
      </c>
      <c r="Q39" s="325"/>
    </row>
    <row r="40" spans="1:17" ht="26.5" customHeight="1" x14ac:dyDescent="0.25">
      <c r="A40" s="325"/>
      <c r="B40" s="316"/>
      <c r="C40" s="1366" t="str">
        <f>Translations!$B$1388</f>
        <v>Please list all aerodrome pairs on which international flights were performed, whether emissions were estimated using an emission estimation tool, the number of flights, the fuel type and the amount of fuel used.</v>
      </c>
      <c r="D40" s="1390"/>
      <c r="E40" s="1390"/>
      <c r="F40" s="1390"/>
      <c r="G40" s="1390"/>
      <c r="H40" s="1390"/>
      <c r="I40" s="1390"/>
      <c r="J40" s="1390"/>
      <c r="K40" s="1390"/>
      <c r="L40" s="1390"/>
      <c r="M40" s="1390"/>
      <c r="N40" s="1390"/>
      <c r="O40" s="1390"/>
      <c r="Q40" s="325"/>
    </row>
    <row r="41" spans="1:17" ht="25.5" customHeight="1" x14ac:dyDescent="0.25">
      <c r="A41" s="325"/>
      <c r="B41" s="315"/>
      <c r="C41" s="1366" t="str">
        <f>Translations!$B$1389</f>
        <v>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v>
      </c>
      <c r="D41" s="1390"/>
      <c r="E41" s="1390"/>
      <c r="F41" s="1390"/>
      <c r="G41" s="1390"/>
      <c r="H41" s="1390"/>
      <c r="I41" s="1390"/>
      <c r="J41" s="1390"/>
      <c r="K41" s="1390"/>
      <c r="L41" s="1390"/>
      <c r="M41" s="1390"/>
      <c r="N41" s="1390"/>
      <c r="O41" s="1390"/>
      <c r="Q41" s="325"/>
    </row>
    <row r="42" spans="1:17" ht="25.5" customHeight="1" x14ac:dyDescent="0.25">
      <c r="A42" s="325"/>
      <c r="B42" s="315"/>
      <c r="C42" s="1411" t="str">
        <f>Translations!$B$1390</f>
        <v>Furthermore, flights between EU Overseas Countries and Territories and EEA States may be subject to offsetting requirements at the discretion of each EEA State according to transposition of the EU ETS Directive into national legislation.</v>
      </c>
      <c r="D42" s="1412"/>
      <c r="E42" s="1412"/>
      <c r="F42" s="1412"/>
      <c r="G42" s="1412"/>
      <c r="H42" s="1412"/>
      <c r="I42" s="1412"/>
      <c r="J42" s="1412"/>
      <c r="K42" s="1412"/>
      <c r="L42" s="1412"/>
      <c r="M42" s="1412"/>
      <c r="N42" s="1412"/>
      <c r="O42" s="1412"/>
      <c r="Q42" s="325"/>
    </row>
    <row r="43" spans="1:17" ht="13" x14ac:dyDescent="0.25">
      <c r="A43" s="325"/>
      <c r="B43" s="373"/>
      <c r="C43" s="1413" t="str">
        <f>Translations!$B$1357</f>
        <v>This annex to the annual emissions report is used for consistency and compliance checking of data in the previous sections.</v>
      </c>
      <c r="D43" s="1412"/>
      <c r="E43" s="1412"/>
      <c r="F43" s="1412"/>
      <c r="G43" s="1412"/>
      <c r="H43" s="1390"/>
      <c r="I43" s="1390"/>
      <c r="J43" s="1390"/>
      <c r="K43" s="1390"/>
      <c r="L43" s="1390"/>
      <c r="M43" s="1390"/>
      <c r="N43" s="1390"/>
      <c r="O43" s="1390"/>
      <c r="Q43" s="325"/>
    </row>
    <row r="44" spans="1:17" ht="26.5" customHeight="1" x14ac:dyDescent="0.25">
      <c r="A44" s="325"/>
      <c r="B44" s="373"/>
      <c r="C44" s="1414" t="str">
        <f>Translations!$B$1391</f>
        <v xml:space="preserve">In addition, from 2023, Article 14(6) of the EU ETS Directive requires the Commission to publish annually aggregated data of flights per pair of intra-EEA aerodrome pair, and some other information per aircraft operator.  </v>
      </c>
      <c r="D44" s="1415"/>
      <c r="E44" s="1415"/>
      <c r="F44" s="1415"/>
      <c r="G44" s="1415"/>
      <c r="H44" s="1390"/>
      <c r="I44" s="1390"/>
      <c r="J44" s="1390"/>
      <c r="K44" s="1390"/>
      <c r="L44" s="1390"/>
      <c r="M44" s="1390"/>
      <c r="N44" s="1390"/>
      <c r="O44" s="1390"/>
      <c r="Q44" s="325"/>
    </row>
    <row r="45" spans="1:17" ht="26.5" customHeight="1" x14ac:dyDescent="0.25">
      <c r="A45" s="325"/>
      <c r="B45" s="373"/>
      <c r="C45" s="1413" t="str">
        <f>Translations!$B$1392</f>
        <v>However, that article also allows aircraft operators to request that some data are treated as confidential, i.e. that the publication of data is done at a higher aggregated level. For such request, the Directive specifies:</v>
      </c>
      <c r="D45" s="1412"/>
      <c r="E45" s="1412"/>
      <c r="F45" s="1412"/>
      <c r="G45" s="1412"/>
      <c r="H45" s="1390"/>
      <c r="I45" s="1390"/>
      <c r="J45" s="1390"/>
      <c r="K45" s="1390"/>
      <c r="L45" s="1390"/>
      <c r="M45" s="1390"/>
      <c r="N45" s="1390"/>
      <c r="O45" s="1390"/>
      <c r="Q45" s="325"/>
    </row>
    <row r="46" spans="1:17" ht="66.650000000000006" customHeight="1" x14ac:dyDescent="0.25">
      <c r="A46" s="325"/>
      <c r="B46" s="373"/>
      <c r="C46" s="1413"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46" s="1412"/>
      <c r="E46" s="1412"/>
      <c r="F46" s="1412"/>
      <c r="G46" s="1412"/>
      <c r="H46" s="1390"/>
      <c r="I46" s="1390"/>
      <c r="J46" s="1390"/>
      <c r="K46" s="1390"/>
      <c r="L46" s="1390"/>
      <c r="M46" s="1390"/>
      <c r="N46" s="1390"/>
      <c r="O46" s="1390"/>
      <c r="Q46" s="325"/>
    </row>
    <row r="47" spans="1:17" ht="13" x14ac:dyDescent="0.25">
      <c r="A47" s="325"/>
      <c r="B47" s="373" t="s">
        <v>244</v>
      </c>
      <c r="C47" s="515" t="str">
        <f>Translations!$B$1015</f>
        <v>Please indicate if the data in this annex is considered confidential:</v>
      </c>
      <c r="D47" s="516"/>
      <c r="E47" s="516"/>
      <c r="F47" s="516"/>
      <c r="N47" s="164" t="b">
        <v>0</v>
      </c>
      <c r="Q47" s="325"/>
    </row>
    <row r="48" spans="1:17" ht="5.15" customHeight="1" x14ac:dyDescent="0.25">
      <c r="A48" s="325"/>
      <c r="B48" s="373"/>
      <c r="C48" s="515"/>
      <c r="D48" s="516"/>
      <c r="E48" s="516"/>
      <c r="F48" s="516"/>
      <c r="G48" s="519"/>
      <c r="Q48" s="325"/>
    </row>
    <row r="49" spans="1:17" ht="25.5" customHeight="1" x14ac:dyDescent="0.25">
      <c r="A49" s="325"/>
      <c r="B49" s="373" t="s">
        <v>245</v>
      </c>
      <c r="C49" s="1416" t="str">
        <f>Translations!$B$1393</f>
        <v>If you have answered "True" under point c1, do you want to apply the same reasoning as given in section (11)(a)?</v>
      </c>
      <c r="D49" s="1034"/>
      <c r="E49" s="1034"/>
      <c r="F49" s="1034"/>
      <c r="G49" s="1034"/>
      <c r="H49" s="1034"/>
      <c r="I49" s="1034"/>
      <c r="J49" s="1034"/>
      <c r="K49" s="1034"/>
      <c r="L49" s="1034"/>
      <c r="M49" s="1034"/>
      <c r="N49" s="164"/>
      <c r="Q49" s="325"/>
    </row>
    <row r="50" spans="1:17" ht="5.15" customHeight="1" x14ac:dyDescent="0.25">
      <c r="A50" s="325"/>
      <c r="B50" s="517"/>
      <c r="C50" s="372"/>
      <c r="D50" s="372"/>
      <c r="E50" s="372"/>
      <c r="F50" s="518"/>
      <c r="G50" s="518"/>
      <c r="Q50" s="325"/>
    </row>
    <row r="51" spans="1:17" ht="13.4" customHeight="1" x14ac:dyDescent="0.25">
      <c r="A51" s="325"/>
      <c r="B51" s="517"/>
      <c r="C51" s="1409" t="str">
        <f>Translations!$B$1374</f>
        <v>Click here to check content of section (11)(a)</v>
      </c>
      <c r="D51" s="1410"/>
      <c r="E51" s="1410"/>
      <c r="F51" s="1410"/>
      <c r="G51" s="1410"/>
      <c r="H51" s="1410"/>
      <c r="I51" s="1410"/>
      <c r="J51" s="521"/>
      <c r="K51" s="521"/>
      <c r="L51" s="521"/>
      <c r="M51" s="521"/>
      <c r="N51" s="521"/>
      <c r="O51" s="521"/>
      <c r="Q51" s="325"/>
    </row>
    <row r="52" spans="1:17" ht="26.5" customHeight="1" x14ac:dyDescent="0.25">
      <c r="A52" s="325"/>
      <c r="B52" s="373" t="s">
        <v>246</v>
      </c>
      <c r="C52" s="1416" t="str">
        <f>Translations!$B$1627</f>
        <v>Please, provide a description of how you meet the specific circumstances defined as well as a comprehensive and detailed explenation why disclosure of data would be considered to harm your commercial interests.</v>
      </c>
      <c r="D52" s="1075"/>
      <c r="E52" s="1075"/>
      <c r="F52" s="1075"/>
      <c r="G52" s="1075"/>
      <c r="H52" s="1034"/>
      <c r="I52" s="1034"/>
      <c r="J52" s="1034"/>
      <c r="K52" s="1034"/>
      <c r="L52" s="1034"/>
      <c r="M52" s="1034"/>
      <c r="N52" s="1034"/>
      <c r="O52" s="1034"/>
      <c r="Q52" s="325"/>
    </row>
    <row r="53" spans="1:17" ht="26.5" customHeight="1" x14ac:dyDescent="0.25">
      <c r="A53" s="325"/>
      <c r="B53" s="373"/>
      <c r="C53" s="1340"/>
      <c r="D53" s="1341"/>
      <c r="E53" s="1341"/>
      <c r="F53" s="1341"/>
      <c r="G53" s="1341"/>
      <c r="H53" s="1341"/>
      <c r="I53" s="1341"/>
      <c r="J53" s="1341"/>
      <c r="K53" s="1341"/>
      <c r="L53" s="1341"/>
      <c r="M53" s="1341"/>
      <c r="N53" s="1341"/>
      <c r="O53" s="1342"/>
      <c r="Q53" s="325"/>
    </row>
    <row r="54" spans="1:17" ht="26.5" customHeight="1" x14ac:dyDescent="0.25">
      <c r="A54" s="325"/>
      <c r="B54" s="373"/>
      <c r="C54" s="1349"/>
      <c r="D54" s="1350"/>
      <c r="E54" s="1350"/>
      <c r="F54" s="1350"/>
      <c r="G54" s="1350"/>
      <c r="H54" s="1350"/>
      <c r="I54" s="1350"/>
      <c r="J54" s="1350"/>
      <c r="K54" s="1350"/>
      <c r="L54" s="1350"/>
      <c r="M54" s="1350"/>
      <c r="N54" s="1350"/>
      <c r="O54" s="1351"/>
      <c r="Q54" s="325"/>
    </row>
    <row r="55" spans="1:17" ht="26.5" customHeight="1" x14ac:dyDescent="0.25">
      <c r="A55" s="325"/>
      <c r="B55" s="373"/>
      <c r="C55" s="1349"/>
      <c r="D55" s="1350"/>
      <c r="E55" s="1350"/>
      <c r="F55" s="1350"/>
      <c r="G55" s="1350"/>
      <c r="H55" s="1350"/>
      <c r="I55" s="1350"/>
      <c r="J55" s="1350"/>
      <c r="K55" s="1350"/>
      <c r="L55" s="1350"/>
      <c r="M55" s="1350"/>
      <c r="N55" s="1350"/>
      <c r="O55" s="1351"/>
      <c r="Q55" s="325"/>
    </row>
    <row r="56" spans="1:17" ht="26.5" customHeight="1" x14ac:dyDescent="0.25">
      <c r="A56" s="325"/>
      <c r="B56" s="373"/>
      <c r="C56" s="1349"/>
      <c r="D56" s="1350"/>
      <c r="E56" s="1350"/>
      <c r="F56" s="1350"/>
      <c r="G56" s="1350"/>
      <c r="H56" s="1350"/>
      <c r="I56" s="1350"/>
      <c r="J56" s="1350"/>
      <c r="K56" s="1350"/>
      <c r="L56" s="1350"/>
      <c r="M56" s="1350"/>
      <c r="N56" s="1350"/>
      <c r="O56" s="1351"/>
      <c r="Q56" s="325"/>
    </row>
    <row r="57" spans="1:17" ht="26.5" customHeight="1" x14ac:dyDescent="0.25">
      <c r="A57" s="325"/>
      <c r="B57" s="373"/>
      <c r="C57" s="1343"/>
      <c r="D57" s="1344"/>
      <c r="E57" s="1344"/>
      <c r="F57" s="1344"/>
      <c r="G57" s="1344"/>
      <c r="H57" s="1344"/>
      <c r="I57" s="1344"/>
      <c r="J57" s="1344"/>
      <c r="K57" s="1344"/>
      <c r="L57" s="1344"/>
      <c r="M57" s="1344"/>
      <c r="N57" s="1344"/>
      <c r="O57" s="1345"/>
      <c r="Q57" s="325"/>
    </row>
    <row r="58" spans="1:17" ht="13" x14ac:dyDescent="0.25">
      <c r="A58" s="325"/>
      <c r="B58" s="373"/>
      <c r="C58" s="1403" t="str">
        <f>Translations!$B$1395</f>
        <v>Note that the administering Member State or the Commission may decide not to follow your request in case the reasons for not publishing data are not found conclusive.</v>
      </c>
      <c r="D58" s="1404"/>
      <c r="E58" s="1404"/>
      <c r="F58" s="1404"/>
      <c r="G58" s="1404"/>
      <c r="H58" s="1216"/>
      <c r="I58" s="1216"/>
      <c r="J58" s="1216"/>
      <c r="K58" s="1216"/>
      <c r="L58" s="1216"/>
      <c r="M58" s="1216"/>
      <c r="N58" s="1216"/>
      <c r="O58" s="1216"/>
      <c r="Q58" s="325"/>
    </row>
    <row r="59" spans="1:17" ht="26.5" customHeight="1" x14ac:dyDescent="0.25">
      <c r="A59" s="325"/>
      <c r="B59" s="373" t="s">
        <v>247</v>
      </c>
      <c r="C59" s="1405" t="str">
        <f>Translations!$B$1363</f>
        <v>In case the space above under point (a1) is not sufficient for explaining your reasons, you may attach a comprehensive explanation in a separate file. In this case, please enter here the filename of the attached file:</v>
      </c>
      <c r="D59" s="1075"/>
      <c r="E59" s="1075"/>
      <c r="F59" s="1075"/>
      <c r="G59" s="1075"/>
      <c r="H59" s="1034"/>
      <c r="I59" s="1034"/>
      <c r="J59" s="1034"/>
      <c r="K59" s="1034"/>
      <c r="L59" s="1034"/>
      <c r="M59" s="1034"/>
      <c r="N59" s="1034"/>
      <c r="O59" s="1034"/>
      <c r="Q59" s="325"/>
    </row>
    <row r="60" spans="1:17" ht="13" x14ac:dyDescent="0.25">
      <c r="A60" s="325"/>
      <c r="B60" s="373"/>
      <c r="C60" s="515" t="str">
        <f>Translations!$B$1364</f>
        <v>Filename of attachment, if applicable:</v>
      </c>
      <c r="D60" s="513"/>
      <c r="K60" s="1406"/>
      <c r="L60" s="1407"/>
      <c r="M60" s="1407"/>
      <c r="N60" s="1408"/>
      <c r="Q60" s="325"/>
    </row>
    <row r="61" spans="1:17" x14ac:dyDescent="0.25">
      <c r="A61" s="325"/>
      <c r="B61" s="327"/>
      <c r="Q61" s="325"/>
    </row>
    <row r="62" spans="1:17" ht="13" x14ac:dyDescent="0.25">
      <c r="A62" s="325"/>
      <c r="B62" s="520" t="s">
        <v>248</v>
      </c>
      <c r="C62" s="1397" t="str">
        <f>Translations!$B$1184</f>
        <v>Departure</v>
      </c>
      <c r="D62" s="1397"/>
      <c r="E62" s="1397"/>
      <c r="F62" s="1397" t="str">
        <f>Translations!$B$1185</f>
        <v>Arrival</v>
      </c>
      <c r="G62" s="1397"/>
      <c r="H62" s="1397"/>
      <c r="I62" s="1400" t="str">
        <f>Translations!$B$1186</f>
        <v>CO2 emissions estimated with a tool?</v>
      </c>
      <c r="J62" s="1397" t="str">
        <f>Translations!$B$1187</f>
        <v>Total No. of flights</v>
      </c>
      <c r="K62" s="1397" t="str">
        <f>Translations!$B$1121</f>
        <v>Fuel type</v>
      </c>
      <c r="L62" s="1397" t="str">
        <f>Translations!$B$1188</f>
        <v>Total amount of fuel used (in tonnes)</v>
      </c>
      <c r="M62" s="1397" t="str">
        <f>Translations!$B$1641</f>
        <v>Preliminary emissions factor</v>
      </c>
      <c r="N62" s="1397" t="str">
        <f>Translations!$B$1190</f>
        <v>CO2 emissions (in tonnes)</v>
      </c>
      <c r="O62" s="1398" t="str">
        <f>Translations!$B$1191</f>
        <v>Subject to offsetting requirements?</v>
      </c>
      <c r="Q62" s="325"/>
    </row>
    <row r="63" spans="1:17" x14ac:dyDescent="0.25">
      <c r="A63" s="325"/>
      <c r="C63" s="1397"/>
      <c r="D63" s="1397"/>
      <c r="E63" s="1397"/>
      <c r="F63" s="1397"/>
      <c r="G63" s="1397"/>
      <c r="H63" s="1397"/>
      <c r="I63" s="1399"/>
      <c r="J63" s="1397"/>
      <c r="K63" s="1397"/>
      <c r="L63" s="1397"/>
      <c r="M63" s="1397"/>
      <c r="N63" s="1397"/>
      <c r="O63" s="1399"/>
      <c r="Q63" s="325"/>
    </row>
    <row r="64" spans="1:17" x14ac:dyDescent="0.25">
      <c r="A64" s="325"/>
      <c r="C64" s="1397" t="str">
        <f>Translations!$B$1192</f>
        <v>ICAO airport code</v>
      </c>
      <c r="D64" s="1397" t="str">
        <f>Translations!$B$1193</f>
        <v>State</v>
      </c>
      <c r="E64" s="1397"/>
      <c r="F64" s="1397" t="str">
        <f>Translations!$B$1192</f>
        <v>ICAO airport code</v>
      </c>
      <c r="G64" s="1397" t="str">
        <f>Translations!$B$1193</f>
        <v>State</v>
      </c>
      <c r="H64" s="1397"/>
      <c r="I64" s="1399"/>
      <c r="J64" s="1397"/>
      <c r="K64" s="1397"/>
      <c r="L64" s="1397"/>
      <c r="M64" s="1397"/>
      <c r="N64" s="1397"/>
      <c r="O64" s="1399"/>
      <c r="Q64" s="325"/>
    </row>
    <row r="65" spans="1:17" x14ac:dyDescent="0.25">
      <c r="A65" s="325"/>
      <c r="C65" s="1397"/>
      <c r="D65" s="1397"/>
      <c r="E65" s="1397"/>
      <c r="F65" s="1397"/>
      <c r="G65" s="1397"/>
      <c r="H65" s="1397"/>
      <c r="I65" s="1399"/>
      <c r="J65" s="1397"/>
      <c r="K65" s="1397"/>
      <c r="L65" s="1397"/>
      <c r="M65" s="1397"/>
      <c r="N65" s="1397"/>
      <c r="O65" s="1399"/>
      <c r="Q65" s="325"/>
    </row>
    <row r="66" spans="1:17" x14ac:dyDescent="0.25">
      <c r="A66" s="325"/>
      <c r="C66" s="1398"/>
      <c r="D66" s="1398"/>
      <c r="E66" s="1398"/>
      <c r="F66" s="1398"/>
      <c r="G66" s="1398"/>
      <c r="H66" s="1398"/>
      <c r="I66" s="1399"/>
      <c r="J66" s="1398"/>
      <c r="K66" s="1398"/>
      <c r="L66" s="1398"/>
      <c r="M66" s="1398"/>
      <c r="N66" s="1398"/>
      <c r="O66" s="1399"/>
      <c r="Q66" s="325"/>
    </row>
    <row r="67" spans="1:17" x14ac:dyDescent="0.25">
      <c r="A67" s="325"/>
      <c r="C67" s="332"/>
      <c r="D67" s="1401"/>
      <c r="E67" s="1401"/>
      <c r="F67" s="332"/>
      <c r="G67" s="1401"/>
      <c r="H67" s="1401"/>
      <c r="I67" s="332"/>
      <c r="J67" s="338"/>
      <c r="K67" s="332"/>
      <c r="L67" s="339"/>
      <c r="M67" s="336" t="str">
        <f t="shared" ref="M67:M130" si="0">IF(K67="","", INDEX(CNTR_EFListSelected,MATCH(K67,CORSIA_FuelsList,0)))</f>
        <v/>
      </c>
      <c r="N67" s="337" t="str">
        <f>IF(COUNT(L67:M67)=2,L67*M67,"")</f>
        <v/>
      </c>
      <c r="O67" s="332"/>
      <c r="Q67" s="325"/>
    </row>
    <row r="68" spans="1:17" x14ac:dyDescent="0.25">
      <c r="A68" s="325"/>
      <c r="C68" s="332"/>
      <c r="D68" s="1401"/>
      <c r="E68" s="1401"/>
      <c r="F68" s="332"/>
      <c r="G68" s="1401"/>
      <c r="H68" s="1401"/>
      <c r="I68" s="332"/>
      <c r="J68" s="338"/>
      <c r="K68" s="332"/>
      <c r="L68" s="339"/>
      <c r="M68" s="336" t="str">
        <f t="shared" si="0"/>
        <v/>
      </c>
      <c r="N68" s="337" t="str">
        <f t="shared" ref="N68:N131" si="1">IF(COUNT(L68:M68)=2,L68*M68,"")</f>
        <v/>
      </c>
      <c r="O68" s="332"/>
      <c r="Q68" s="325"/>
    </row>
    <row r="69" spans="1:17" x14ac:dyDescent="0.25">
      <c r="A69" s="325"/>
      <c r="C69" s="332"/>
      <c r="D69" s="1401"/>
      <c r="E69" s="1401"/>
      <c r="F69" s="332"/>
      <c r="G69" s="1401"/>
      <c r="H69" s="1401"/>
      <c r="I69" s="332"/>
      <c r="J69" s="338"/>
      <c r="K69" s="332"/>
      <c r="L69" s="339"/>
      <c r="M69" s="336" t="str">
        <f t="shared" si="0"/>
        <v/>
      </c>
      <c r="N69" s="337" t="str">
        <f t="shared" si="1"/>
        <v/>
      </c>
      <c r="O69" s="332"/>
      <c r="Q69" s="325"/>
    </row>
    <row r="70" spans="1:17" x14ac:dyDescent="0.25">
      <c r="A70" s="325"/>
      <c r="C70" s="332"/>
      <c r="D70" s="1401"/>
      <c r="E70" s="1401"/>
      <c r="F70" s="332"/>
      <c r="G70" s="1401"/>
      <c r="H70" s="1401"/>
      <c r="I70" s="332"/>
      <c r="J70" s="338"/>
      <c r="K70" s="332"/>
      <c r="L70" s="339"/>
      <c r="M70" s="336" t="str">
        <f t="shared" si="0"/>
        <v/>
      </c>
      <c r="N70" s="337" t="str">
        <f t="shared" si="1"/>
        <v/>
      </c>
      <c r="O70" s="332"/>
      <c r="Q70" s="325"/>
    </row>
    <row r="71" spans="1:17" x14ac:dyDescent="0.25">
      <c r="A71" s="325"/>
      <c r="C71" s="332"/>
      <c r="D71" s="1401"/>
      <c r="E71" s="1401"/>
      <c r="F71" s="332"/>
      <c r="G71" s="1401"/>
      <c r="H71" s="1401"/>
      <c r="I71" s="332"/>
      <c r="J71" s="338"/>
      <c r="K71" s="332"/>
      <c r="L71" s="339"/>
      <c r="M71" s="336" t="str">
        <f t="shared" si="0"/>
        <v/>
      </c>
      <c r="N71" s="337" t="str">
        <f t="shared" si="1"/>
        <v/>
      </c>
      <c r="O71" s="332"/>
      <c r="Q71" s="325"/>
    </row>
    <row r="72" spans="1:17" x14ac:dyDescent="0.25">
      <c r="A72" s="325"/>
      <c r="C72" s="332"/>
      <c r="D72" s="1401"/>
      <c r="E72" s="1401"/>
      <c r="F72" s="332"/>
      <c r="G72" s="1401"/>
      <c r="H72" s="1401"/>
      <c r="I72" s="332"/>
      <c r="J72" s="338"/>
      <c r="K72" s="332"/>
      <c r="L72" s="339"/>
      <c r="M72" s="336" t="str">
        <f t="shared" si="0"/>
        <v/>
      </c>
      <c r="N72" s="337" t="str">
        <f t="shared" si="1"/>
        <v/>
      </c>
      <c r="O72" s="332"/>
      <c r="Q72" s="325"/>
    </row>
    <row r="73" spans="1:17" x14ac:dyDescent="0.25">
      <c r="A73" s="325"/>
      <c r="C73" s="332"/>
      <c r="D73" s="1401"/>
      <c r="E73" s="1401"/>
      <c r="F73" s="332"/>
      <c r="G73" s="1401"/>
      <c r="H73" s="1401"/>
      <c r="I73" s="332"/>
      <c r="J73" s="338"/>
      <c r="K73" s="332"/>
      <c r="L73" s="339"/>
      <c r="M73" s="336" t="str">
        <f t="shared" si="0"/>
        <v/>
      </c>
      <c r="N73" s="337" t="str">
        <f t="shared" si="1"/>
        <v/>
      </c>
      <c r="O73" s="332"/>
      <c r="Q73" s="325"/>
    </row>
    <row r="74" spans="1:17" x14ac:dyDescent="0.25">
      <c r="A74" s="325"/>
      <c r="C74" s="332"/>
      <c r="D74" s="1401"/>
      <c r="E74" s="1401"/>
      <c r="F74" s="332"/>
      <c r="G74" s="1401"/>
      <c r="H74" s="1401"/>
      <c r="I74" s="332"/>
      <c r="J74" s="338"/>
      <c r="K74" s="332"/>
      <c r="L74" s="339"/>
      <c r="M74" s="336" t="str">
        <f t="shared" si="0"/>
        <v/>
      </c>
      <c r="N74" s="337" t="str">
        <f t="shared" si="1"/>
        <v/>
      </c>
      <c r="O74" s="332"/>
      <c r="Q74" s="325"/>
    </row>
    <row r="75" spans="1:17" x14ac:dyDescent="0.25">
      <c r="A75" s="325"/>
      <c r="C75" s="332"/>
      <c r="D75" s="1401"/>
      <c r="E75" s="1401"/>
      <c r="F75" s="332"/>
      <c r="G75" s="1401"/>
      <c r="H75" s="1401"/>
      <c r="I75" s="332"/>
      <c r="J75" s="338"/>
      <c r="K75" s="332"/>
      <c r="L75" s="339"/>
      <c r="M75" s="336" t="str">
        <f t="shared" si="0"/>
        <v/>
      </c>
      <c r="N75" s="337" t="str">
        <f t="shared" si="1"/>
        <v/>
      </c>
      <c r="O75" s="332"/>
      <c r="Q75" s="325"/>
    </row>
    <row r="76" spans="1:17" x14ac:dyDescent="0.25">
      <c r="A76" s="325"/>
      <c r="C76" s="332"/>
      <c r="D76" s="1401"/>
      <c r="E76" s="1401"/>
      <c r="F76" s="332"/>
      <c r="G76" s="1401"/>
      <c r="H76" s="1401"/>
      <c r="I76" s="332"/>
      <c r="J76" s="338"/>
      <c r="K76" s="332"/>
      <c r="L76" s="339"/>
      <c r="M76" s="336" t="str">
        <f t="shared" si="0"/>
        <v/>
      </c>
      <c r="N76" s="337" t="str">
        <f t="shared" si="1"/>
        <v/>
      </c>
      <c r="O76" s="332"/>
      <c r="Q76" s="325"/>
    </row>
    <row r="77" spans="1:17" x14ac:dyDescent="0.25">
      <c r="A77" s="325"/>
      <c r="C77" s="332"/>
      <c r="D77" s="1401"/>
      <c r="E77" s="1401"/>
      <c r="F77" s="332"/>
      <c r="G77" s="1401"/>
      <c r="H77" s="1401"/>
      <c r="I77" s="332"/>
      <c r="J77" s="338"/>
      <c r="K77" s="332"/>
      <c r="L77" s="339"/>
      <c r="M77" s="336" t="str">
        <f t="shared" si="0"/>
        <v/>
      </c>
      <c r="N77" s="337" t="str">
        <f t="shared" si="1"/>
        <v/>
      </c>
      <c r="O77" s="332"/>
      <c r="Q77" s="325"/>
    </row>
    <row r="78" spans="1:17" x14ac:dyDescent="0.25">
      <c r="A78" s="325"/>
      <c r="C78" s="332"/>
      <c r="D78" s="1401"/>
      <c r="E78" s="1401"/>
      <c r="F78" s="332"/>
      <c r="G78" s="1401"/>
      <c r="H78" s="1401"/>
      <c r="I78" s="332"/>
      <c r="J78" s="338"/>
      <c r="K78" s="332"/>
      <c r="L78" s="339"/>
      <c r="M78" s="336" t="str">
        <f t="shared" si="0"/>
        <v/>
      </c>
      <c r="N78" s="337" t="str">
        <f t="shared" si="1"/>
        <v/>
      </c>
      <c r="O78" s="332"/>
      <c r="Q78" s="325"/>
    </row>
    <row r="79" spans="1:17" x14ac:dyDescent="0.25">
      <c r="A79" s="325"/>
      <c r="C79" s="332"/>
      <c r="D79" s="1401"/>
      <c r="E79" s="1401"/>
      <c r="F79" s="332"/>
      <c r="G79" s="1401"/>
      <c r="H79" s="1401"/>
      <c r="I79" s="332"/>
      <c r="J79" s="338"/>
      <c r="K79" s="332"/>
      <c r="L79" s="339"/>
      <c r="M79" s="336" t="str">
        <f t="shared" si="0"/>
        <v/>
      </c>
      <c r="N79" s="337" t="str">
        <f t="shared" si="1"/>
        <v/>
      </c>
      <c r="O79" s="332"/>
      <c r="Q79" s="325"/>
    </row>
    <row r="80" spans="1:17" x14ac:dyDescent="0.25">
      <c r="A80" s="325"/>
      <c r="C80" s="332"/>
      <c r="D80" s="1401"/>
      <c r="E80" s="1401"/>
      <c r="F80" s="332"/>
      <c r="G80" s="1401"/>
      <c r="H80" s="1401"/>
      <c r="I80" s="332"/>
      <c r="J80" s="338"/>
      <c r="K80" s="332"/>
      <c r="L80" s="339"/>
      <c r="M80" s="336" t="str">
        <f t="shared" si="0"/>
        <v/>
      </c>
      <c r="N80" s="337" t="str">
        <f t="shared" si="1"/>
        <v/>
      </c>
      <c r="O80" s="332"/>
      <c r="Q80" s="325"/>
    </row>
    <row r="81" spans="1:17" x14ac:dyDescent="0.25">
      <c r="A81" s="325"/>
      <c r="C81" s="332"/>
      <c r="D81" s="1401"/>
      <c r="E81" s="1401"/>
      <c r="F81" s="332"/>
      <c r="G81" s="1401"/>
      <c r="H81" s="1401"/>
      <c r="I81" s="332"/>
      <c r="J81" s="338"/>
      <c r="K81" s="332"/>
      <c r="L81" s="339"/>
      <c r="M81" s="336" t="str">
        <f t="shared" si="0"/>
        <v/>
      </c>
      <c r="N81" s="337" t="str">
        <f t="shared" si="1"/>
        <v/>
      </c>
      <c r="O81" s="332"/>
      <c r="Q81" s="325"/>
    </row>
    <row r="82" spans="1:17" x14ac:dyDescent="0.25">
      <c r="A82" s="325"/>
      <c r="C82" s="332"/>
      <c r="D82" s="1401"/>
      <c r="E82" s="1401"/>
      <c r="F82" s="332"/>
      <c r="G82" s="1401"/>
      <c r="H82" s="1401"/>
      <c r="I82" s="332"/>
      <c r="J82" s="338"/>
      <c r="K82" s="332"/>
      <c r="L82" s="339"/>
      <c r="M82" s="336" t="str">
        <f t="shared" si="0"/>
        <v/>
      </c>
      <c r="N82" s="337" t="str">
        <f t="shared" si="1"/>
        <v/>
      </c>
      <c r="O82" s="332"/>
      <c r="Q82" s="325"/>
    </row>
    <row r="83" spans="1:17" x14ac:dyDescent="0.25">
      <c r="A83" s="325"/>
      <c r="C83" s="332"/>
      <c r="D83" s="1401"/>
      <c r="E83" s="1401"/>
      <c r="F83" s="332"/>
      <c r="G83" s="1401"/>
      <c r="H83" s="1401"/>
      <c r="I83" s="332"/>
      <c r="J83" s="338"/>
      <c r="K83" s="332"/>
      <c r="L83" s="339"/>
      <c r="M83" s="336" t="str">
        <f t="shared" si="0"/>
        <v/>
      </c>
      <c r="N83" s="337" t="str">
        <f t="shared" si="1"/>
        <v/>
      </c>
      <c r="O83" s="332"/>
      <c r="Q83" s="325"/>
    </row>
    <row r="84" spans="1:17" x14ac:dyDescent="0.25">
      <c r="A84" s="325"/>
      <c r="C84" s="332"/>
      <c r="D84" s="1401"/>
      <c r="E84" s="1401"/>
      <c r="F84" s="332"/>
      <c r="G84" s="1401"/>
      <c r="H84" s="1401"/>
      <c r="I84" s="332"/>
      <c r="J84" s="338"/>
      <c r="K84" s="332"/>
      <c r="L84" s="339"/>
      <c r="M84" s="336" t="str">
        <f t="shared" si="0"/>
        <v/>
      </c>
      <c r="N84" s="337" t="str">
        <f t="shared" si="1"/>
        <v/>
      </c>
      <c r="O84" s="332"/>
      <c r="Q84" s="325"/>
    </row>
    <row r="85" spans="1:17" x14ac:dyDescent="0.25">
      <c r="A85" s="325"/>
      <c r="C85" s="332"/>
      <c r="D85" s="1401"/>
      <c r="E85" s="1401"/>
      <c r="F85" s="332"/>
      <c r="G85" s="1401"/>
      <c r="H85" s="1401"/>
      <c r="I85" s="332"/>
      <c r="J85" s="338"/>
      <c r="K85" s="332"/>
      <c r="L85" s="339"/>
      <c r="M85" s="336" t="str">
        <f t="shared" si="0"/>
        <v/>
      </c>
      <c r="N85" s="337" t="str">
        <f t="shared" si="1"/>
        <v/>
      </c>
      <c r="O85" s="332"/>
      <c r="Q85" s="325"/>
    </row>
    <row r="86" spans="1:17" x14ac:dyDescent="0.25">
      <c r="A86" s="325"/>
      <c r="C86" s="332"/>
      <c r="D86" s="1401"/>
      <c r="E86" s="1401"/>
      <c r="F86" s="332"/>
      <c r="G86" s="1401"/>
      <c r="H86" s="1401"/>
      <c r="I86" s="332"/>
      <c r="J86" s="338"/>
      <c r="K86" s="332"/>
      <c r="L86" s="339"/>
      <c r="M86" s="336" t="str">
        <f t="shared" si="0"/>
        <v/>
      </c>
      <c r="N86" s="337" t="str">
        <f t="shared" si="1"/>
        <v/>
      </c>
      <c r="O86" s="332"/>
      <c r="Q86" s="325"/>
    </row>
    <row r="87" spans="1:17" x14ac:dyDescent="0.25">
      <c r="A87" s="325"/>
      <c r="C87" s="332"/>
      <c r="D87" s="1401"/>
      <c r="E87" s="1401"/>
      <c r="F87" s="332"/>
      <c r="G87" s="1401"/>
      <c r="H87" s="1401"/>
      <c r="I87" s="332"/>
      <c r="J87" s="338"/>
      <c r="K87" s="332"/>
      <c r="L87" s="339"/>
      <c r="M87" s="336" t="str">
        <f t="shared" si="0"/>
        <v/>
      </c>
      <c r="N87" s="337" t="str">
        <f t="shared" si="1"/>
        <v/>
      </c>
      <c r="O87" s="332"/>
      <c r="Q87" s="325"/>
    </row>
    <row r="88" spans="1:17" x14ac:dyDescent="0.25">
      <c r="A88" s="325"/>
      <c r="C88" s="332"/>
      <c r="D88" s="1401"/>
      <c r="E88" s="1401"/>
      <c r="F88" s="332"/>
      <c r="G88" s="1401"/>
      <c r="H88" s="1401"/>
      <c r="I88" s="332"/>
      <c r="J88" s="338"/>
      <c r="K88" s="332"/>
      <c r="L88" s="339"/>
      <c r="M88" s="336" t="str">
        <f t="shared" si="0"/>
        <v/>
      </c>
      <c r="N88" s="337" t="str">
        <f t="shared" si="1"/>
        <v/>
      </c>
      <c r="O88" s="332"/>
      <c r="Q88" s="325"/>
    </row>
    <row r="89" spans="1:17" x14ac:dyDescent="0.25">
      <c r="A89" s="325"/>
      <c r="C89" s="332"/>
      <c r="D89" s="1401"/>
      <c r="E89" s="1401"/>
      <c r="F89" s="332"/>
      <c r="G89" s="1401"/>
      <c r="H89" s="1401"/>
      <c r="I89" s="332"/>
      <c r="J89" s="338"/>
      <c r="K89" s="332"/>
      <c r="L89" s="339"/>
      <c r="M89" s="336" t="str">
        <f t="shared" si="0"/>
        <v/>
      </c>
      <c r="N89" s="337" t="str">
        <f t="shared" si="1"/>
        <v/>
      </c>
      <c r="O89" s="332"/>
      <c r="Q89" s="325"/>
    </row>
    <row r="90" spans="1:17" x14ac:dyDescent="0.25">
      <c r="A90" s="325"/>
      <c r="C90" s="332"/>
      <c r="D90" s="1401"/>
      <c r="E90" s="1401"/>
      <c r="F90" s="332"/>
      <c r="G90" s="1401"/>
      <c r="H90" s="1401"/>
      <c r="I90" s="332"/>
      <c r="J90" s="338"/>
      <c r="K90" s="332"/>
      <c r="L90" s="339"/>
      <c r="M90" s="336" t="str">
        <f t="shared" si="0"/>
        <v/>
      </c>
      <c r="N90" s="337" t="str">
        <f t="shared" si="1"/>
        <v/>
      </c>
      <c r="O90" s="332"/>
      <c r="Q90" s="325"/>
    </row>
    <row r="91" spans="1:17" x14ac:dyDescent="0.25">
      <c r="A91" s="325"/>
      <c r="C91" s="332"/>
      <c r="D91" s="1401"/>
      <c r="E91" s="1401"/>
      <c r="F91" s="332"/>
      <c r="G91" s="1401"/>
      <c r="H91" s="1401"/>
      <c r="I91" s="332"/>
      <c r="J91" s="338"/>
      <c r="K91" s="332"/>
      <c r="L91" s="339"/>
      <c r="M91" s="336" t="str">
        <f t="shared" si="0"/>
        <v/>
      </c>
      <c r="N91" s="337" t="str">
        <f t="shared" si="1"/>
        <v/>
      </c>
      <c r="O91" s="332"/>
      <c r="Q91" s="325"/>
    </row>
    <row r="92" spans="1:17" x14ac:dyDescent="0.25">
      <c r="A92" s="325"/>
      <c r="C92" s="332"/>
      <c r="D92" s="1401"/>
      <c r="E92" s="1401"/>
      <c r="F92" s="332"/>
      <c r="G92" s="1401"/>
      <c r="H92" s="1401"/>
      <c r="I92" s="332"/>
      <c r="J92" s="338"/>
      <c r="K92" s="332"/>
      <c r="L92" s="339"/>
      <c r="M92" s="336" t="str">
        <f t="shared" si="0"/>
        <v/>
      </c>
      <c r="N92" s="337" t="str">
        <f t="shared" si="1"/>
        <v/>
      </c>
      <c r="O92" s="332"/>
      <c r="Q92" s="325"/>
    </row>
    <row r="93" spans="1:17" x14ac:dyDescent="0.25">
      <c r="A93" s="325"/>
      <c r="C93" s="332"/>
      <c r="D93" s="1401"/>
      <c r="E93" s="1401"/>
      <c r="F93" s="332"/>
      <c r="G93" s="1401"/>
      <c r="H93" s="1401"/>
      <c r="I93" s="332"/>
      <c r="J93" s="338"/>
      <c r="K93" s="332"/>
      <c r="L93" s="339"/>
      <c r="M93" s="336" t="str">
        <f t="shared" si="0"/>
        <v/>
      </c>
      <c r="N93" s="337" t="str">
        <f t="shared" si="1"/>
        <v/>
      </c>
      <c r="O93" s="332"/>
      <c r="Q93" s="325"/>
    </row>
    <row r="94" spans="1:17" x14ac:dyDescent="0.25">
      <c r="A94" s="325"/>
      <c r="C94" s="332"/>
      <c r="D94" s="1401"/>
      <c r="E94" s="1401"/>
      <c r="F94" s="332"/>
      <c r="G94" s="1401"/>
      <c r="H94" s="1401"/>
      <c r="I94" s="332"/>
      <c r="J94" s="338"/>
      <c r="K94" s="332"/>
      <c r="L94" s="339"/>
      <c r="M94" s="336" t="str">
        <f t="shared" si="0"/>
        <v/>
      </c>
      <c r="N94" s="337" t="str">
        <f t="shared" si="1"/>
        <v/>
      </c>
      <c r="O94" s="332"/>
      <c r="Q94" s="325"/>
    </row>
    <row r="95" spans="1:17" x14ac:dyDescent="0.25">
      <c r="A95" s="325"/>
      <c r="C95" s="332"/>
      <c r="D95" s="1401"/>
      <c r="E95" s="1401"/>
      <c r="F95" s="332"/>
      <c r="G95" s="1401"/>
      <c r="H95" s="1401"/>
      <c r="I95" s="332"/>
      <c r="J95" s="338"/>
      <c r="K95" s="332"/>
      <c r="L95" s="339"/>
      <c r="M95" s="336" t="str">
        <f t="shared" si="0"/>
        <v/>
      </c>
      <c r="N95" s="337" t="str">
        <f t="shared" si="1"/>
        <v/>
      </c>
      <c r="O95" s="332"/>
      <c r="Q95" s="325"/>
    </row>
    <row r="96" spans="1:17" x14ac:dyDescent="0.25">
      <c r="A96" s="325"/>
      <c r="C96" s="332"/>
      <c r="D96" s="1401"/>
      <c r="E96" s="1401"/>
      <c r="F96" s="332"/>
      <c r="G96" s="1401"/>
      <c r="H96" s="1401"/>
      <c r="I96" s="332"/>
      <c r="J96" s="338"/>
      <c r="K96" s="332"/>
      <c r="L96" s="339"/>
      <c r="M96" s="336" t="str">
        <f t="shared" si="0"/>
        <v/>
      </c>
      <c r="N96" s="337" t="str">
        <f t="shared" si="1"/>
        <v/>
      </c>
      <c r="O96" s="332"/>
      <c r="Q96" s="325"/>
    </row>
    <row r="97" spans="1:17" x14ac:dyDescent="0.25">
      <c r="A97" s="325"/>
      <c r="C97" s="332"/>
      <c r="D97" s="1401"/>
      <c r="E97" s="1401"/>
      <c r="F97" s="332"/>
      <c r="G97" s="1401"/>
      <c r="H97" s="1401"/>
      <c r="I97" s="332"/>
      <c r="J97" s="338"/>
      <c r="K97" s="332"/>
      <c r="L97" s="339"/>
      <c r="M97" s="336" t="str">
        <f t="shared" si="0"/>
        <v/>
      </c>
      <c r="N97" s="337" t="str">
        <f t="shared" si="1"/>
        <v/>
      </c>
      <c r="O97" s="332"/>
      <c r="Q97" s="325"/>
    </row>
    <row r="98" spans="1:17" x14ac:dyDescent="0.25">
      <c r="A98" s="325"/>
      <c r="C98" s="332"/>
      <c r="D98" s="1401"/>
      <c r="E98" s="1401"/>
      <c r="F98" s="332"/>
      <c r="G98" s="1401"/>
      <c r="H98" s="1401"/>
      <c r="I98" s="332"/>
      <c r="J98" s="338"/>
      <c r="K98" s="332"/>
      <c r="L98" s="339"/>
      <c r="M98" s="336" t="str">
        <f t="shared" si="0"/>
        <v/>
      </c>
      <c r="N98" s="337" t="str">
        <f t="shared" si="1"/>
        <v/>
      </c>
      <c r="O98" s="332"/>
      <c r="Q98" s="325"/>
    </row>
    <row r="99" spans="1:17" x14ac:dyDescent="0.25">
      <c r="A99" s="325"/>
      <c r="C99" s="332"/>
      <c r="D99" s="1401"/>
      <c r="E99" s="1401"/>
      <c r="F99" s="332"/>
      <c r="G99" s="1401"/>
      <c r="H99" s="1401"/>
      <c r="I99" s="332"/>
      <c r="J99" s="338"/>
      <c r="K99" s="332"/>
      <c r="L99" s="339"/>
      <c r="M99" s="336" t="str">
        <f t="shared" si="0"/>
        <v/>
      </c>
      <c r="N99" s="337" t="str">
        <f t="shared" si="1"/>
        <v/>
      </c>
      <c r="O99" s="332"/>
      <c r="Q99" s="325"/>
    </row>
    <row r="100" spans="1:17" x14ac:dyDescent="0.25">
      <c r="A100" s="325"/>
      <c r="C100" s="332"/>
      <c r="D100" s="1401"/>
      <c r="E100" s="1401"/>
      <c r="F100" s="332"/>
      <c r="G100" s="1401"/>
      <c r="H100" s="1401"/>
      <c r="I100" s="332"/>
      <c r="J100" s="338"/>
      <c r="K100" s="332"/>
      <c r="L100" s="339"/>
      <c r="M100" s="336" t="str">
        <f t="shared" si="0"/>
        <v/>
      </c>
      <c r="N100" s="337" t="str">
        <f t="shared" si="1"/>
        <v/>
      </c>
      <c r="O100" s="332"/>
      <c r="Q100" s="325"/>
    </row>
    <row r="101" spans="1:17" x14ac:dyDescent="0.25">
      <c r="A101" s="325"/>
      <c r="C101" s="332"/>
      <c r="D101" s="1401"/>
      <c r="E101" s="1401"/>
      <c r="F101" s="332"/>
      <c r="G101" s="1401"/>
      <c r="H101" s="1401"/>
      <c r="I101" s="332"/>
      <c r="J101" s="338"/>
      <c r="K101" s="332"/>
      <c r="L101" s="339"/>
      <c r="M101" s="336" t="str">
        <f t="shared" si="0"/>
        <v/>
      </c>
      <c r="N101" s="337" t="str">
        <f t="shared" si="1"/>
        <v/>
      </c>
      <c r="O101" s="332"/>
      <c r="Q101" s="325"/>
    </row>
    <row r="102" spans="1:17" x14ac:dyDescent="0.25">
      <c r="A102" s="325"/>
      <c r="C102" s="332"/>
      <c r="D102" s="1401"/>
      <c r="E102" s="1401"/>
      <c r="F102" s="332"/>
      <c r="G102" s="1401"/>
      <c r="H102" s="1401"/>
      <c r="I102" s="332"/>
      <c r="J102" s="338"/>
      <c r="K102" s="332"/>
      <c r="L102" s="339"/>
      <c r="M102" s="336" t="str">
        <f t="shared" si="0"/>
        <v/>
      </c>
      <c r="N102" s="337" t="str">
        <f t="shared" si="1"/>
        <v/>
      </c>
      <c r="O102" s="332"/>
      <c r="Q102" s="325"/>
    </row>
    <row r="103" spans="1:17" x14ac:dyDescent="0.25">
      <c r="A103" s="325"/>
      <c r="C103" s="332"/>
      <c r="D103" s="1401"/>
      <c r="E103" s="1401"/>
      <c r="F103" s="332"/>
      <c r="G103" s="1401"/>
      <c r="H103" s="1401"/>
      <c r="I103" s="332"/>
      <c r="J103" s="338"/>
      <c r="K103" s="332"/>
      <c r="L103" s="339"/>
      <c r="M103" s="336" t="str">
        <f t="shared" si="0"/>
        <v/>
      </c>
      <c r="N103" s="337" t="str">
        <f t="shared" si="1"/>
        <v/>
      </c>
      <c r="O103" s="332"/>
      <c r="Q103" s="325"/>
    </row>
    <row r="104" spans="1:17" x14ac:dyDescent="0.25">
      <c r="A104" s="325"/>
      <c r="C104" s="332"/>
      <c r="D104" s="1401"/>
      <c r="E104" s="1401"/>
      <c r="F104" s="332"/>
      <c r="G104" s="1401"/>
      <c r="H104" s="1401"/>
      <c r="I104" s="332"/>
      <c r="J104" s="338"/>
      <c r="K104" s="332"/>
      <c r="L104" s="339"/>
      <c r="M104" s="336" t="str">
        <f t="shared" si="0"/>
        <v/>
      </c>
      <c r="N104" s="337" t="str">
        <f t="shared" si="1"/>
        <v/>
      </c>
      <c r="O104" s="332"/>
      <c r="Q104" s="325"/>
    </row>
    <row r="105" spans="1:17" x14ac:dyDescent="0.25">
      <c r="A105" s="325"/>
      <c r="C105" s="332"/>
      <c r="D105" s="1401"/>
      <c r="E105" s="1401"/>
      <c r="F105" s="332"/>
      <c r="G105" s="1401"/>
      <c r="H105" s="1401"/>
      <c r="I105" s="332"/>
      <c r="J105" s="338"/>
      <c r="K105" s="332"/>
      <c r="L105" s="339"/>
      <c r="M105" s="336" t="str">
        <f t="shared" si="0"/>
        <v/>
      </c>
      <c r="N105" s="337" t="str">
        <f t="shared" si="1"/>
        <v/>
      </c>
      <c r="O105" s="332"/>
      <c r="Q105" s="325"/>
    </row>
    <row r="106" spans="1:17" x14ac:dyDescent="0.25">
      <c r="A106" s="325"/>
      <c r="C106" s="332"/>
      <c r="D106" s="1401"/>
      <c r="E106" s="1401"/>
      <c r="F106" s="332"/>
      <c r="G106" s="1401"/>
      <c r="H106" s="1401"/>
      <c r="I106" s="332"/>
      <c r="J106" s="338"/>
      <c r="K106" s="332"/>
      <c r="L106" s="339"/>
      <c r="M106" s="336" t="str">
        <f t="shared" si="0"/>
        <v/>
      </c>
      <c r="N106" s="337" t="str">
        <f t="shared" si="1"/>
        <v/>
      </c>
      <c r="O106" s="332"/>
      <c r="Q106" s="325"/>
    </row>
    <row r="107" spans="1:17" x14ac:dyDescent="0.25">
      <c r="A107" s="325"/>
      <c r="C107" s="332"/>
      <c r="D107" s="1401"/>
      <c r="E107" s="1401"/>
      <c r="F107" s="332"/>
      <c r="G107" s="1401"/>
      <c r="H107" s="1401"/>
      <c r="I107" s="332"/>
      <c r="J107" s="338"/>
      <c r="K107" s="332"/>
      <c r="L107" s="339"/>
      <c r="M107" s="336" t="str">
        <f t="shared" si="0"/>
        <v/>
      </c>
      <c r="N107" s="337" t="str">
        <f t="shared" si="1"/>
        <v/>
      </c>
      <c r="O107" s="332"/>
      <c r="Q107" s="325"/>
    </row>
    <row r="108" spans="1:17" x14ac:dyDescent="0.25">
      <c r="A108" s="325"/>
      <c r="C108" s="332"/>
      <c r="D108" s="1401"/>
      <c r="E108" s="1401"/>
      <c r="F108" s="332"/>
      <c r="G108" s="1401"/>
      <c r="H108" s="1401"/>
      <c r="I108" s="332"/>
      <c r="J108" s="338"/>
      <c r="K108" s="332"/>
      <c r="L108" s="339"/>
      <c r="M108" s="336" t="str">
        <f t="shared" si="0"/>
        <v/>
      </c>
      <c r="N108" s="337" t="str">
        <f t="shared" si="1"/>
        <v/>
      </c>
      <c r="O108" s="332"/>
      <c r="Q108" s="325"/>
    </row>
    <row r="109" spans="1:17" x14ac:dyDescent="0.25">
      <c r="A109" s="325"/>
      <c r="C109" s="332"/>
      <c r="D109" s="1401"/>
      <c r="E109" s="1401"/>
      <c r="F109" s="332"/>
      <c r="G109" s="1401"/>
      <c r="H109" s="1401"/>
      <c r="I109" s="332"/>
      <c r="J109" s="338"/>
      <c r="K109" s="332"/>
      <c r="L109" s="339"/>
      <c r="M109" s="336" t="str">
        <f t="shared" si="0"/>
        <v/>
      </c>
      <c r="N109" s="337" t="str">
        <f t="shared" si="1"/>
        <v/>
      </c>
      <c r="O109" s="332"/>
      <c r="Q109" s="325"/>
    </row>
    <row r="110" spans="1:17" x14ac:dyDescent="0.25">
      <c r="A110" s="325"/>
      <c r="C110" s="332"/>
      <c r="D110" s="1401"/>
      <c r="E110" s="1401"/>
      <c r="F110" s="332"/>
      <c r="G110" s="1401"/>
      <c r="H110" s="1401"/>
      <c r="I110" s="332"/>
      <c r="J110" s="338"/>
      <c r="K110" s="332"/>
      <c r="L110" s="339"/>
      <c r="M110" s="336" t="str">
        <f t="shared" si="0"/>
        <v/>
      </c>
      <c r="N110" s="337" t="str">
        <f t="shared" si="1"/>
        <v/>
      </c>
      <c r="O110" s="332"/>
      <c r="Q110" s="325"/>
    </row>
    <row r="111" spans="1:17" x14ac:dyDescent="0.25">
      <c r="A111" s="325"/>
      <c r="C111" s="332"/>
      <c r="D111" s="1401"/>
      <c r="E111" s="1401"/>
      <c r="F111" s="332"/>
      <c r="G111" s="1401"/>
      <c r="H111" s="1401"/>
      <c r="I111" s="332"/>
      <c r="J111" s="338"/>
      <c r="K111" s="332"/>
      <c r="L111" s="339"/>
      <c r="M111" s="336" t="str">
        <f t="shared" si="0"/>
        <v/>
      </c>
      <c r="N111" s="337" t="str">
        <f t="shared" si="1"/>
        <v/>
      </c>
      <c r="O111" s="332"/>
      <c r="Q111" s="325"/>
    </row>
    <row r="112" spans="1:17" x14ac:dyDescent="0.25">
      <c r="A112" s="325"/>
      <c r="C112" s="332"/>
      <c r="D112" s="1401"/>
      <c r="E112" s="1401"/>
      <c r="F112" s="332"/>
      <c r="G112" s="1401"/>
      <c r="H112" s="1401"/>
      <c r="I112" s="332"/>
      <c r="J112" s="338"/>
      <c r="K112" s="332"/>
      <c r="L112" s="339"/>
      <c r="M112" s="336" t="str">
        <f t="shared" si="0"/>
        <v/>
      </c>
      <c r="N112" s="337" t="str">
        <f t="shared" si="1"/>
        <v/>
      </c>
      <c r="O112" s="332"/>
      <c r="Q112" s="325"/>
    </row>
    <row r="113" spans="1:17" x14ac:dyDescent="0.25">
      <c r="A113" s="325"/>
      <c r="C113" s="332"/>
      <c r="D113" s="1401"/>
      <c r="E113" s="1401"/>
      <c r="F113" s="332"/>
      <c r="G113" s="1401"/>
      <c r="H113" s="1401"/>
      <c r="I113" s="332"/>
      <c r="J113" s="338"/>
      <c r="K113" s="332"/>
      <c r="L113" s="339"/>
      <c r="M113" s="336" t="str">
        <f t="shared" si="0"/>
        <v/>
      </c>
      <c r="N113" s="337" t="str">
        <f t="shared" si="1"/>
        <v/>
      </c>
      <c r="O113" s="332"/>
      <c r="Q113" s="325"/>
    </row>
    <row r="114" spans="1:17" x14ac:dyDescent="0.25">
      <c r="A114" s="325"/>
      <c r="C114" s="332"/>
      <c r="D114" s="1401"/>
      <c r="E114" s="1401"/>
      <c r="F114" s="332"/>
      <c r="G114" s="1401"/>
      <c r="H114" s="1401"/>
      <c r="I114" s="332"/>
      <c r="J114" s="338"/>
      <c r="K114" s="332"/>
      <c r="L114" s="339"/>
      <c r="M114" s="336" t="str">
        <f t="shared" si="0"/>
        <v/>
      </c>
      <c r="N114" s="337" t="str">
        <f t="shared" si="1"/>
        <v/>
      </c>
      <c r="O114" s="332"/>
      <c r="Q114" s="325"/>
    </row>
    <row r="115" spans="1:17" x14ac:dyDescent="0.25">
      <c r="A115" s="325"/>
      <c r="C115" s="332"/>
      <c r="D115" s="1401"/>
      <c r="E115" s="1401"/>
      <c r="F115" s="332"/>
      <c r="G115" s="1401"/>
      <c r="H115" s="1401"/>
      <c r="I115" s="332"/>
      <c r="J115" s="338"/>
      <c r="K115" s="332"/>
      <c r="L115" s="339"/>
      <c r="M115" s="336" t="str">
        <f t="shared" si="0"/>
        <v/>
      </c>
      <c r="N115" s="337" t="str">
        <f t="shared" si="1"/>
        <v/>
      </c>
      <c r="O115" s="332"/>
      <c r="Q115" s="325"/>
    </row>
    <row r="116" spans="1:17" x14ac:dyDescent="0.25">
      <c r="A116" s="325"/>
      <c r="C116" s="332"/>
      <c r="D116" s="1401"/>
      <c r="E116" s="1401"/>
      <c r="F116" s="332"/>
      <c r="G116" s="1401"/>
      <c r="H116" s="1401"/>
      <c r="I116" s="332"/>
      <c r="J116" s="338"/>
      <c r="K116" s="332"/>
      <c r="L116" s="339"/>
      <c r="M116" s="336" t="str">
        <f t="shared" si="0"/>
        <v/>
      </c>
      <c r="N116" s="337" t="str">
        <f t="shared" si="1"/>
        <v/>
      </c>
      <c r="O116" s="332"/>
      <c r="Q116" s="325"/>
    </row>
    <row r="117" spans="1:17" x14ac:dyDescent="0.25">
      <c r="A117" s="325"/>
      <c r="C117" s="332"/>
      <c r="D117" s="1401"/>
      <c r="E117" s="1401"/>
      <c r="F117" s="332"/>
      <c r="G117" s="1401"/>
      <c r="H117" s="1401"/>
      <c r="I117" s="332"/>
      <c r="J117" s="338"/>
      <c r="K117" s="332"/>
      <c r="L117" s="339"/>
      <c r="M117" s="336" t="str">
        <f t="shared" si="0"/>
        <v/>
      </c>
      <c r="N117" s="337" t="str">
        <f t="shared" si="1"/>
        <v/>
      </c>
      <c r="O117" s="332"/>
      <c r="Q117" s="325"/>
    </row>
    <row r="118" spans="1:17" x14ac:dyDescent="0.25">
      <c r="A118" s="325"/>
      <c r="C118" s="332"/>
      <c r="D118" s="1401"/>
      <c r="E118" s="1401"/>
      <c r="F118" s="332"/>
      <c r="G118" s="1401"/>
      <c r="H118" s="1401"/>
      <c r="I118" s="332"/>
      <c r="J118" s="338"/>
      <c r="K118" s="332"/>
      <c r="L118" s="339"/>
      <c r="M118" s="336" t="str">
        <f t="shared" si="0"/>
        <v/>
      </c>
      <c r="N118" s="337" t="str">
        <f t="shared" si="1"/>
        <v/>
      </c>
      <c r="O118" s="332"/>
      <c r="Q118" s="325"/>
    </row>
    <row r="119" spans="1:17" x14ac:dyDescent="0.25">
      <c r="A119" s="325"/>
      <c r="C119" s="332"/>
      <c r="D119" s="1401"/>
      <c r="E119" s="1401"/>
      <c r="F119" s="332"/>
      <c r="G119" s="1401"/>
      <c r="H119" s="1401"/>
      <c r="I119" s="332"/>
      <c r="J119" s="338"/>
      <c r="K119" s="332"/>
      <c r="L119" s="339"/>
      <c r="M119" s="336" t="str">
        <f t="shared" si="0"/>
        <v/>
      </c>
      <c r="N119" s="337" t="str">
        <f t="shared" si="1"/>
        <v/>
      </c>
      <c r="O119" s="332"/>
      <c r="Q119" s="325"/>
    </row>
    <row r="120" spans="1:17" x14ac:dyDescent="0.25">
      <c r="A120" s="325"/>
      <c r="C120" s="332"/>
      <c r="D120" s="1401"/>
      <c r="E120" s="1401"/>
      <c r="F120" s="332"/>
      <c r="G120" s="1401"/>
      <c r="H120" s="1401"/>
      <c r="I120" s="332"/>
      <c r="J120" s="338"/>
      <c r="K120" s="332"/>
      <c r="L120" s="339"/>
      <c r="M120" s="336" t="str">
        <f t="shared" si="0"/>
        <v/>
      </c>
      <c r="N120" s="337" t="str">
        <f t="shared" si="1"/>
        <v/>
      </c>
      <c r="O120" s="332"/>
      <c r="Q120" s="325"/>
    </row>
    <row r="121" spans="1:17" x14ac:dyDescent="0.25">
      <c r="A121" s="325"/>
      <c r="C121" s="332"/>
      <c r="D121" s="1401"/>
      <c r="E121" s="1401"/>
      <c r="F121" s="332"/>
      <c r="G121" s="1401"/>
      <c r="H121" s="1401"/>
      <c r="I121" s="332"/>
      <c r="J121" s="338"/>
      <c r="K121" s="332"/>
      <c r="L121" s="339"/>
      <c r="M121" s="336" t="str">
        <f t="shared" si="0"/>
        <v/>
      </c>
      <c r="N121" s="337" t="str">
        <f t="shared" si="1"/>
        <v/>
      </c>
      <c r="O121" s="332"/>
      <c r="Q121" s="325"/>
    </row>
    <row r="122" spans="1:17" x14ac:dyDescent="0.25">
      <c r="A122" s="325"/>
      <c r="C122" s="332"/>
      <c r="D122" s="1401"/>
      <c r="E122" s="1401"/>
      <c r="F122" s="332"/>
      <c r="G122" s="1401"/>
      <c r="H122" s="1401"/>
      <c r="I122" s="332"/>
      <c r="J122" s="338"/>
      <c r="K122" s="332"/>
      <c r="L122" s="339"/>
      <c r="M122" s="336" t="str">
        <f t="shared" si="0"/>
        <v/>
      </c>
      <c r="N122" s="337" t="str">
        <f t="shared" si="1"/>
        <v/>
      </c>
      <c r="O122" s="332"/>
      <c r="Q122" s="325"/>
    </row>
    <row r="123" spans="1:17" x14ac:dyDescent="0.25">
      <c r="A123" s="325"/>
      <c r="C123" s="332"/>
      <c r="D123" s="1401"/>
      <c r="E123" s="1401"/>
      <c r="F123" s="332"/>
      <c r="G123" s="1401"/>
      <c r="H123" s="1401"/>
      <c r="I123" s="332"/>
      <c r="J123" s="338"/>
      <c r="K123" s="332"/>
      <c r="L123" s="339"/>
      <c r="M123" s="336" t="str">
        <f t="shared" si="0"/>
        <v/>
      </c>
      <c r="N123" s="337" t="str">
        <f t="shared" si="1"/>
        <v/>
      </c>
      <c r="O123" s="332"/>
      <c r="Q123" s="325"/>
    </row>
    <row r="124" spans="1:17" x14ac:dyDescent="0.25">
      <c r="A124" s="325"/>
      <c r="C124" s="332"/>
      <c r="D124" s="1401"/>
      <c r="E124" s="1401"/>
      <c r="F124" s="332"/>
      <c r="G124" s="1401"/>
      <c r="H124" s="1401"/>
      <c r="I124" s="332"/>
      <c r="J124" s="338"/>
      <c r="K124" s="332"/>
      <c r="L124" s="339"/>
      <c r="M124" s="336" t="str">
        <f t="shared" si="0"/>
        <v/>
      </c>
      <c r="N124" s="337" t="str">
        <f t="shared" si="1"/>
        <v/>
      </c>
      <c r="O124" s="332"/>
      <c r="Q124" s="325"/>
    </row>
    <row r="125" spans="1:17" x14ac:dyDescent="0.25">
      <c r="A125" s="325"/>
      <c r="C125" s="332"/>
      <c r="D125" s="1401"/>
      <c r="E125" s="1401"/>
      <c r="F125" s="332"/>
      <c r="G125" s="1401"/>
      <c r="H125" s="1401"/>
      <c r="I125" s="332"/>
      <c r="J125" s="338"/>
      <c r="K125" s="332"/>
      <c r="L125" s="339"/>
      <c r="M125" s="336" t="str">
        <f t="shared" si="0"/>
        <v/>
      </c>
      <c r="N125" s="337" t="str">
        <f t="shared" si="1"/>
        <v/>
      </c>
      <c r="O125" s="332"/>
      <c r="Q125" s="325"/>
    </row>
    <row r="126" spans="1:17" x14ac:dyDescent="0.25">
      <c r="A126" s="325"/>
      <c r="C126" s="332"/>
      <c r="D126" s="1401"/>
      <c r="E126" s="1401"/>
      <c r="F126" s="332"/>
      <c r="G126" s="1401"/>
      <c r="H126" s="1401"/>
      <c r="I126" s="332"/>
      <c r="J126" s="338"/>
      <c r="K126" s="332"/>
      <c r="L126" s="339"/>
      <c r="M126" s="336" t="str">
        <f t="shared" si="0"/>
        <v/>
      </c>
      <c r="N126" s="337" t="str">
        <f t="shared" si="1"/>
        <v/>
      </c>
      <c r="O126" s="332"/>
      <c r="Q126" s="325"/>
    </row>
    <row r="127" spans="1:17" x14ac:dyDescent="0.25">
      <c r="A127" s="325"/>
      <c r="C127" s="332"/>
      <c r="D127" s="1401"/>
      <c r="E127" s="1401"/>
      <c r="F127" s="332"/>
      <c r="G127" s="1401"/>
      <c r="H127" s="1401"/>
      <c r="I127" s="332"/>
      <c r="J127" s="338"/>
      <c r="K127" s="332"/>
      <c r="L127" s="339"/>
      <c r="M127" s="336" t="str">
        <f t="shared" si="0"/>
        <v/>
      </c>
      <c r="N127" s="337" t="str">
        <f t="shared" si="1"/>
        <v/>
      </c>
      <c r="O127" s="332"/>
      <c r="Q127" s="325"/>
    </row>
    <row r="128" spans="1:17" x14ac:dyDescent="0.25">
      <c r="A128" s="325"/>
      <c r="C128" s="332"/>
      <c r="D128" s="1401"/>
      <c r="E128" s="1401"/>
      <c r="F128" s="332"/>
      <c r="G128" s="1401"/>
      <c r="H128" s="1401"/>
      <c r="I128" s="332"/>
      <c r="J128" s="338"/>
      <c r="K128" s="332"/>
      <c r="L128" s="339"/>
      <c r="M128" s="336" t="str">
        <f t="shared" si="0"/>
        <v/>
      </c>
      <c r="N128" s="337" t="str">
        <f t="shared" si="1"/>
        <v/>
      </c>
      <c r="O128" s="332"/>
      <c r="Q128" s="325"/>
    </row>
    <row r="129" spans="1:17" x14ac:dyDescent="0.25">
      <c r="A129" s="325"/>
      <c r="C129" s="332"/>
      <c r="D129" s="1401"/>
      <c r="E129" s="1401"/>
      <c r="F129" s="332"/>
      <c r="G129" s="1401"/>
      <c r="H129" s="1401"/>
      <c r="I129" s="332"/>
      <c r="J129" s="338"/>
      <c r="K129" s="332"/>
      <c r="L129" s="339"/>
      <c r="M129" s="336" t="str">
        <f t="shared" si="0"/>
        <v/>
      </c>
      <c r="N129" s="337" t="str">
        <f t="shared" si="1"/>
        <v/>
      </c>
      <c r="O129" s="332"/>
      <c r="Q129" s="325"/>
    </row>
    <row r="130" spans="1:17" x14ac:dyDescent="0.25">
      <c r="A130" s="325"/>
      <c r="C130" s="332"/>
      <c r="D130" s="1401"/>
      <c r="E130" s="1401"/>
      <c r="F130" s="332"/>
      <c r="G130" s="1401"/>
      <c r="H130" s="1401"/>
      <c r="I130" s="332"/>
      <c r="J130" s="338"/>
      <c r="K130" s="332"/>
      <c r="L130" s="339"/>
      <c r="M130" s="336" t="str">
        <f t="shared" si="0"/>
        <v/>
      </c>
      <c r="N130" s="337" t="str">
        <f t="shared" si="1"/>
        <v/>
      </c>
      <c r="O130" s="332"/>
      <c r="Q130" s="325"/>
    </row>
    <row r="131" spans="1:17" x14ac:dyDescent="0.25">
      <c r="A131" s="325"/>
      <c r="C131" s="332"/>
      <c r="D131" s="1401"/>
      <c r="E131" s="1401"/>
      <c r="F131" s="332"/>
      <c r="G131" s="1401"/>
      <c r="H131" s="1401"/>
      <c r="I131" s="332"/>
      <c r="J131" s="338"/>
      <c r="K131" s="332"/>
      <c r="L131" s="339"/>
      <c r="M131" s="336" t="str">
        <f t="shared" ref="M131:M194" si="2">IF(K131="","", INDEX(CNTR_EFListSelected,MATCH(K131,CORSIA_FuelsList,0)))</f>
        <v/>
      </c>
      <c r="N131" s="337" t="str">
        <f t="shared" si="1"/>
        <v/>
      </c>
      <c r="O131" s="332"/>
      <c r="Q131" s="325"/>
    </row>
    <row r="132" spans="1:17" x14ac:dyDescent="0.25">
      <c r="A132" s="325"/>
      <c r="C132" s="332"/>
      <c r="D132" s="1401"/>
      <c r="E132" s="1401"/>
      <c r="F132" s="332"/>
      <c r="G132" s="1401"/>
      <c r="H132" s="1401"/>
      <c r="I132" s="332"/>
      <c r="J132" s="338"/>
      <c r="K132" s="332"/>
      <c r="L132" s="339"/>
      <c r="M132" s="336" t="str">
        <f t="shared" si="2"/>
        <v/>
      </c>
      <c r="N132" s="337" t="str">
        <f t="shared" ref="N132:N195" si="3">IF(COUNT(L132:M132)=2,L132*M132,"")</f>
        <v/>
      </c>
      <c r="O132" s="332"/>
      <c r="Q132" s="325"/>
    </row>
    <row r="133" spans="1:17" x14ac:dyDescent="0.25">
      <c r="A133" s="325"/>
      <c r="C133" s="332"/>
      <c r="D133" s="1401"/>
      <c r="E133" s="1401"/>
      <c r="F133" s="332"/>
      <c r="G133" s="1401"/>
      <c r="H133" s="1401"/>
      <c r="I133" s="332"/>
      <c r="J133" s="338"/>
      <c r="K133" s="332"/>
      <c r="L133" s="339"/>
      <c r="M133" s="336" t="str">
        <f t="shared" si="2"/>
        <v/>
      </c>
      <c r="N133" s="337" t="str">
        <f t="shared" si="3"/>
        <v/>
      </c>
      <c r="O133" s="332"/>
      <c r="Q133" s="325"/>
    </row>
    <row r="134" spans="1:17" x14ac:dyDescent="0.25">
      <c r="A134" s="325"/>
      <c r="C134" s="332"/>
      <c r="D134" s="1401"/>
      <c r="E134" s="1401"/>
      <c r="F134" s="332"/>
      <c r="G134" s="1401"/>
      <c r="H134" s="1401"/>
      <c r="I134" s="332"/>
      <c r="J134" s="338"/>
      <c r="K134" s="332"/>
      <c r="L134" s="339"/>
      <c r="M134" s="336" t="str">
        <f t="shared" si="2"/>
        <v/>
      </c>
      <c r="N134" s="337" t="str">
        <f t="shared" si="3"/>
        <v/>
      </c>
      <c r="O134" s="332"/>
      <c r="Q134" s="325"/>
    </row>
    <row r="135" spans="1:17" x14ac:dyDescent="0.25">
      <c r="A135" s="325"/>
      <c r="C135" s="332"/>
      <c r="D135" s="1401"/>
      <c r="E135" s="1401"/>
      <c r="F135" s="332"/>
      <c r="G135" s="1401"/>
      <c r="H135" s="1401"/>
      <c r="I135" s="332"/>
      <c r="J135" s="338"/>
      <c r="K135" s="332"/>
      <c r="L135" s="339"/>
      <c r="M135" s="336" t="str">
        <f t="shared" si="2"/>
        <v/>
      </c>
      <c r="N135" s="337" t="str">
        <f t="shared" si="3"/>
        <v/>
      </c>
      <c r="O135" s="332"/>
      <c r="Q135" s="325"/>
    </row>
    <row r="136" spans="1:17" x14ac:dyDescent="0.25">
      <c r="A136" s="325"/>
      <c r="C136" s="332"/>
      <c r="D136" s="1401"/>
      <c r="E136" s="1401"/>
      <c r="F136" s="332"/>
      <c r="G136" s="1401"/>
      <c r="H136" s="1401"/>
      <c r="I136" s="332"/>
      <c r="J136" s="338"/>
      <c r="K136" s="332"/>
      <c r="L136" s="339"/>
      <c r="M136" s="336" t="str">
        <f t="shared" si="2"/>
        <v/>
      </c>
      <c r="N136" s="337" t="str">
        <f t="shared" si="3"/>
        <v/>
      </c>
      <c r="O136" s="332"/>
      <c r="Q136" s="325"/>
    </row>
    <row r="137" spans="1:17" x14ac:dyDescent="0.25">
      <c r="A137" s="325"/>
      <c r="C137" s="332"/>
      <c r="D137" s="1401"/>
      <c r="E137" s="1401"/>
      <c r="F137" s="332"/>
      <c r="G137" s="1401"/>
      <c r="H137" s="1401"/>
      <c r="I137" s="332"/>
      <c r="J137" s="338"/>
      <c r="K137" s="332"/>
      <c r="L137" s="339"/>
      <c r="M137" s="336" t="str">
        <f t="shared" si="2"/>
        <v/>
      </c>
      <c r="N137" s="337" t="str">
        <f t="shared" si="3"/>
        <v/>
      </c>
      <c r="O137" s="332"/>
      <c r="Q137" s="325"/>
    </row>
    <row r="138" spans="1:17" x14ac:dyDescent="0.25">
      <c r="A138" s="325"/>
      <c r="C138" s="332"/>
      <c r="D138" s="1401"/>
      <c r="E138" s="1401"/>
      <c r="F138" s="332"/>
      <c r="G138" s="1401"/>
      <c r="H138" s="1401"/>
      <c r="I138" s="332"/>
      <c r="J138" s="338"/>
      <c r="K138" s="332"/>
      <c r="L138" s="339"/>
      <c r="M138" s="336" t="str">
        <f t="shared" si="2"/>
        <v/>
      </c>
      <c r="N138" s="337" t="str">
        <f t="shared" si="3"/>
        <v/>
      </c>
      <c r="O138" s="332"/>
      <c r="Q138" s="325"/>
    </row>
    <row r="139" spans="1:17" x14ac:dyDescent="0.25">
      <c r="A139" s="325"/>
      <c r="C139" s="332"/>
      <c r="D139" s="1401"/>
      <c r="E139" s="1401"/>
      <c r="F139" s="332"/>
      <c r="G139" s="1401"/>
      <c r="H139" s="1401"/>
      <c r="I139" s="332"/>
      <c r="J139" s="338"/>
      <c r="K139" s="332"/>
      <c r="L139" s="339"/>
      <c r="M139" s="336" t="str">
        <f t="shared" si="2"/>
        <v/>
      </c>
      <c r="N139" s="337" t="str">
        <f t="shared" si="3"/>
        <v/>
      </c>
      <c r="O139" s="332"/>
      <c r="Q139" s="325"/>
    </row>
    <row r="140" spans="1:17" x14ac:dyDescent="0.25">
      <c r="A140" s="325"/>
      <c r="C140" s="332"/>
      <c r="D140" s="1401"/>
      <c r="E140" s="1401"/>
      <c r="F140" s="332"/>
      <c r="G140" s="1401"/>
      <c r="H140" s="1401"/>
      <c r="I140" s="332"/>
      <c r="J140" s="338"/>
      <c r="K140" s="332"/>
      <c r="L140" s="339"/>
      <c r="M140" s="336" t="str">
        <f t="shared" si="2"/>
        <v/>
      </c>
      <c r="N140" s="337" t="str">
        <f t="shared" si="3"/>
        <v/>
      </c>
      <c r="O140" s="332"/>
      <c r="Q140" s="325"/>
    </row>
    <row r="141" spans="1:17" x14ac:dyDescent="0.25">
      <c r="A141" s="325"/>
      <c r="C141" s="332"/>
      <c r="D141" s="1401"/>
      <c r="E141" s="1401"/>
      <c r="F141" s="332"/>
      <c r="G141" s="1401"/>
      <c r="H141" s="1401"/>
      <c r="I141" s="332"/>
      <c r="J141" s="338"/>
      <c r="K141" s="332"/>
      <c r="L141" s="339"/>
      <c r="M141" s="336" t="str">
        <f t="shared" si="2"/>
        <v/>
      </c>
      <c r="N141" s="337" t="str">
        <f t="shared" si="3"/>
        <v/>
      </c>
      <c r="O141" s="332"/>
      <c r="Q141" s="325"/>
    </row>
    <row r="142" spans="1:17" x14ac:dyDescent="0.25">
      <c r="A142" s="325"/>
      <c r="C142" s="332"/>
      <c r="D142" s="1401"/>
      <c r="E142" s="1401"/>
      <c r="F142" s="332"/>
      <c r="G142" s="1401"/>
      <c r="H142" s="1401"/>
      <c r="I142" s="332"/>
      <c r="J142" s="338"/>
      <c r="K142" s="332"/>
      <c r="L142" s="339"/>
      <c r="M142" s="336" t="str">
        <f t="shared" si="2"/>
        <v/>
      </c>
      <c r="N142" s="337" t="str">
        <f t="shared" si="3"/>
        <v/>
      </c>
      <c r="O142" s="332"/>
      <c r="Q142" s="325"/>
    </row>
    <row r="143" spans="1:17" x14ac:dyDescent="0.25">
      <c r="A143" s="325"/>
      <c r="C143" s="332"/>
      <c r="D143" s="1401"/>
      <c r="E143" s="1401"/>
      <c r="F143" s="332"/>
      <c r="G143" s="1401"/>
      <c r="H143" s="1401"/>
      <c r="I143" s="332"/>
      <c r="J143" s="338"/>
      <c r="K143" s="332"/>
      <c r="L143" s="339"/>
      <c r="M143" s="336" t="str">
        <f t="shared" si="2"/>
        <v/>
      </c>
      <c r="N143" s="337" t="str">
        <f t="shared" si="3"/>
        <v/>
      </c>
      <c r="O143" s="332"/>
      <c r="Q143" s="325"/>
    </row>
    <row r="144" spans="1:17" x14ac:dyDescent="0.25">
      <c r="A144" s="325"/>
      <c r="C144" s="332"/>
      <c r="D144" s="1401"/>
      <c r="E144" s="1401"/>
      <c r="F144" s="332"/>
      <c r="G144" s="1401"/>
      <c r="H144" s="1401"/>
      <c r="I144" s="332"/>
      <c r="J144" s="338"/>
      <c r="K144" s="332"/>
      <c r="L144" s="339"/>
      <c r="M144" s="336" t="str">
        <f t="shared" si="2"/>
        <v/>
      </c>
      <c r="N144" s="337" t="str">
        <f t="shared" si="3"/>
        <v/>
      </c>
      <c r="O144" s="332"/>
      <c r="Q144" s="325"/>
    </row>
    <row r="145" spans="1:17" x14ac:dyDescent="0.25">
      <c r="A145" s="325"/>
      <c r="C145" s="332"/>
      <c r="D145" s="1401"/>
      <c r="E145" s="1401"/>
      <c r="F145" s="332"/>
      <c r="G145" s="1401"/>
      <c r="H145" s="1401"/>
      <c r="I145" s="332"/>
      <c r="J145" s="338"/>
      <c r="K145" s="332"/>
      <c r="L145" s="339"/>
      <c r="M145" s="336" t="str">
        <f t="shared" si="2"/>
        <v/>
      </c>
      <c r="N145" s="337" t="str">
        <f t="shared" si="3"/>
        <v/>
      </c>
      <c r="O145" s="332"/>
      <c r="Q145" s="325"/>
    </row>
    <row r="146" spans="1:17" x14ac:dyDescent="0.25">
      <c r="A146" s="325"/>
      <c r="C146" s="332"/>
      <c r="D146" s="1401"/>
      <c r="E146" s="1401"/>
      <c r="F146" s="332"/>
      <c r="G146" s="1401"/>
      <c r="H146" s="1401"/>
      <c r="I146" s="332"/>
      <c r="J146" s="338"/>
      <c r="K146" s="332"/>
      <c r="L146" s="339"/>
      <c r="M146" s="336" t="str">
        <f t="shared" si="2"/>
        <v/>
      </c>
      <c r="N146" s="337" t="str">
        <f t="shared" si="3"/>
        <v/>
      </c>
      <c r="O146" s="332"/>
      <c r="Q146" s="325"/>
    </row>
    <row r="147" spans="1:17" x14ac:dyDescent="0.25">
      <c r="A147" s="325"/>
      <c r="C147" s="332"/>
      <c r="D147" s="1401"/>
      <c r="E147" s="1401"/>
      <c r="F147" s="332"/>
      <c r="G147" s="1401"/>
      <c r="H147" s="1401"/>
      <c r="I147" s="332"/>
      <c r="J147" s="338"/>
      <c r="K147" s="332"/>
      <c r="L147" s="339"/>
      <c r="M147" s="336" t="str">
        <f t="shared" si="2"/>
        <v/>
      </c>
      <c r="N147" s="337" t="str">
        <f t="shared" si="3"/>
        <v/>
      </c>
      <c r="O147" s="332"/>
      <c r="Q147" s="325"/>
    </row>
    <row r="148" spans="1:17" x14ac:dyDescent="0.25">
      <c r="A148" s="325"/>
      <c r="C148" s="332"/>
      <c r="D148" s="1401"/>
      <c r="E148" s="1401"/>
      <c r="F148" s="332"/>
      <c r="G148" s="1401"/>
      <c r="H148" s="1401"/>
      <c r="I148" s="332"/>
      <c r="J148" s="338"/>
      <c r="K148" s="332"/>
      <c r="L148" s="339"/>
      <c r="M148" s="336" t="str">
        <f t="shared" si="2"/>
        <v/>
      </c>
      <c r="N148" s="337" t="str">
        <f t="shared" si="3"/>
        <v/>
      </c>
      <c r="O148" s="332"/>
      <c r="Q148" s="325"/>
    </row>
    <row r="149" spans="1:17" x14ac:dyDescent="0.25">
      <c r="A149" s="325"/>
      <c r="C149" s="332"/>
      <c r="D149" s="1401"/>
      <c r="E149" s="1401"/>
      <c r="F149" s="332"/>
      <c r="G149" s="1401"/>
      <c r="H149" s="1401"/>
      <c r="I149" s="332"/>
      <c r="J149" s="338"/>
      <c r="K149" s="332"/>
      <c r="L149" s="339"/>
      <c r="M149" s="336" t="str">
        <f t="shared" si="2"/>
        <v/>
      </c>
      <c r="N149" s="337" t="str">
        <f t="shared" si="3"/>
        <v/>
      </c>
      <c r="O149" s="332"/>
      <c r="Q149" s="325"/>
    </row>
    <row r="150" spans="1:17" x14ac:dyDescent="0.25">
      <c r="A150" s="325"/>
      <c r="C150" s="332"/>
      <c r="D150" s="1401"/>
      <c r="E150" s="1401"/>
      <c r="F150" s="332"/>
      <c r="G150" s="1401"/>
      <c r="H150" s="1401"/>
      <c r="I150" s="332"/>
      <c r="J150" s="338"/>
      <c r="K150" s="332"/>
      <c r="L150" s="339"/>
      <c r="M150" s="336" t="str">
        <f t="shared" si="2"/>
        <v/>
      </c>
      <c r="N150" s="337" t="str">
        <f t="shared" si="3"/>
        <v/>
      </c>
      <c r="O150" s="332"/>
      <c r="Q150" s="325"/>
    </row>
    <row r="151" spans="1:17" x14ac:dyDescent="0.25">
      <c r="A151" s="325"/>
      <c r="C151" s="332"/>
      <c r="D151" s="1401"/>
      <c r="E151" s="1401"/>
      <c r="F151" s="332"/>
      <c r="G151" s="1401"/>
      <c r="H151" s="1401"/>
      <c r="I151" s="332"/>
      <c r="J151" s="338"/>
      <c r="K151" s="332"/>
      <c r="L151" s="339"/>
      <c r="M151" s="336" t="str">
        <f t="shared" si="2"/>
        <v/>
      </c>
      <c r="N151" s="337" t="str">
        <f t="shared" si="3"/>
        <v/>
      </c>
      <c r="O151" s="332"/>
      <c r="Q151" s="325"/>
    </row>
    <row r="152" spans="1:17" x14ac:dyDescent="0.25">
      <c r="A152" s="325"/>
      <c r="C152" s="332"/>
      <c r="D152" s="1401"/>
      <c r="E152" s="1401"/>
      <c r="F152" s="332"/>
      <c r="G152" s="1401"/>
      <c r="H152" s="1401"/>
      <c r="I152" s="332"/>
      <c r="J152" s="338"/>
      <c r="K152" s="332"/>
      <c r="L152" s="339"/>
      <c r="M152" s="336" t="str">
        <f t="shared" si="2"/>
        <v/>
      </c>
      <c r="N152" s="337" t="str">
        <f t="shared" si="3"/>
        <v/>
      </c>
      <c r="O152" s="332"/>
      <c r="Q152" s="325"/>
    </row>
    <row r="153" spans="1:17" x14ac:dyDescent="0.25">
      <c r="A153" s="325"/>
      <c r="C153" s="332"/>
      <c r="D153" s="1401"/>
      <c r="E153" s="1401"/>
      <c r="F153" s="332"/>
      <c r="G153" s="1401"/>
      <c r="H153" s="1401"/>
      <c r="I153" s="332"/>
      <c r="J153" s="338"/>
      <c r="K153" s="332"/>
      <c r="L153" s="339"/>
      <c r="M153" s="336" t="str">
        <f t="shared" si="2"/>
        <v/>
      </c>
      <c r="N153" s="337" t="str">
        <f t="shared" si="3"/>
        <v/>
      </c>
      <c r="O153" s="332"/>
      <c r="Q153" s="325"/>
    </row>
    <row r="154" spans="1:17" x14ac:dyDescent="0.25">
      <c r="A154" s="325"/>
      <c r="C154" s="332"/>
      <c r="D154" s="1401"/>
      <c r="E154" s="1401"/>
      <c r="F154" s="332"/>
      <c r="G154" s="1401"/>
      <c r="H154" s="1401"/>
      <c r="I154" s="332"/>
      <c r="J154" s="338"/>
      <c r="K154" s="332"/>
      <c r="L154" s="339"/>
      <c r="M154" s="336" t="str">
        <f t="shared" si="2"/>
        <v/>
      </c>
      <c r="N154" s="337" t="str">
        <f t="shared" si="3"/>
        <v/>
      </c>
      <c r="O154" s="332"/>
      <c r="Q154" s="325"/>
    </row>
    <row r="155" spans="1:17" x14ac:dyDescent="0.25">
      <c r="A155" s="325"/>
      <c r="C155" s="332"/>
      <c r="D155" s="1401"/>
      <c r="E155" s="1401"/>
      <c r="F155" s="332"/>
      <c r="G155" s="1401"/>
      <c r="H155" s="1401"/>
      <c r="I155" s="332"/>
      <c r="J155" s="338"/>
      <c r="K155" s="332"/>
      <c r="L155" s="339"/>
      <c r="M155" s="336" t="str">
        <f t="shared" si="2"/>
        <v/>
      </c>
      <c r="N155" s="337" t="str">
        <f t="shared" si="3"/>
        <v/>
      </c>
      <c r="O155" s="332"/>
      <c r="Q155" s="325"/>
    </row>
    <row r="156" spans="1:17" x14ac:dyDescent="0.25">
      <c r="A156" s="325"/>
      <c r="C156" s="332"/>
      <c r="D156" s="1401"/>
      <c r="E156" s="1401"/>
      <c r="F156" s="332"/>
      <c r="G156" s="1401"/>
      <c r="H156" s="1401"/>
      <c r="I156" s="332"/>
      <c r="J156" s="338"/>
      <c r="K156" s="332"/>
      <c r="L156" s="339"/>
      <c r="M156" s="336" t="str">
        <f t="shared" si="2"/>
        <v/>
      </c>
      <c r="N156" s="337" t="str">
        <f t="shared" si="3"/>
        <v/>
      </c>
      <c r="O156" s="332"/>
      <c r="Q156" s="325"/>
    </row>
    <row r="157" spans="1:17" x14ac:dyDescent="0.25">
      <c r="A157" s="325"/>
      <c r="C157" s="332"/>
      <c r="D157" s="1401"/>
      <c r="E157" s="1401"/>
      <c r="F157" s="332"/>
      <c r="G157" s="1401"/>
      <c r="H157" s="1401"/>
      <c r="I157" s="332"/>
      <c r="J157" s="338"/>
      <c r="K157" s="332"/>
      <c r="L157" s="339"/>
      <c r="M157" s="336" t="str">
        <f t="shared" si="2"/>
        <v/>
      </c>
      <c r="N157" s="337" t="str">
        <f t="shared" si="3"/>
        <v/>
      </c>
      <c r="O157" s="332"/>
      <c r="Q157" s="325"/>
    </row>
    <row r="158" spans="1:17" x14ac:dyDescent="0.25">
      <c r="A158" s="325"/>
      <c r="C158" s="332"/>
      <c r="D158" s="1401"/>
      <c r="E158" s="1401"/>
      <c r="F158" s="332"/>
      <c r="G158" s="1401"/>
      <c r="H158" s="1401"/>
      <c r="I158" s="332"/>
      <c r="J158" s="338"/>
      <c r="K158" s="332"/>
      <c r="L158" s="339"/>
      <c r="M158" s="336" t="str">
        <f t="shared" si="2"/>
        <v/>
      </c>
      <c r="N158" s="337" t="str">
        <f t="shared" si="3"/>
        <v/>
      </c>
      <c r="O158" s="332"/>
      <c r="Q158" s="325"/>
    </row>
    <row r="159" spans="1:17" x14ac:dyDescent="0.25">
      <c r="A159" s="325"/>
      <c r="C159" s="332"/>
      <c r="D159" s="1401"/>
      <c r="E159" s="1401"/>
      <c r="F159" s="332"/>
      <c r="G159" s="1401"/>
      <c r="H159" s="1401"/>
      <c r="I159" s="332"/>
      <c r="J159" s="338"/>
      <c r="K159" s="332"/>
      <c r="L159" s="339"/>
      <c r="M159" s="336" t="str">
        <f t="shared" si="2"/>
        <v/>
      </c>
      <c r="N159" s="337" t="str">
        <f t="shared" si="3"/>
        <v/>
      </c>
      <c r="O159" s="332"/>
      <c r="Q159" s="325"/>
    </row>
    <row r="160" spans="1:17" x14ac:dyDescent="0.25">
      <c r="A160" s="325"/>
      <c r="C160" s="332"/>
      <c r="D160" s="1401"/>
      <c r="E160" s="1401"/>
      <c r="F160" s="332"/>
      <c r="G160" s="1401"/>
      <c r="H160" s="1401"/>
      <c r="I160" s="332"/>
      <c r="J160" s="338"/>
      <c r="K160" s="332"/>
      <c r="L160" s="339"/>
      <c r="M160" s="336" t="str">
        <f t="shared" si="2"/>
        <v/>
      </c>
      <c r="N160" s="337" t="str">
        <f t="shared" si="3"/>
        <v/>
      </c>
      <c r="O160" s="332"/>
      <c r="Q160" s="325"/>
    </row>
    <row r="161" spans="1:17" x14ac:dyDescent="0.25">
      <c r="A161" s="325"/>
      <c r="C161" s="332"/>
      <c r="D161" s="1401"/>
      <c r="E161" s="1401"/>
      <c r="F161" s="332"/>
      <c r="G161" s="1401"/>
      <c r="H161" s="1401"/>
      <c r="I161" s="332"/>
      <c r="J161" s="338"/>
      <c r="K161" s="332"/>
      <c r="L161" s="339"/>
      <c r="M161" s="336" t="str">
        <f t="shared" si="2"/>
        <v/>
      </c>
      <c r="N161" s="337" t="str">
        <f t="shared" si="3"/>
        <v/>
      </c>
      <c r="O161" s="332"/>
      <c r="Q161" s="325"/>
    </row>
    <row r="162" spans="1:17" x14ac:dyDescent="0.25">
      <c r="A162" s="325"/>
      <c r="C162" s="332"/>
      <c r="D162" s="1401"/>
      <c r="E162" s="1401"/>
      <c r="F162" s="332"/>
      <c r="G162" s="1401"/>
      <c r="H162" s="1401"/>
      <c r="I162" s="332"/>
      <c r="J162" s="338"/>
      <c r="K162" s="332"/>
      <c r="L162" s="339"/>
      <c r="M162" s="336" t="str">
        <f t="shared" si="2"/>
        <v/>
      </c>
      <c r="N162" s="337" t="str">
        <f t="shared" si="3"/>
        <v/>
      </c>
      <c r="O162" s="332"/>
      <c r="Q162" s="325"/>
    </row>
    <row r="163" spans="1:17" x14ac:dyDescent="0.25">
      <c r="A163" s="325"/>
      <c r="C163" s="332"/>
      <c r="D163" s="1401"/>
      <c r="E163" s="1401"/>
      <c r="F163" s="332"/>
      <c r="G163" s="1401"/>
      <c r="H163" s="1401"/>
      <c r="I163" s="332"/>
      <c r="J163" s="338"/>
      <c r="K163" s="332"/>
      <c r="L163" s="339"/>
      <c r="M163" s="336" t="str">
        <f t="shared" si="2"/>
        <v/>
      </c>
      <c r="N163" s="337" t="str">
        <f t="shared" si="3"/>
        <v/>
      </c>
      <c r="O163" s="332"/>
      <c r="Q163" s="325"/>
    </row>
    <row r="164" spans="1:17" x14ac:dyDescent="0.25">
      <c r="A164" s="325"/>
      <c r="C164" s="332"/>
      <c r="D164" s="1401"/>
      <c r="E164" s="1401"/>
      <c r="F164" s="332"/>
      <c r="G164" s="1401"/>
      <c r="H164" s="1401"/>
      <c r="I164" s="332"/>
      <c r="J164" s="338"/>
      <c r="K164" s="332"/>
      <c r="L164" s="339"/>
      <c r="M164" s="336" t="str">
        <f t="shared" si="2"/>
        <v/>
      </c>
      <c r="N164" s="337" t="str">
        <f t="shared" si="3"/>
        <v/>
      </c>
      <c r="O164" s="332"/>
      <c r="Q164" s="325"/>
    </row>
    <row r="165" spans="1:17" x14ac:dyDescent="0.25">
      <c r="A165" s="325"/>
      <c r="C165" s="332"/>
      <c r="D165" s="1401"/>
      <c r="E165" s="1401"/>
      <c r="F165" s="332"/>
      <c r="G165" s="1401"/>
      <c r="H165" s="1401"/>
      <c r="I165" s="332"/>
      <c r="J165" s="338"/>
      <c r="K165" s="332"/>
      <c r="L165" s="339"/>
      <c r="M165" s="336" t="str">
        <f t="shared" si="2"/>
        <v/>
      </c>
      <c r="N165" s="337" t="str">
        <f t="shared" si="3"/>
        <v/>
      </c>
      <c r="O165" s="332"/>
      <c r="Q165" s="325"/>
    </row>
    <row r="166" spans="1:17" x14ac:dyDescent="0.25">
      <c r="A166" s="325"/>
      <c r="C166" s="332"/>
      <c r="D166" s="1401"/>
      <c r="E166" s="1401"/>
      <c r="F166" s="332"/>
      <c r="G166" s="1401"/>
      <c r="H166" s="1401"/>
      <c r="I166" s="332"/>
      <c r="J166" s="338"/>
      <c r="K166" s="332"/>
      <c r="L166" s="339"/>
      <c r="M166" s="336" t="str">
        <f t="shared" si="2"/>
        <v/>
      </c>
      <c r="N166" s="337" t="str">
        <f t="shared" si="3"/>
        <v/>
      </c>
      <c r="O166" s="332"/>
      <c r="Q166" s="325"/>
    </row>
    <row r="167" spans="1:17" x14ac:dyDescent="0.25">
      <c r="A167" s="325"/>
      <c r="C167" s="332"/>
      <c r="D167" s="1401"/>
      <c r="E167" s="1401"/>
      <c r="F167" s="332"/>
      <c r="G167" s="1401"/>
      <c r="H167" s="1401"/>
      <c r="I167" s="332"/>
      <c r="J167" s="338"/>
      <c r="K167" s="332"/>
      <c r="L167" s="339"/>
      <c r="M167" s="336" t="str">
        <f t="shared" si="2"/>
        <v/>
      </c>
      <c r="N167" s="337" t="str">
        <f t="shared" si="3"/>
        <v/>
      </c>
      <c r="O167" s="332"/>
      <c r="Q167" s="325"/>
    </row>
    <row r="168" spans="1:17" x14ac:dyDescent="0.25">
      <c r="A168" s="325"/>
      <c r="C168" s="332"/>
      <c r="D168" s="1401"/>
      <c r="E168" s="1401"/>
      <c r="F168" s="332"/>
      <c r="G168" s="1401"/>
      <c r="H168" s="1401"/>
      <c r="I168" s="332"/>
      <c r="J168" s="338"/>
      <c r="K168" s="332"/>
      <c r="L168" s="339"/>
      <c r="M168" s="336" t="str">
        <f t="shared" si="2"/>
        <v/>
      </c>
      <c r="N168" s="337" t="str">
        <f t="shared" si="3"/>
        <v/>
      </c>
      <c r="O168" s="332"/>
      <c r="Q168" s="325"/>
    </row>
    <row r="169" spans="1:17" x14ac:dyDescent="0.25">
      <c r="A169" s="325"/>
      <c r="C169" s="332"/>
      <c r="D169" s="1401"/>
      <c r="E169" s="1401"/>
      <c r="F169" s="332"/>
      <c r="G169" s="1401"/>
      <c r="H169" s="1401"/>
      <c r="I169" s="332"/>
      <c r="J169" s="338"/>
      <c r="K169" s="332"/>
      <c r="L169" s="339"/>
      <c r="M169" s="336" t="str">
        <f t="shared" si="2"/>
        <v/>
      </c>
      <c r="N169" s="337" t="str">
        <f t="shared" si="3"/>
        <v/>
      </c>
      <c r="O169" s="332"/>
      <c r="Q169" s="325"/>
    </row>
    <row r="170" spans="1:17" x14ac:dyDescent="0.25">
      <c r="A170" s="325"/>
      <c r="C170" s="332"/>
      <c r="D170" s="1401"/>
      <c r="E170" s="1401"/>
      <c r="F170" s="332"/>
      <c r="G170" s="1401"/>
      <c r="H170" s="1401"/>
      <c r="I170" s="332"/>
      <c r="J170" s="338"/>
      <c r="K170" s="332"/>
      <c r="L170" s="339"/>
      <c r="M170" s="336" t="str">
        <f t="shared" si="2"/>
        <v/>
      </c>
      <c r="N170" s="337" t="str">
        <f t="shared" si="3"/>
        <v/>
      </c>
      <c r="O170" s="332"/>
      <c r="Q170" s="325"/>
    </row>
    <row r="171" spans="1:17" x14ac:dyDescent="0.25">
      <c r="A171" s="325"/>
      <c r="C171" s="332"/>
      <c r="D171" s="1401"/>
      <c r="E171" s="1401"/>
      <c r="F171" s="332"/>
      <c r="G171" s="1401"/>
      <c r="H171" s="1401"/>
      <c r="I171" s="332"/>
      <c r="J171" s="338"/>
      <c r="K171" s="332"/>
      <c r="L171" s="339"/>
      <c r="M171" s="336" t="str">
        <f t="shared" si="2"/>
        <v/>
      </c>
      <c r="N171" s="337" t="str">
        <f t="shared" si="3"/>
        <v/>
      </c>
      <c r="O171" s="332"/>
      <c r="Q171" s="325"/>
    </row>
    <row r="172" spans="1:17" x14ac:dyDescent="0.25">
      <c r="A172" s="325"/>
      <c r="C172" s="332"/>
      <c r="D172" s="1401"/>
      <c r="E172" s="1401"/>
      <c r="F172" s="332"/>
      <c r="G172" s="1401"/>
      <c r="H172" s="1401"/>
      <c r="I172" s="332"/>
      <c r="J172" s="338"/>
      <c r="K172" s="332"/>
      <c r="L172" s="339"/>
      <c r="M172" s="336" t="str">
        <f t="shared" si="2"/>
        <v/>
      </c>
      <c r="N172" s="337" t="str">
        <f t="shared" si="3"/>
        <v/>
      </c>
      <c r="O172" s="332"/>
      <c r="Q172" s="325"/>
    </row>
    <row r="173" spans="1:17" x14ac:dyDescent="0.25">
      <c r="A173" s="325"/>
      <c r="C173" s="332"/>
      <c r="D173" s="1401"/>
      <c r="E173" s="1401"/>
      <c r="F173" s="332"/>
      <c r="G173" s="1401"/>
      <c r="H173" s="1401"/>
      <c r="I173" s="332"/>
      <c r="J173" s="338"/>
      <c r="K173" s="332"/>
      <c r="L173" s="339"/>
      <c r="M173" s="336" t="str">
        <f t="shared" si="2"/>
        <v/>
      </c>
      <c r="N173" s="337" t="str">
        <f t="shared" si="3"/>
        <v/>
      </c>
      <c r="O173" s="332"/>
      <c r="Q173" s="325"/>
    </row>
    <row r="174" spans="1:17" x14ac:dyDescent="0.25">
      <c r="A174" s="325"/>
      <c r="C174" s="332"/>
      <c r="D174" s="1401"/>
      <c r="E174" s="1401"/>
      <c r="F174" s="332"/>
      <c r="G174" s="1401"/>
      <c r="H174" s="1401"/>
      <c r="I174" s="332"/>
      <c r="J174" s="338"/>
      <c r="K174" s="332"/>
      <c r="L174" s="339"/>
      <c r="M174" s="336" t="str">
        <f t="shared" si="2"/>
        <v/>
      </c>
      <c r="N174" s="337" t="str">
        <f t="shared" si="3"/>
        <v/>
      </c>
      <c r="O174" s="332"/>
      <c r="Q174" s="325"/>
    </row>
    <row r="175" spans="1:17" x14ac:dyDescent="0.25">
      <c r="A175" s="325"/>
      <c r="C175" s="332"/>
      <c r="D175" s="1401"/>
      <c r="E175" s="1401"/>
      <c r="F175" s="332"/>
      <c r="G175" s="1401"/>
      <c r="H175" s="1401"/>
      <c r="I175" s="332"/>
      <c r="J175" s="338"/>
      <c r="K175" s="332"/>
      <c r="L175" s="339"/>
      <c r="M175" s="336" t="str">
        <f t="shared" si="2"/>
        <v/>
      </c>
      <c r="N175" s="337" t="str">
        <f t="shared" si="3"/>
        <v/>
      </c>
      <c r="O175" s="332"/>
      <c r="Q175" s="325"/>
    </row>
    <row r="176" spans="1:17" x14ac:dyDescent="0.25">
      <c r="A176" s="325"/>
      <c r="C176" s="332"/>
      <c r="D176" s="1401"/>
      <c r="E176" s="1401"/>
      <c r="F176" s="332"/>
      <c r="G176" s="1401"/>
      <c r="H176" s="1401"/>
      <c r="I176" s="332"/>
      <c r="J176" s="338"/>
      <c r="K176" s="332"/>
      <c r="L176" s="339"/>
      <c r="M176" s="336" t="str">
        <f t="shared" si="2"/>
        <v/>
      </c>
      <c r="N176" s="337" t="str">
        <f t="shared" si="3"/>
        <v/>
      </c>
      <c r="O176" s="332"/>
      <c r="Q176" s="325"/>
    </row>
    <row r="177" spans="1:17" x14ac:dyDescent="0.25">
      <c r="A177" s="325"/>
      <c r="C177" s="332"/>
      <c r="D177" s="1401"/>
      <c r="E177" s="1401"/>
      <c r="F177" s="332"/>
      <c r="G177" s="1401"/>
      <c r="H177" s="1401"/>
      <c r="I177" s="332"/>
      <c r="J177" s="338"/>
      <c r="K177" s="332"/>
      <c r="L177" s="339"/>
      <c r="M177" s="336" t="str">
        <f t="shared" si="2"/>
        <v/>
      </c>
      <c r="N177" s="337" t="str">
        <f t="shared" si="3"/>
        <v/>
      </c>
      <c r="O177" s="332"/>
      <c r="Q177" s="325"/>
    </row>
    <row r="178" spans="1:17" x14ac:dyDescent="0.25">
      <c r="A178" s="325"/>
      <c r="C178" s="332"/>
      <c r="D178" s="1401"/>
      <c r="E178" s="1401"/>
      <c r="F178" s="332"/>
      <c r="G178" s="1401"/>
      <c r="H178" s="1401"/>
      <c r="I178" s="332"/>
      <c r="J178" s="338"/>
      <c r="K178" s="332"/>
      <c r="L178" s="339"/>
      <c r="M178" s="336" t="str">
        <f t="shared" si="2"/>
        <v/>
      </c>
      <c r="N178" s="337" t="str">
        <f t="shared" si="3"/>
        <v/>
      </c>
      <c r="O178" s="332"/>
      <c r="Q178" s="325"/>
    </row>
    <row r="179" spans="1:17" x14ac:dyDescent="0.25">
      <c r="A179" s="325"/>
      <c r="C179" s="332"/>
      <c r="D179" s="1401"/>
      <c r="E179" s="1401"/>
      <c r="F179" s="332"/>
      <c r="G179" s="1401"/>
      <c r="H179" s="1401"/>
      <c r="I179" s="332"/>
      <c r="J179" s="338"/>
      <c r="K179" s="332"/>
      <c r="L179" s="339"/>
      <c r="M179" s="336" t="str">
        <f t="shared" si="2"/>
        <v/>
      </c>
      <c r="N179" s="337" t="str">
        <f t="shared" si="3"/>
        <v/>
      </c>
      <c r="O179" s="332"/>
      <c r="Q179" s="325"/>
    </row>
    <row r="180" spans="1:17" x14ac:dyDescent="0.25">
      <c r="A180" s="325"/>
      <c r="C180" s="332"/>
      <c r="D180" s="1401"/>
      <c r="E180" s="1401"/>
      <c r="F180" s="332"/>
      <c r="G180" s="1401"/>
      <c r="H180" s="1401"/>
      <c r="I180" s="332"/>
      <c r="J180" s="338"/>
      <c r="K180" s="332"/>
      <c r="L180" s="339"/>
      <c r="M180" s="336" t="str">
        <f t="shared" si="2"/>
        <v/>
      </c>
      <c r="N180" s="337" t="str">
        <f t="shared" si="3"/>
        <v/>
      </c>
      <c r="O180" s="332"/>
      <c r="Q180" s="325"/>
    </row>
    <row r="181" spans="1:17" x14ac:dyDescent="0.25">
      <c r="A181" s="325"/>
      <c r="C181" s="332"/>
      <c r="D181" s="1401"/>
      <c r="E181" s="1401"/>
      <c r="F181" s="332"/>
      <c r="G181" s="1401"/>
      <c r="H181" s="1401"/>
      <c r="I181" s="332"/>
      <c r="J181" s="338"/>
      <c r="K181" s="332"/>
      <c r="L181" s="339"/>
      <c r="M181" s="336" t="str">
        <f t="shared" si="2"/>
        <v/>
      </c>
      <c r="N181" s="337" t="str">
        <f t="shared" si="3"/>
        <v/>
      </c>
      <c r="O181" s="332"/>
      <c r="Q181" s="325"/>
    </row>
    <row r="182" spans="1:17" x14ac:dyDescent="0.25">
      <c r="A182" s="325"/>
      <c r="C182" s="332"/>
      <c r="D182" s="1401"/>
      <c r="E182" s="1401"/>
      <c r="F182" s="332"/>
      <c r="G182" s="1401"/>
      <c r="H182" s="1401"/>
      <c r="I182" s="332"/>
      <c r="J182" s="338"/>
      <c r="K182" s="332"/>
      <c r="L182" s="339"/>
      <c r="M182" s="336" t="str">
        <f t="shared" si="2"/>
        <v/>
      </c>
      <c r="N182" s="337" t="str">
        <f t="shared" si="3"/>
        <v/>
      </c>
      <c r="O182" s="332"/>
      <c r="Q182" s="325"/>
    </row>
    <row r="183" spans="1:17" x14ac:dyDescent="0.25">
      <c r="A183" s="325"/>
      <c r="C183" s="332"/>
      <c r="D183" s="1401"/>
      <c r="E183" s="1401"/>
      <c r="F183" s="332"/>
      <c r="G183" s="1401"/>
      <c r="H183" s="1401"/>
      <c r="I183" s="332"/>
      <c r="J183" s="338"/>
      <c r="K183" s="332"/>
      <c r="L183" s="339"/>
      <c r="M183" s="336" t="str">
        <f t="shared" si="2"/>
        <v/>
      </c>
      <c r="N183" s="337" t="str">
        <f t="shared" si="3"/>
        <v/>
      </c>
      <c r="O183" s="332"/>
      <c r="Q183" s="325"/>
    </row>
    <row r="184" spans="1:17" x14ac:dyDescent="0.25">
      <c r="A184" s="325"/>
      <c r="C184" s="332"/>
      <c r="D184" s="1401"/>
      <c r="E184" s="1401"/>
      <c r="F184" s="332"/>
      <c r="G184" s="1401"/>
      <c r="H184" s="1401"/>
      <c r="I184" s="332"/>
      <c r="J184" s="338"/>
      <c r="K184" s="332"/>
      <c r="L184" s="339"/>
      <c r="M184" s="336" t="str">
        <f t="shared" si="2"/>
        <v/>
      </c>
      <c r="N184" s="337" t="str">
        <f t="shared" si="3"/>
        <v/>
      </c>
      <c r="O184" s="332"/>
      <c r="Q184" s="325"/>
    </row>
    <row r="185" spans="1:17" x14ac:dyDescent="0.25">
      <c r="A185" s="325"/>
      <c r="C185" s="332"/>
      <c r="D185" s="1401"/>
      <c r="E185" s="1401"/>
      <c r="F185" s="332"/>
      <c r="G185" s="1401"/>
      <c r="H185" s="1401"/>
      <c r="I185" s="332"/>
      <c r="J185" s="338"/>
      <c r="K185" s="332"/>
      <c r="L185" s="339"/>
      <c r="M185" s="336" t="str">
        <f t="shared" si="2"/>
        <v/>
      </c>
      <c r="N185" s="337" t="str">
        <f t="shared" si="3"/>
        <v/>
      </c>
      <c r="O185" s="332"/>
      <c r="Q185" s="325"/>
    </row>
    <row r="186" spans="1:17" x14ac:dyDescent="0.25">
      <c r="A186" s="325"/>
      <c r="C186" s="332"/>
      <c r="D186" s="1401"/>
      <c r="E186" s="1401"/>
      <c r="F186" s="332"/>
      <c r="G186" s="1401"/>
      <c r="H186" s="1401"/>
      <c r="I186" s="332"/>
      <c r="J186" s="338"/>
      <c r="K186" s="332"/>
      <c r="L186" s="339"/>
      <c r="M186" s="336" t="str">
        <f t="shared" si="2"/>
        <v/>
      </c>
      <c r="N186" s="337" t="str">
        <f t="shared" si="3"/>
        <v/>
      </c>
      <c r="O186" s="332"/>
      <c r="Q186" s="325"/>
    </row>
    <row r="187" spans="1:17" x14ac:dyDescent="0.25">
      <c r="A187" s="325"/>
      <c r="C187" s="332"/>
      <c r="D187" s="1401"/>
      <c r="E187" s="1401"/>
      <c r="F187" s="332"/>
      <c r="G187" s="1401"/>
      <c r="H187" s="1401"/>
      <c r="I187" s="332"/>
      <c r="J187" s="338"/>
      <c r="K187" s="332"/>
      <c r="L187" s="339"/>
      <c r="M187" s="336" t="str">
        <f t="shared" si="2"/>
        <v/>
      </c>
      <c r="N187" s="337" t="str">
        <f t="shared" si="3"/>
        <v/>
      </c>
      <c r="O187" s="332"/>
      <c r="Q187" s="325"/>
    </row>
    <row r="188" spans="1:17" x14ac:dyDescent="0.25">
      <c r="A188" s="325"/>
      <c r="C188" s="332"/>
      <c r="D188" s="1401"/>
      <c r="E188" s="1401"/>
      <c r="F188" s="332"/>
      <c r="G188" s="1401"/>
      <c r="H188" s="1401"/>
      <c r="I188" s="332"/>
      <c r="J188" s="338"/>
      <c r="K188" s="332"/>
      <c r="L188" s="339"/>
      <c r="M188" s="336" t="str">
        <f t="shared" si="2"/>
        <v/>
      </c>
      <c r="N188" s="337" t="str">
        <f t="shared" si="3"/>
        <v/>
      </c>
      <c r="O188" s="332"/>
      <c r="Q188" s="325"/>
    </row>
    <row r="189" spans="1:17" x14ac:dyDescent="0.25">
      <c r="A189" s="325"/>
      <c r="C189" s="332"/>
      <c r="D189" s="1401"/>
      <c r="E189" s="1401"/>
      <c r="F189" s="332"/>
      <c r="G189" s="1401"/>
      <c r="H189" s="1401"/>
      <c r="I189" s="332"/>
      <c r="J189" s="338"/>
      <c r="K189" s="332"/>
      <c r="L189" s="339"/>
      <c r="M189" s="336" t="str">
        <f t="shared" si="2"/>
        <v/>
      </c>
      <c r="N189" s="337" t="str">
        <f t="shared" si="3"/>
        <v/>
      </c>
      <c r="O189" s="332"/>
      <c r="Q189" s="325"/>
    </row>
    <row r="190" spans="1:17" x14ac:dyDescent="0.25">
      <c r="A190" s="325"/>
      <c r="C190" s="332"/>
      <c r="D190" s="1401"/>
      <c r="E190" s="1401"/>
      <c r="F190" s="332"/>
      <c r="G190" s="1401"/>
      <c r="H190" s="1401"/>
      <c r="I190" s="332"/>
      <c r="J190" s="338"/>
      <c r="K190" s="332"/>
      <c r="L190" s="339"/>
      <c r="M190" s="336" t="str">
        <f t="shared" si="2"/>
        <v/>
      </c>
      <c r="N190" s="337" t="str">
        <f t="shared" si="3"/>
        <v/>
      </c>
      <c r="O190" s="332"/>
      <c r="Q190" s="325"/>
    </row>
    <row r="191" spans="1:17" x14ac:dyDescent="0.25">
      <c r="A191" s="325"/>
      <c r="C191" s="332"/>
      <c r="D191" s="1401"/>
      <c r="E191" s="1401"/>
      <c r="F191" s="332"/>
      <c r="G191" s="1401"/>
      <c r="H191" s="1401"/>
      <c r="I191" s="332"/>
      <c r="J191" s="338"/>
      <c r="K191" s="332"/>
      <c r="L191" s="339"/>
      <c r="M191" s="336" t="str">
        <f t="shared" si="2"/>
        <v/>
      </c>
      <c r="N191" s="337" t="str">
        <f t="shared" si="3"/>
        <v/>
      </c>
      <c r="O191" s="332"/>
      <c r="Q191" s="325"/>
    </row>
    <row r="192" spans="1:17" x14ac:dyDescent="0.25">
      <c r="A192" s="325"/>
      <c r="C192" s="332"/>
      <c r="D192" s="1401"/>
      <c r="E192" s="1401"/>
      <c r="F192" s="332"/>
      <c r="G192" s="1401"/>
      <c r="H192" s="1401"/>
      <c r="I192" s="332"/>
      <c r="J192" s="338"/>
      <c r="K192" s="332"/>
      <c r="L192" s="339"/>
      <c r="M192" s="336" t="str">
        <f t="shared" si="2"/>
        <v/>
      </c>
      <c r="N192" s="337" t="str">
        <f t="shared" si="3"/>
        <v/>
      </c>
      <c r="O192" s="332"/>
      <c r="Q192" s="325"/>
    </row>
    <row r="193" spans="1:17" x14ac:dyDescent="0.25">
      <c r="A193" s="325"/>
      <c r="C193" s="332"/>
      <c r="D193" s="1401"/>
      <c r="E193" s="1401"/>
      <c r="F193" s="332"/>
      <c r="G193" s="1401"/>
      <c r="H193" s="1401"/>
      <c r="I193" s="332"/>
      <c r="J193" s="338"/>
      <c r="K193" s="332"/>
      <c r="L193" s="339"/>
      <c r="M193" s="336" t="str">
        <f t="shared" si="2"/>
        <v/>
      </c>
      <c r="N193" s="337" t="str">
        <f t="shared" si="3"/>
        <v/>
      </c>
      <c r="O193" s="332"/>
      <c r="Q193" s="325"/>
    </row>
    <row r="194" spans="1:17" x14ac:dyDescent="0.25">
      <c r="A194" s="325"/>
      <c r="C194" s="332"/>
      <c r="D194" s="1401"/>
      <c r="E194" s="1401"/>
      <c r="F194" s="332"/>
      <c r="G194" s="1401"/>
      <c r="H194" s="1401"/>
      <c r="I194" s="332"/>
      <c r="J194" s="338"/>
      <c r="K194" s="332"/>
      <c r="L194" s="339"/>
      <c r="M194" s="336" t="str">
        <f t="shared" si="2"/>
        <v/>
      </c>
      <c r="N194" s="337" t="str">
        <f t="shared" si="3"/>
        <v/>
      </c>
      <c r="O194" s="332"/>
      <c r="Q194" s="325"/>
    </row>
    <row r="195" spans="1:17" x14ac:dyDescent="0.25">
      <c r="A195" s="325"/>
      <c r="C195" s="332"/>
      <c r="D195" s="1401"/>
      <c r="E195" s="1401"/>
      <c r="F195" s="332"/>
      <c r="G195" s="1401"/>
      <c r="H195" s="1401"/>
      <c r="I195" s="332"/>
      <c r="J195" s="338"/>
      <c r="K195" s="332"/>
      <c r="L195" s="339"/>
      <c r="M195" s="336" t="str">
        <f t="shared" ref="M195:M258" si="4">IF(K195="","", INDEX(CNTR_EFListSelected,MATCH(K195,CORSIA_FuelsList,0)))</f>
        <v/>
      </c>
      <c r="N195" s="337" t="str">
        <f t="shared" si="3"/>
        <v/>
      </c>
      <c r="O195" s="332"/>
      <c r="Q195" s="325"/>
    </row>
    <row r="196" spans="1:17" x14ac:dyDescent="0.25">
      <c r="A196" s="325"/>
      <c r="C196" s="332"/>
      <c r="D196" s="1401"/>
      <c r="E196" s="1401"/>
      <c r="F196" s="332"/>
      <c r="G196" s="1401"/>
      <c r="H196" s="1401"/>
      <c r="I196" s="332"/>
      <c r="J196" s="338"/>
      <c r="K196" s="332"/>
      <c r="L196" s="339"/>
      <c r="M196" s="336" t="str">
        <f t="shared" si="4"/>
        <v/>
      </c>
      <c r="N196" s="337" t="str">
        <f t="shared" ref="N196:N259" si="5">IF(COUNT(L196:M196)=2,L196*M196,"")</f>
        <v/>
      </c>
      <c r="O196" s="332"/>
      <c r="Q196" s="325"/>
    </row>
    <row r="197" spans="1:17" x14ac:dyDescent="0.25">
      <c r="A197" s="325"/>
      <c r="C197" s="332"/>
      <c r="D197" s="1401"/>
      <c r="E197" s="1401"/>
      <c r="F197" s="332"/>
      <c r="G197" s="1401"/>
      <c r="H197" s="1401"/>
      <c r="I197" s="332"/>
      <c r="J197" s="338"/>
      <c r="K197" s="332"/>
      <c r="L197" s="339"/>
      <c r="M197" s="336" t="str">
        <f t="shared" si="4"/>
        <v/>
      </c>
      <c r="N197" s="337" t="str">
        <f t="shared" si="5"/>
        <v/>
      </c>
      <c r="O197" s="332"/>
      <c r="Q197" s="325"/>
    </row>
    <row r="198" spans="1:17" x14ac:dyDescent="0.25">
      <c r="A198" s="325"/>
      <c r="C198" s="332"/>
      <c r="D198" s="1401"/>
      <c r="E198" s="1401"/>
      <c r="F198" s="332"/>
      <c r="G198" s="1401"/>
      <c r="H198" s="1401"/>
      <c r="I198" s="332"/>
      <c r="J198" s="338"/>
      <c r="K198" s="332"/>
      <c r="L198" s="339"/>
      <c r="M198" s="336" t="str">
        <f t="shared" si="4"/>
        <v/>
      </c>
      <c r="N198" s="337" t="str">
        <f t="shared" si="5"/>
        <v/>
      </c>
      <c r="O198" s="332"/>
      <c r="Q198" s="325"/>
    </row>
    <row r="199" spans="1:17" x14ac:dyDescent="0.25">
      <c r="A199" s="325"/>
      <c r="C199" s="332"/>
      <c r="D199" s="1401"/>
      <c r="E199" s="1401"/>
      <c r="F199" s="332"/>
      <c r="G199" s="1401"/>
      <c r="H199" s="1401"/>
      <c r="I199" s="332"/>
      <c r="J199" s="338"/>
      <c r="K199" s="332"/>
      <c r="L199" s="339"/>
      <c r="M199" s="336" t="str">
        <f t="shared" si="4"/>
        <v/>
      </c>
      <c r="N199" s="337" t="str">
        <f t="shared" si="5"/>
        <v/>
      </c>
      <c r="O199" s="332"/>
      <c r="Q199" s="325"/>
    </row>
    <row r="200" spans="1:17" x14ac:dyDescent="0.25">
      <c r="A200" s="325"/>
      <c r="C200" s="332"/>
      <c r="D200" s="1401"/>
      <c r="E200" s="1401"/>
      <c r="F200" s="332"/>
      <c r="G200" s="1401"/>
      <c r="H200" s="1401"/>
      <c r="I200" s="332"/>
      <c r="J200" s="338"/>
      <c r="K200" s="332"/>
      <c r="L200" s="339"/>
      <c r="M200" s="336" t="str">
        <f t="shared" si="4"/>
        <v/>
      </c>
      <c r="N200" s="337" t="str">
        <f t="shared" si="5"/>
        <v/>
      </c>
      <c r="O200" s="332"/>
      <c r="Q200" s="325"/>
    </row>
    <row r="201" spans="1:17" x14ac:dyDescent="0.25">
      <c r="A201" s="325"/>
      <c r="C201" s="332"/>
      <c r="D201" s="1401"/>
      <c r="E201" s="1401"/>
      <c r="F201" s="332"/>
      <c r="G201" s="1401"/>
      <c r="H201" s="1401"/>
      <c r="I201" s="332"/>
      <c r="J201" s="338"/>
      <c r="K201" s="332"/>
      <c r="L201" s="339"/>
      <c r="M201" s="336" t="str">
        <f t="shared" si="4"/>
        <v/>
      </c>
      <c r="N201" s="337" t="str">
        <f t="shared" si="5"/>
        <v/>
      </c>
      <c r="O201" s="332"/>
      <c r="Q201" s="325"/>
    </row>
    <row r="202" spans="1:17" x14ac:dyDescent="0.25">
      <c r="A202" s="325"/>
      <c r="C202" s="332"/>
      <c r="D202" s="1401"/>
      <c r="E202" s="1401"/>
      <c r="F202" s="332"/>
      <c r="G202" s="1401"/>
      <c r="H202" s="1401"/>
      <c r="I202" s="332"/>
      <c r="J202" s="338"/>
      <c r="K202" s="332"/>
      <c r="L202" s="339"/>
      <c r="M202" s="336" t="str">
        <f t="shared" si="4"/>
        <v/>
      </c>
      <c r="N202" s="337" t="str">
        <f t="shared" si="5"/>
        <v/>
      </c>
      <c r="O202" s="332"/>
      <c r="Q202" s="325"/>
    </row>
    <row r="203" spans="1:17" x14ac:dyDescent="0.25">
      <c r="A203" s="325"/>
      <c r="C203" s="332"/>
      <c r="D203" s="1401"/>
      <c r="E203" s="1401"/>
      <c r="F203" s="332"/>
      <c r="G203" s="1401"/>
      <c r="H203" s="1401"/>
      <c r="I203" s="332"/>
      <c r="J203" s="338"/>
      <c r="K203" s="332"/>
      <c r="L203" s="339"/>
      <c r="M203" s="336" t="str">
        <f t="shared" si="4"/>
        <v/>
      </c>
      <c r="N203" s="337" t="str">
        <f t="shared" si="5"/>
        <v/>
      </c>
      <c r="O203" s="332"/>
      <c r="Q203" s="325"/>
    </row>
    <row r="204" spans="1:17" x14ac:dyDescent="0.25">
      <c r="A204" s="325"/>
      <c r="C204" s="332"/>
      <c r="D204" s="1401"/>
      <c r="E204" s="1401"/>
      <c r="F204" s="332"/>
      <c r="G204" s="1401"/>
      <c r="H204" s="1401"/>
      <c r="I204" s="332"/>
      <c r="J204" s="338"/>
      <c r="K204" s="332"/>
      <c r="L204" s="339"/>
      <c r="M204" s="336" t="str">
        <f t="shared" si="4"/>
        <v/>
      </c>
      <c r="N204" s="337" t="str">
        <f t="shared" si="5"/>
        <v/>
      </c>
      <c r="O204" s="332"/>
      <c r="Q204" s="325"/>
    </row>
    <row r="205" spans="1:17" x14ac:dyDescent="0.25">
      <c r="A205" s="325"/>
      <c r="C205" s="332"/>
      <c r="D205" s="1401"/>
      <c r="E205" s="1401"/>
      <c r="F205" s="332"/>
      <c r="G205" s="1401"/>
      <c r="H205" s="1401"/>
      <c r="I205" s="332"/>
      <c r="J205" s="338"/>
      <c r="K205" s="332"/>
      <c r="L205" s="339"/>
      <c r="M205" s="336" t="str">
        <f t="shared" si="4"/>
        <v/>
      </c>
      <c r="N205" s="337" t="str">
        <f t="shared" si="5"/>
        <v/>
      </c>
      <c r="O205" s="332"/>
      <c r="Q205" s="325"/>
    </row>
    <row r="206" spans="1:17" x14ac:dyDescent="0.25">
      <c r="A206" s="325"/>
      <c r="C206" s="332"/>
      <c r="D206" s="1401"/>
      <c r="E206" s="1401"/>
      <c r="F206" s="332"/>
      <c r="G206" s="1401"/>
      <c r="H206" s="1401"/>
      <c r="I206" s="332"/>
      <c r="J206" s="338"/>
      <c r="K206" s="332"/>
      <c r="L206" s="339"/>
      <c r="M206" s="336" t="str">
        <f t="shared" si="4"/>
        <v/>
      </c>
      <c r="N206" s="337" t="str">
        <f t="shared" si="5"/>
        <v/>
      </c>
      <c r="O206" s="332"/>
      <c r="Q206" s="325"/>
    </row>
    <row r="207" spans="1:17" x14ac:dyDescent="0.25">
      <c r="A207" s="325"/>
      <c r="C207" s="332"/>
      <c r="D207" s="1401"/>
      <c r="E207" s="1401"/>
      <c r="F207" s="332"/>
      <c r="G207" s="1401"/>
      <c r="H207" s="1401"/>
      <c r="I207" s="332"/>
      <c r="J207" s="338"/>
      <c r="K207" s="332"/>
      <c r="L207" s="339"/>
      <c r="M207" s="336" t="str">
        <f t="shared" si="4"/>
        <v/>
      </c>
      <c r="N207" s="337" t="str">
        <f t="shared" si="5"/>
        <v/>
      </c>
      <c r="O207" s="332"/>
      <c r="Q207" s="325"/>
    </row>
    <row r="208" spans="1:17" x14ac:dyDescent="0.25">
      <c r="A208" s="325"/>
      <c r="C208" s="332"/>
      <c r="D208" s="1401"/>
      <c r="E208" s="1401"/>
      <c r="F208" s="332"/>
      <c r="G208" s="1401"/>
      <c r="H208" s="1401"/>
      <c r="I208" s="332"/>
      <c r="J208" s="338"/>
      <c r="K208" s="332"/>
      <c r="L208" s="339"/>
      <c r="M208" s="336" t="str">
        <f t="shared" si="4"/>
        <v/>
      </c>
      <c r="N208" s="337" t="str">
        <f t="shared" si="5"/>
        <v/>
      </c>
      <c r="O208" s="332"/>
      <c r="Q208" s="325"/>
    </row>
    <row r="209" spans="1:17" x14ac:dyDescent="0.25">
      <c r="A209" s="325"/>
      <c r="C209" s="332"/>
      <c r="D209" s="1401"/>
      <c r="E209" s="1401"/>
      <c r="F209" s="332"/>
      <c r="G209" s="1401"/>
      <c r="H209" s="1401"/>
      <c r="I209" s="332"/>
      <c r="J209" s="338"/>
      <c r="K209" s="332"/>
      <c r="L209" s="339"/>
      <c r="M209" s="336" t="str">
        <f t="shared" si="4"/>
        <v/>
      </c>
      <c r="N209" s="337" t="str">
        <f t="shared" si="5"/>
        <v/>
      </c>
      <c r="O209" s="332"/>
      <c r="Q209" s="325"/>
    </row>
    <row r="210" spans="1:17" x14ac:dyDescent="0.25">
      <c r="A210" s="325"/>
      <c r="C210" s="332"/>
      <c r="D210" s="1401"/>
      <c r="E210" s="1401"/>
      <c r="F210" s="332"/>
      <c r="G210" s="1401"/>
      <c r="H210" s="1401"/>
      <c r="I210" s="332"/>
      <c r="J210" s="338"/>
      <c r="K210" s="332"/>
      <c r="L210" s="339"/>
      <c r="M210" s="336" t="str">
        <f t="shared" si="4"/>
        <v/>
      </c>
      <c r="N210" s="337" t="str">
        <f t="shared" si="5"/>
        <v/>
      </c>
      <c r="O210" s="332"/>
      <c r="Q210" s="325"/>
    </row>
    <row r="211" spans="1:17" x14ac:dyDescent="0.25">
      <c r="A211" s="325"/>
      <c r="C211" s="332"/>
      <c r="D211" s="1401"/>
      <c r="E211" s="1401"/>
      <c r="F211" s="332"/>
      <c r="G211" s="1401"/>
      <c r="H211" s="1401"/>
      <c r="I211" s="332"/>
      <c r="J211" s="338"/>
      <c r="K211" s="332"/>
      <c r="L211" s="339"/>
      <c r="M211" s="336" t="str">
        <f t="shared" si="4"/>
        <v/>
      </c>
      <c r="N211" s="337" t="str">
        <f t="shared" si="5"/>
        <v/>
      </c>
      <c r="O211" s="332"/>
      <c r="Q211" s="325"/>
    </row>
    <row r="212" spans="1:17" x14ac:dyDescent="0.25">
      <c r="A212" s="325"/>
      <c r="C212" s="332"/>
      <c r="D212" s="1401"/>
      <c r="E212" s="1401"/>
      <c r="F212" s="332"/>
      <c r="G212" s="1401"/>
      <c r="H212" s="1401"/>
      <c r="I212" s="332"/>
      <c r="J212" s="338"/>
      <c r="K212" s="332"/>
      <c r="L212" s="339"/>
      <c r="M212" s="336" t="str">
        <f t="shared" si="4"/>
        <v/>
      </c>
      <c r="N212" s="337" t="str">
        <f t="shared" si="5"/>
        <v/>
      </c>
      <c r="O212" s="332"/>
      <c r="Q212" s="325"/>
    </row>
    <row r="213" spans="1:17" x14ac:dyDescent="0.25">
      <c r="A213" s="325"/>
      <c r="C213" s="332"/>
      <c r="D213" s="1401"/>
      <c r="E213" s="1401"/>
      <c r="F213" s="332"/>
      <c r="G213" s="1401"/>
      <c r="H213" s="1401"/>
      <c r="I213" s="332"/>
      <c r="J213" s="338"/>
      <c r="K213" s="332"/>
      <c r="L213" s="339"/>
      <c r="M213" s="336" t="str">
        <f t="shared" si="4"/>
        <v/>
      </c>
      <c r="N213" s="337" t="str">
        <f t="shared" si="5"/>
        <v/>
      </c>
      <c r="O213" s="332"/>
      <c r="Q213" s="325"/>
    </row>
    <row r="214" spans="1:17" x14ac:dyDescent="0.25">
      <c r="A214" s="325"/>
      <c r="C214" s="332"/>
      <c r="D214" s="1401"/>
      <c r="E214" s="1401"/>
      <c r="F214" s="332"/>
      <c r="G214" s="1401"/>
      <c r="H214" s="1401"/>
      <c r="I214" s="332"/>
      <c r="J214" s="338"/>
      <c r="K214" s="332"/>
      <c r="L214" s="339"/>
      <c r="M214" s="336" t="str">
        <f t="shared" si="4"/>
        <v/>
      </c>
      <c r="N214" s="337" t="str">
        <f t="shared" si="5"/>
        <v/>
      </c>
      <c r="O214" s="332"/>
      <c r="Q214" s="325"/>
    </row>
    <row r="215" spans="1:17" x14ac:dyDescent="0.25">
      <c r="A215" s="325"/>
      <c r="C215" s="332"/>
      <c r="D215" s="1401"/>
      <c r="E215" s="1401"/>
      <c r="F215" s="332"/>
      <c r="G215" s="1401"/>
      <c r="H215" s="1401"/>
      <c r="I215" s="332"/>
      <c r="J215" s="338"/>
      <c r="K215" s="332"/>
      <c r="L215" s="339"/>
      <c r="M215" s="336" t="str">
        <f t="shared" si="4"/>
        <v/>
      </c>
      <c r="N215" s="337" t="str">
        <f t="shared" si="5"/>
        <v/>
      </c>
      <c r="O215" s="332"/>
      <c r="Q215" s="325"/>
    </row>
    <row r="216" spans="1:17" x14ac:dyDescent="0.25">
      <c r="A216" s="325"/>
      <c r="C216" s="332"/>
      <c r="D216" s="1401"/>
      <c r="E216" s="1401"/>
      <c r="F216" s="332"/>
      <c r="G216" s="1401"/>
      <c r="H216" s="1401"/>
      <c r="I216" s="332"/>
      <c r="J216" s="338"/>
      <c r="K216" s="332"/>
      <c r="L216" s="339"/>
      <c r="M216" s="336" t="str">
        <f t="shared" si="4"/>
        <v/>
      </c>
      <c r="N216" s="337" t="str">
        <f t="shared" si="5"/>
        <v/>
      </c>
      <c r="O216" s="332"/>
      <c r="Q216" s="325"/>
    </row>
    <row r="217" spans="1:17" x14ac:dyDescent="0.25">
      <c r="A217" s="325"/>
      <c r="C217" s="332"/>
      <c r="D217" s="1401"/>
      <c r="E217" s="1401"/>
      <c r="F217" s="332"/>
      <c r="G217" s="1401"/>
      <c r="H217" s="1401"/>
      <c r="I217" s="332"/>
      <c r="J217" s="338"/>
      <c r="K217" s="332"/>
      <c r="L217" s="339"/>
      <c r="M217" s="336" t="str">
        <f t="shared" si="4"/>
        <v/>
      </c>
      <c r="N217" s="337" t="str">
        <f t="shared" si="5"/>
        <v/>
      </c>
      <c r="O217" s="332"/>
      <c r="Q217" s="325"/>
    </row>
    <row r="218" spans="1:17" x14ac:dyDescent="0.25">
      <c r="A218" s="325"/>
      <c r="C218" s="332"/>
      <c r="D218" s="1401"/>
      <c r="E218" s="1401"/>
      <c r="F218" s="332"/>
      <c r="G218" s="1401"/>
      <c r="H218" s="1401"/>
      <c r="I218" s="332"/>
      <c r="J218" s="338"/>
      <c r="K218" s="332"/>
      <c r="L218" s="339"/>
      <c r="M218" s="336" t="str">
        <f t="shared" si="4"/>
        <v/>
      </c>
      <c r="N218" s="337" t="str">
        <f t="shared" si="5"/>
        <v/>
      </c>
      <c r="O218" s="332"/>
      <c r="Q218" s="325"/>
    </row>
    <row r="219" spans="1:17" x14ac:dyDescent="0.25">
      <c r="A219" s="325"/>
      <c r="C219" s="332"/>
      <c r="D219" s="1401"/>
      <c r="E219" s="1401"/>
      <c r="F219" s="332"/>
      <c r="G219" s="1401"/>
      <c r="H219" s="1401"/>
      <c r="I219" s="332"/>
      <c r="J219" s="338"/>
      <c r="K219" s="332"/>
      <c r="L219" s="339"/>
      <c r="M219" s="336" t="str">
        <f t="shared" si="4"/>
        <v/>
      </c>
      <c r="N219" s="337" t="str">
        <f t="shared" si="5"/>
        <v/>
      </c>
      <c r="O219" s="332"/>
      <c r="Q219" s="325"/>
    </row>
    <row r="220" spans="1:17" x14ac:dyDescent="0.25">
      <c r="A220" s="325"/>
      <c r="C220" s="332"/>
      <c r="D220" s="1401"/>
      <c r="E220" s="1401"/>
      <c r="F220" s="332"/>
      <c r="G220" s="1401"/>
      <c r="H220" s="1401"/>
      <c r="I220" s="332"/>
      <c r="J220" s="338"/>
      <c r="K220" s="332"/>
      <c r="L220" s="339"/>
      <c r="M220" s="336" t="str">
        <f t="shared" si="4"/>
        <v/>
      </c>
      <c r="N220" s="337" t="str">
        <f t="shared" si="5"/>
        <v/>
      </c>
      <c r="O220" s="332"/>
      <c r="Q220" s="325"/>
    </row>
    <row r="221" spans="1:17" x14ac:dyDescent="0.25">
      <c r="A221" s="325"/>
      <c r="C221" s="332"/>
      <c r="D221" s="1401"/>
      <c r="E221" s="1401"/>
      <c r="F221" s="332"/>
      <c r="G221" s="1401"/>
      <c r="H221" s="1401"/>
      <c r="I221" s="332"/>
      <c r="J221" s="338"/>
      <c r="K221" s="332"/>
      <c r="L221" s="339"/>
      <c r="M221" s="336" t="str">
        <f t="shared" si="4"/>
        <v/>
      </c>
      <c r="N221" s="337" t="str">
        <f t="shared" si="5"/>
        <v/>
      </c>
      <c r="O221" s="332"/>
      <c r="Q221" s="325"/>
    </row>
    <row r="222" spans="1:17" x14ac:dyDescent="0.25">
      <c r="A222" s="325"/>
      <c r="C222" s="332"/>
      <c r="D222" s="1401"/>
      <c r="E222" s="1401"/>
      <c r="F222" s="332"/>
      <c r="G222" s="1401"/>
      <c r="H222" s="1401"/>
      <c r="I222" s="332"/>
      <c r="J222" s="338"/>
      <c r="K222" s="332"/>
      <c r="L222" s="339"/>
      <c r="M222" s="336" t="str">
        <f t="shared" si="4"/>
        <v/>
      </c>
      <c r="N222" s="337" t="str">
        <f t="shared" si="5"/>
        <v/>
      </c>
      <c r="O222" s="332"/>
      <c r="Q222" s="325"/>
    </row>
    <row r="223" spans="1:17" x14ac:dyDescent="0.25">
      <c r="A223" s="325"/>
      <c r="C223" s="332"/>
      <c r="D223" s="1401"/>
      <c r="E223" s="1401"/>
      <c r="F223" s="332"/>
      <c r="G223" s="1401"/>
      <c r="H223" s="1401"/>
      <c r="I223" s="332"/>
      <c r="J223" s="338"/>
      <c r="K223" s="332"/>
      <c r="L223" s="339"/>
      <c r="M223" s="336" t="str">
        <f t="shared" si="4"/>
        <v/>
      </c>
      <c r="N223" s="337" t="str">
        <f t="shared" si="5"/>
        <v/>
      </c>
      <c r="O223" s="332"/>
      <c r="Q223" s="325"/>
    </row>
    <row r="224" spans="1:17" x14ac:dyDescent="0.25">
      <c r="A224" s="325"/>
      <c r="C224" s="332"/>
      <c r="D224" s="1401"/>
      <c r="E224" s="1401"/>
      <c r="F224" s="332"/>
      <c r="G224" s="1401"/>
      <c r="H224" s="1401"/>
      <c r="I224" s="332"/>
      <c r="J224" s="338"/>
      <c r="K224" s="332"/>
      <c r="L224" s="339"/>
      <c r="M224" s="336" t="str">
        <f t="shared" si="4"/>
        <v/>
      </c>
      <c r="N224" s="337" t="str">
        <f t="shared" si="5"/>
        <v/>
      </c>
      <c r="O224" s="332"/>
      <c r="Q224" s="325"/>
    </row>
    <row r="225" spans="1:17" x14ac:dyDescent="0.25">
      <c r="A225" s="325"/>
      <c r="C225" s="332"/>
      <c r="D225" s="1401"/>
      <c r="E225" s="1401"/>
      <c r="F225" s="332"/>
      <c r="G225" s="1401"/>
      <c r="H225" s="1401"/>
      <c r="I225" s="332"/>
      <c r="J225" s="338"/>
      <c r="K225" s="332"/>
      <c r="L225" s="339"/>
      <c r="M225" s="336" t="str">
        <f t="shared" si="4"/>
        <v/>
      </c>
      <c r="N225" s="337" t="str">
        <f t="shared" si="5"/>
        <v/>
      </c>
      <c r="O225" s="332"/>
      <c r="Q225" s="325"/>
    </row>
    <row r="226" spans="1:17" x14ac:dyDescent="0.25">
      <c r="A226" s="325"/>
      <c r="C226" s="332"/>
      <c r="D226" s="1401"/>
      <c r="E226" s="1401"/>
      <c r="F226" s="332"/>
      <c r="G226" s="1401"/>
      <c r="H226" s="1401"/>
      <c r="I226" s="332"/>
      <c r="J226" s="338"/>
      <c r="K226" s="332"/>
      <c r="L226" s="339"/>
      <c r="M226" s="336" t="str">
        <f t="shared" si="4"/>
        <v/>
      </c>
      <c r="N226" s="337" t="str">
        <f t="shared" si="5"/>
        <v/>
      </c>
      <c r="O226" s="332"/>
      <c r="Q226" s="325"/>
    </row>
    <row r="227" spans="1:17" x14ac:dyDescent="0.25">
      <c r="A227" s="325"/>
      <c r="C227" s="332"/>
      <c r="D227" s="1401"/>
      <c r="E227" s="1401"/>
      <c r="F227" s="332"/>
      <c r="G227" s="1401"/>
      <c r="H227" s="1401"/>
      <c r="I227" s="332"/>
      <c r="J227" s="338"/>
      <c r="K227" s="332"/>
      <c r="L227" s="339"/>
      <c r="M227" s="336" t="str">
        <f t="shared" si="4"/>
        <v/>
      </c>
      <c r="N227" s="337" t="str">
        <f t="shared" si="5"/>
        <v/>
      </c>
      <c r="O227" s="332"/>
      <c r="Q227" s="325"/>
    </row>
    <row r="228" spans="1:17" x14ac:dyDescent="0.25">
      <c r="A228" s="325"/>
      <c r="C228" s="332"/>
      <c r="D228" s="1401"/>
      <c r="E228" s="1401"/>
      <c r="F228" s="332"/>
      <c r="G228" s="1401"/>
      <c r="H228" s="1401"/>
      <c r="I228" s="332"/>
      <c r="J228" s="338"/>
      <c r="K228" s="332"/>
      <c r="L228" s="339"/>
      <c r="M228" s="336" t="str">
        <f t="shared" si="4"/>
        <v/>
      </c>
      <c r="N228" s="337" t="str">
        <f t="shared" si="5"/>
        <v/>
      </c>
      <c r="O228" s="332"/>
      <c r="Q228" s="325"/>
    </row>
    <row r="229" spans="1:17" x14ac:dyDescent="0.25">
      <c r="A229" s="325"/>
      <c r="C229" s="332"/>
      <c r="D229" s="1401"/>
      <c r="E229" s="1401"/>
      <c r="F229" s="332"/>
      <c r="G229" s="1401"/>
      <c r="H229" s="1401"/>
      <c r="I229" s="332"/>
      <c r="J229" s="338"/>
      <c r="K229" s="332"/>
      <c r="L229" s="339"/>
      <c r="M229" s="336" t="str">
        <f t="shared" si="4"/>
        <v/>
      </c>
      <c r="N229" s="337" t="str">
        <f t="shared" si="5"/>
        <v/>
      </c>
      <c r="O229" s="332"/>
      <c r="Q229" s="325"/>
    </row>
    <row r="230" spans="1:17" x14ac:dyDescent="0.25">
      <c r="A230" s="325"/>
      <c r="C230" s="332"/>
      <c r="D230" s="1401"/>
      <c r="E230" s="1401"/>
      <c r="F230" s="332"/>
      <c r="G230" s="1401"/>
      <c r="H230" s="1401"/>
      <c r="I230" s="332"/>
      <c r="J230" s="338"/>
      <c r="K230" s="332"/>
      <c r="L230" s="339"/>
      <c r="M230" s="336" t="str">
        <f t="shared" si="4"/>
        <v/>
      </c>
      <c r="N230" s="337" t="str">
        <f t="shared" si="5"/>
        <v/>
      </c>
      <c r="O230" s="332"/>
      <c r="Q230" s="325"/>
    </row>
    <row r="231" spans="1:17" x14ac:dyDescent="0.25">
      <c r="A231" s="325"/>
      <c r="C231" s="332"/>
      <c r="D231" s="1401"/>
      <c r="E231" s="1401"/>
      <c r="F231" s="332"/>
      <c r="G231" s="1401"/>
      <c r="H231" s="1401"/>
      <c r="I231" s="332"/>
      <c r="J231" s="338"/>
      <c r="K231" s="332"/>
      <c r="L231" s="339"/>
      <c r="M231" s="336" t="str">
        <f t="shared" si="4"/>
        <v/>
      </c>
      <c r="N231" s="337" t="str">
        <f t="shared" si="5"/>
        <v/>
      </c>
      <c r="O231" s="332"/>
      <c r="Q231" s="325"/>
    </row>
    <row r="232" spans="1:17" x14ac:dyDescent="0.25">
      <c r="A232" s="325"/>
      <c r="C232" s="332"/>
      <c r="D232" s="1401"/>
      <c r="E232" s="1401"/>
      <c r="F232" s="332"/>
      <c r="G232" s="1401"/>
      <c r="H232" s="1401"/>
      <c r="I232" s="332"/>
      <c r="J232" s="338"/>
      <c r="K232" s="332"/>
      <c r="L232" s="339"/>
      <c r="M232" s="336" t="str">
        <f t="shared" si="4"/>
        <v/>
      </c>
      <c r="N232" s="337" t="str">
        <f t="shared" si="5"/>
        <v/>
      </c>
      <c r="O232" s="332"/>
      <c r="Q232" s="325"/>
    </row>
    <row r="233" spans="1:17" x14ac:dyDescent="0.25">
      <c r="A233" s="325"/>
      <c r="C233" s="332"/>
      <c r="D233" s="1401"/>
      <c r="E233" s="1401"/>
      <c r="F233" s="332"/>
      <c r="G233" s="1401"/>
      <c r="H233" s="1401"/>
      <c r="I233" s="332"/>
      <c r="J233" s="338"/>
      <c r="K233" s="332"/>
      <c r="L233" s="339"/>
      <c r="M233" s="336" t="str">
        <f t="shared" si="4"/>
        <v/>
      </c>
      <c r="N233" s="337" t="str">
        <f t="shared" si="5"/>
        <v/>
      </c>
      <c r="O233" s="332"/>
      <c r="Q233" s="325"/>
    </row>
    <row r="234" spans="1:17" x14ac:dyDescent="0.25">
      <c r="A234" s="325"/>
      <c r="C234" s="332"/>
      <c r="D234" s="1401"/>
      <c r="E234" s="1401"/>
      <c r="F234" s="332"/>
      <c r="G234" s="1401"/>
      <c r="H234" s="1401"/>
      <c r="I234" s="332"/>
      <c r="J234" s="338"/>
      <c r="K234" s="332"/>
      <c r="L234" s="339"/>
      <c r="M234" s="336" t="str">
        <f t="shared" si="4"/>
        <v/>
      </c>
      <c r="N234" s="337" t="str">
        <f t="shared" si="5"/>
        <v/>
      </c>
      <c r="O234" s="332"/>
      <c r="Q234" s="325"/>
    </row>
    <row r="235" spans="1:17" x14ac:dyDescent="0.25">
      <c r="A235" s="325"/>
      <c r="C235" s="332"/>
      <c r="D235" s="1401"/>
      <c r="E235" s="1401"/>
      <c r="F235" s="332"/>
      <c r="G235" s="1401"/>
      <c r="H235" s="1401"/>
      <c r="I235" s="332"/>
      <c r="J235" s="338"/>
      <c r="K235" s="332"/>
      <c r="L235" s="339"/>
      <c r="M235" s="336" t="str">
        <f t="shared" si="4"/>
        <v/>
      </c>
      <c r="N235" s="337" t="str">
        <f t="shared" si="5"/>
        <v/>
      </c>
      <c r="O235" s="332"/>
      <c r="Q235" s="325"/>
    </row>
    <row r="236" spans="1:17" x14ac:dyDescent="0.25">
      <c r="A236" s="325"/>
      <c r="C236" s="332"/>
      <c r="D236" s="1401"/>
      <c r="E236" s="1401"/>
      <c r="F236" s="332"/>
      <c r="G236" s="1401"/>
      <c r="H236" s="1401"/>
      <c r="I236" s="332"/>
      <c r="J236" s="338"/>
      <c r="K236" s="332"/>
      <c r="L236" s="339"/>
      <c r="M236" s="336" t="str">
        <f t="shared" si="4"/>
        <v/>
      </c>
      <c r="N236" s="337" t="str">
        <f t="shared" si="5"/>
        <v/>
      </c>
      <c r="O236" s="332"/>
      <c r="Q236" s="325"/>
    </row>
    <row r="237" spans="1:17" x14ac:dyDescent="0.25">
      <c r="A237" s="325"/>
      <c r="C237" s="332"/>
      <c r="D237" s="1401"/>
      <c r="E237" s="1401"/>
      <c r="F237" s="332"/>
      <c r="G237" s="1401"/>
      <c r="H237" s="1401"/>
      <c r="I237" s="332"/>
      <c r="J237" s="338"/>
      <c r="K237" s="332"/>
      <c r="L237" s="339"/>
      <c r="M237" s="336" t="str">
        <f t="shared" si="4"/>
        <v/>
      </c>
      <c r="N237" s="337" t="str">
        <f t="shared" si="5"/>
        <v/>
      </c>
      <c r="O237" s="332"/>
      <c r="Q237" s="325"/>
    </row>
    <row r="238" spans="1:17" x14ac:dyDescent="0.25">
      <c r="A238" s="325"/>
      <c r="C238" s="332"/>
      <c r="D238" s="1401"/>
      <c r="E238" s="1401"/>
      <c r="F238" s="332"/>
      <c r="G238" s="1401"/>
      <c r="H238" s="1401"/>
      <c r="I238" s="332"/>
      <c r="J238" s="338"/>
      <c r="K238" s="332"/>
      <c r="L238" s="339"/>
      <c r="M238" s="336" t="str">
        <f t="shared" si="4"/>
        <v/>
      </c>
      <c r="N238" s="337" t="str">
        <f t="shared" si="5"/>
        <v/>
      </c>
      <c r="O238" s="332"/>
      <c r="Q238" s="325"/>
    </row>
    <row r="239" spans="1:17" x14ac:dyDescent="0.25">
      <c r="A239" s="325"/>
      <c r="C239" s="332"/>
      <c r="D239" s="1401"/>
      <c r="E239" s="1401"/>
      <c r="F239" s="332"/>
      <c r="G239" s="1401"/>
      <c r="H239" s="1401"/>
      <c r="I239" s="332"/>
      <c r="J239" s="338"/>
      <c r="K239" s="332"/>
      <c r="L239" s="339"/>
      <c r="M239" s="336" t="str">
        <f t="shared" si="4"/>
        <v/>
      </c>
      <c r="N239" s="337" t="str">
        <f t="shared" si="5"/>
        <v/>
      </c>
      <c r="O239" s="332"/>
      <c r="Q239" s="325"/>
    </row>
    <row r="240" spans="1:17" x14ac:dyDescent="0.25">
      <c r="A240" s="325"/>
      <c r="C240" s="332"/>
      <c r="D240" s="1401"/>
      <c r="E240" s="1401"/>
      <c r="F240" s="332"/>
      <c r="G240" s="1401"/>
      <c r="H240" s="1401"/>
      <c r="I240" s="332"/>
      <c r="J240" s="338"/>
      <c r="K240" s="332"/>
      <c r="L240" s="339"/>
      <c r="M240" s="336" t="str">
        <f t="shared" si="4"/>
        <v/>
      </c>
      <c r="N240" s="337" t="str">
        <f t="shared" si="5"/>
        <v/>
      </c>
      <c r="O240" s="332"/>
      <c r="Q240" s="325"/>
    </row>
    <row r="241" spans="1:17" x14ac:dyDescent="0.25">
      <c r="A241" s="325"/>
      <c r="C241" s="332"/>
      <c r="D241" s="1401"/>
      <c r="E241" s="1401"/>
      <c r="F241" s="332"/>
      <c r="G241" s="1401"/>
      <c r="H241" s="1401"/>
      <c r="I241" s="332"/>
      <c r="J241" s="338"/>
      <c r="K241" s="332"/>
      <c r="L241" s="339"/>
      <c r="M241" s="336" t="str">
        <f t="shared" si="4"/>
        <v/>
      </c>
      <c r="N241" s="337" t="str">
        <f t="shared" si="5"/>
        <v/>
      </c>
      <c r="O241" s="332"/>
      <c r="Q241" s="325"/>
    </row>
    <row r="242" spans="1:17" x14ac:dyDescent="0.25">
      <c r="A242" s="325"/>
      <c r="C242" s="332"/>
      <c r="D242" s="1401"/>
      <c r="E242" s="1401"/>
      <c r="F242" s="332"/>
      <c r="G242" s="1401"/>
      <c r="H242" s="1401"/>
      <c r="I242" s="332"/>
      <c r="J242" s="338"/>
      <c r="K242" s="332"/>
      <c r="L242" s="339"/>
      <c r="M242" s="336" t="str">
        <f t="shared" si="4"/>
        <v/>
      </c>
      <c r="N242" s="337" t="str">
        <f t="shared" si="5"/>
        <v/>
      </c>
      <c r="O242" s="332"/>
      <c r="Q242" s="325"/>
    </row>
    <row r="243" spans="1:17" x14ac:dyDescent="0.25">
      <c r="A243" s="325"/>
      <c r="C243" s="332"/>
      <c r="D243" s="1401"/>
      <c r="E243" s="1401"/>
      <c r="F243" s="332"/>
      <c r="G243" s="1401"/>
      <c r="H243" s="1401"/>
      <c r="I243" s="332"/>
      <c r="J243" s="338"/>
      <c r="K243" s="332"/>
      <c r="L243" s="339"/>
      <c r="M243" s="336" t="str">
        <f t="shared" si="4"/>
        <v/>
      </c>
      <c r="N243" s="337" t="str">
        <f t="shared" si="5"/>
        <v/>
      </c>
      <c r="O243" s="332"/>
      <c r="Q243" s="325"/>
    </row>
    <row r="244" spans="1:17" x14ac:dyDescent="0.25">
      <c r="A244" s="325"/>
      <c r="C244" s="332"/>
      <c r="D244" s="1401"/>
      <c r="E244" s="1401"/>
      <c r="F244" s="332"/>
      <c r="G244" s="1401"/>
      <c r="H244" s="1401"/>
      <c r="I244" s="332"/>
      <c r="J244" s="338"/>
      <c r="K244" s="332"/>
      <c r="L244" s="339"/>
      <c r="M244" s="336" t="str">
        <f t="shared" si="4"/>
        <v/>
      </c>
      <c r="N244" s="337" t="str">
        <f t="shared" si="5"/>
        <v/>
      </c>
      <c r="O244" s="332"/>
      <c r="Q244" s="325"/>
    </row>
    <row r="245" spans="1:17" x14ac:dyDescent="0.25">
      <c r="A245" s="325"/>
      <c r="C245" s="332"/>
      <c r="D245" s="1401"/>
      <c r="E245" s="1401"/>
      <c r="F245" s="332"/>
      <c r="G245" s="1401"/>
      <c r="H245" s="1401"/>
      <c r="I245" s="332"/>
      <c r="J245" s="338"/>
      <c r="K245" s="332"/>
      <c r="L245" s="339"/>
      <c r="M245" s="336" t="str">
        <f t="shared" si="4"/>
        <v/>
      </c>
      <c r="N245" s="337" t="str">
        <f t="shared" si="5"/>
        <v/>
      </c>
      <c r="O245" s="332"/>
      <c r="Q245" s="325"/>
    </row>
    <row r="246" spans="1:17" x14ac:dyDescent="0.25">
      <c r="A246" s="325"/>
      <c r="C246" s="332"/>
      <c r="D246" s="1401"/>
      <c r="E246" s="1401"/>
      <c r="F246" s="332"/>
      <c r="G246" s="1401"/>
      <c r="H246" s="1401"/>
      <c r="I246" s="332"/>
      <c r="J246" s="338"/>
      <c r="K246" s="332"/>
      <c r="L246" s="339"/>
      <c r="M246" s="336" t="str">
        <f t="shared" si="4"/>
        <v/>
      </c>
      <c r="N246" s="337" t="str">
        <f t="shared" si="5"/>
        <v/>
      </c>
      <c r="O246" s="332"/>
      <c r="Q246" s="325"/>
    </row>
    <row r="247" spans="1:17" x14ac:dyDescent="0.25">
      <c r="A247" s="325"/>
      <c r="C247" s="332"/>
      <c r="D247" s="1401"/>
      <c r="E247" s="1401"/>
      <c r="F247" s="332"/>
      <c r="G247" s="1401"/>
      <c r="H247" s="1401"/>
      <c r="I247" s="332"/>
      <c r="J247" s="338"/>
      <c r="K247" s="332"/>
      <c r="L247" s="339"/>
      <c r="M247" s="336" t="str">
        <f t="shared" si="4"/>
        <v/>
      </c>
      <c r="N247" s="337" t="str">
        <f t="shared" si="5"/>
        <v/>
      </c>
      <c r="O247" s="332"/>
      <c r="Q247" s="325"/>
    </row>
    <row r="248" spans="1:17" x14ac:dyDescent="0.25">
      <c r="A248" s="325"/>
      <c r="C248" s="332"/>
      <c r="D248" s="1401"/>
      <c r="E248" s="1401"/>
      <c r="F248" s="332"/>
      <c r="G248" s="1401"/>
      <c r="H248" s="1401"/>
      <c r="I248" s="332"/>
      <c r="J248" s="338"/>
      <c r="K248" s="332"/>
      <c r="L248" s="339"/>
      <c r="M248" s="336" t="str">
        <f t="shared" si="4"/>
        <v/>
      </c>
      <c r="N248" s="337" t="str">
        <f t="shared" si="5"/>
        <v/>
      </c>
      <c r="O248" s="332"/>
      <c r="Q248" s="325"/>
    </row>
    <row r="249" spans="1:17" x14ac:dyDescent="0.25">
      <c r="A249" s="325"/>
      <c r="C249" s="332"/>
      <c r="D249" s="1401"/>
      <c r="E249" s="1401"/>
      <c r="F249" s="332"/>
      <c r="G249" s="1401"/>
      <c r="H249" s="1401"/>
      <c r="I249" s="332"/>
      <c r="J249" s="338"/>
      <c r="K249" s="332"/>
      <c r="L249" s="339"/>
      <c r="M249" s="336" t="str">
        <f t="shared" si="4"/>
        <v/>
      </c>
      <c r="N249" s="337" t="str">
        <f t="shared" si="5"/>
        <v/>
      </c>
      <c r="O249" s="332"/>
      <c r="Q249" s="325"/>
    </row>
    <row r="250" spans="1:17" x14ac:dyDescent="0.25">
      <c r="A250" s="325"/>
      <c r="C250" s="332"/>
      <c r="D250" s="1401"/>
      <c r="E250" s="1401"/>
      <c r="F250" s="332"/>
      <c r="G250" s="1401"/>
      <c r="H250" s="1401"/>
      <c r="I250" s="332"/>
      <c r="J250" s="338"/>
      <c r="K250" s="332"/>
      <c r="L250" s="339"/>
      <c r="M250" s="336" t="str">
        <f t="shared" si="4"/>
        <v/>
      </c>
      <c r="N250" s="337" t="str">
        <f t="shared" si="5"/>
        <v/>
      </c>
      <c r="O250" s="332"/>
      <c r="Q250" s="325"/>
    </row>
    <row r="251" spans="1:17" x14ac:dyDescent="0.25">
      <c r="A251" s="325"/>
      <c r="C251" s="332"/>
      <c r="D251" s="1401"/>
      <c r="E251" s="1401"/>
      <c r="F251" s="332"/>
      <c r="G251" s="1401"/>
      <c r="H251" s="1401"/>
      <c r="I251" s="332"/>
      <c r="J251" s="338"/>
      <c r="K251" s="332"/>
      <c r="L251" s="339"/>
      <c r="M251" s="336" t="str">
        <f t="shared" si="4"/>
        <v/>
      </c>
      <c r="N251" s="337" t="str">
        <f t="shared" si="5"/>
        <v/>
      </c>
      <c r="O251" s="332"/>
      <c r="Q251" s="325"/>
    </row>
    <row r="252" spans="1:17" x14ac:dyDescent="0.25">
      <c r="A252" s="325"/>
      <c r="C252" s="332"/>
      <c r="D252" s="1401"/>
      <c r="E252" s="1401"/>
      <c r="F252" s="332"/>
      <c r="G252" s="1401"/>
      <c r="H252" s="1401"/>
      <c r="I252" s="332"/>
      <c r="J252" s="338"/>
      <c r="K252" s="332"/>
      <c r="L252" s="339"/>
      <c r="M252" s="336" t="str">
        <f t="shared" si="4"/>
        <v/>
      </c>
      <c r="N252" s="337" t="str">
        <f t="shared" si="5"/>
        <v/>
      </c>
      <c r="O252" s="332"/>
      <c r="Q252" s="325"/>
    </row>
    <row r="253" spans="1:17" x14ac:dyDescent="0.25">
      <c r="A253" s="325"/>
      <c r="C253" s="332"/>
      <c r="D253" s="1401"/>
      <c r="E253" s="1401"/>
      <c r="F253" s="332"/>
      <c r="G253" s="1401"/>
      <c r="H253" s="1401"/>
      <c r="I253" s="332"/>
      <c r="J253" s="338"/>
      <c r="K253" s="332"/>
      <c r="L253" s="339"/>
      <c r="M253" s="336" t="str">
        <f t="shared" si="4"/>
        <v/>
      </c>
      <c r="N253" s="337" t="str">
        <f t="shared" si="5"/>
        <v/>
      </c>
      <c r="O253" s="332"/>
      <c r="Q253" s="325"/>
    </row>
    <row r="254" spans="1:17" x14ac:dyDescent="0.25">
      <c r="A254" s="325"/>
      <c r="C254" s="332"/>
      <c r="D254" s="1401"/>
      <c r="E254" s="1401"/>
      <c r="F254" s="332"/>
      <c r="G254" s="1401"/>
      <c r="H254" s="1401"/>
      <c r="I254" s="332"/>
      <c r="J254" s="338"/>
      <c r="K254" s="332"/>
      <c r="L254" s="339"/>
      <c r="M254" s="336" t="str">
        <f t="shared" si="4"/>
        <v/>
      </c>
      <c r="N254" s="337" t="str">
        <f t="shared" si="5"/>
        <v/>
      </c>
      <c r="O254" s="332"/>
      <c r="Q254" s="325"/>
    </row>
    <row r="255" spans="1:17" x14ac:dyDescent="0.25">
      <c r="A255" s="325"/>
      <c r="C255" s="332"/>
      <c r="D255" s="1401"/>
      <c r="E255" s="1401"/>
      <c r="F255" s="332"/>
      <c r="G255" s="1401"/>
      <c r="H255" s="1401"/>
      <c r="I255" s="332"/>
      <c r="J255" s="338"/>
      <c r="K255" s="332"/>
      <c r="L255" s="339"/>
      <c r="M255" s="336" t="str">
        <f t="shared" si="4"/>
        <v/>
      </c>
      <c r="N255" s="337" t="str">
        <f t="shared" si="5"/>
        <v/>
      </c>
      <c r="O255" s="332"/>
      <c r="Q255" s="325"/>
    </row>
    <row r="256" spans="1:17" x14ac:dyDescent="0.25">
      <c r="A256" s="325"/>
      <c r="C256" s="332"/>
      <c r="D256" s="1401"/>
      <c r="E256" s="1401"/>
      <c r="F256" s="332"/>
      <c r="G256" s="1401"/>
      <c r="H256" s="1401"/>
      <c r="I256" s="332"/>
      <c r="J256" s="338"/>
      <c r="K256" s="332"/>
      <c r="L256" s="339"/>
      <c r="M256" s="336" t="str">
        <f t="shared" si="4"/>
        <v/>
      </c>
      <c r="N256" s="337" t="str">
        <f t="shared" si="5"/>
        <v/>
      </c>
      <c r="O256" s="332"/>
      <c r="Q256" s="325"/>
    </row>
    <row r="257" spans="1:17" x14ac:dyDescent="0.25">
      <c r="A257" s="325"/>
      <c r="C257" s="332"/>
      <c r="D257" s="1401"/>
      <c r="E257" s="1401"/>
      <c r="F257" s="332"/>
      <c r="G257" s="1401"/>
      <c r="H257" s="1401"/>
      <c r="I257" s="332"/>
      <c r="J257" s="338"/>
      <c r="K257" s="332"/>
      <c r="L257" s="339"/>
      <c r="M257" s="336" t="str">
        <f t="shared" si="4"/>
        <v/>
      </c>
      <c r="N257" s="337" t="str">
        <f t="shared" si="5"/>
        <v/>
      </c>
      <c r="O257" s="332"/>
      <c r="Q257" s="325"/>
    </row>
    <row r="258" spans="1:17" x14ac:dyDescent="0.25">
      <c r="A258" s="325"/>
      <c r="C258" s="332"/>
      <c r="D258" s="1401"/>
      <c r="E258" s="1401"/>
      <c r="F258" s="332"/>
      <c r="G258" s="1401"/>
      <c r="H258" s="1401"/>
      <c r="I258" s="332"/>
      <c r="J258" s="338"/>
      <c r="K258" s="332"/>
      <c r="L258" s="339"/>
      <c r="M258" s="336" t="str">
        <f t="shared" si="4"/>
        <v/>
      </c>
      <c r="N258" s="337" t="str">
        <f t="shared" si="5"/>
        <v/>
      </c>
      <c r="O258" s="332"/>
      <c r="Q258" s="325"/>
    </row>
    <row r="259" spans="1:17" x14ac:dyDescent="0.25">
      <c r="A259" s="325"/>
      <c r="C259" s="332"/>
      <c r="D259" s="1401"/>
      <c r="E259" s="1401"/>
      <c r="F259" s="332"/>
      <c r="G259" s="1401"/>
      <c r="H259" s="1401"/>
      <c r="I259" s="332"/>
      <c r="J259" s="338"/>
      <c r="K259" s="332"/>
      <c r="L259" s="339"/>
      <c r="M259" s="336" t="str">
        <f t="shared" ref="M259:M322" si="6">IF(K259="","", INDEX(CNTR_EFListSelected,MATCH(K259,CORSIA_FuelsList,0)))</f>
        <v/>
      </c>
      <c r="N259" s="337" t="str">
        <f t="shared" si="5"/>
        <v/>
      </c>
      <c r="O259" s="332"/>
      <c r="Q259" s="325"/>
    </row>
    <row r="260" spans="1:17" x14ac:dyDescent="0.25">
      <c r="A260" s="325"/>
      <c r="C260" s="332"/>
      <c r="D260" s="1401"/>
      <c r="E260" s="1401"/>
      <c r="F260" s="332"/>
      <c r="G260" s="1401"/>
      <c r="H260" s="1401"/>
      <c r="I260" s="332"/>
      <c r="J260" s="338"/>
      <c r="K260" s="332"/>
      <c r="L260" s="339"/>
      <c r="M260" s="336" t="str">
        <f t="shared" si="6"/>
        <v/>
      </c>
      <c r="N260" s="337" t="str">
        <f t="shared" ref="N260:N323" si="7">IF(COUNT(L260:M260)=2,L260*M260,"")</f>
        <v/>
      </c>
      <c r="O260" s="332"/>
      <c r="Q260" s="325"/>
    </row>
    <row r="261" spans="1:17" x14ac:dyDescent="0.25">
      <c r="A261" s="325"/>
      <c r="C261" s="332"/>
      <c r="D261" s="1401"/>
      <c r="E261" s="1401"/>
      <c r="F261" s="332"/>
      <c r="G261" s="1401"/>
      <c r="H261" s="1401"/>
      <c r="I261" s="332"/>
      <c r="J261" s="338"/>
      <c r="K261" s="332"/>
      <c r="L261" s="339"/>
      <c r="M261" s="336" t="str">
        <f t="shared" si="6"/>
        <v/>
      </c>
      <c r="N261" s="337" t="str">
        <f t="shared" si="7"/>
        <v/>
      </c>
      <c r="O261" s="332"/>
      <c r="Q261" s="325"/>
    </row>
    <row r="262" spans="1:17" x14ac:dyDescent="0.25">
      <c r="A262" s="325"/>
      <c r="C262" s="332"/>
      <c r="D262" s="1401"/>
      <c r="E262" s="1401"/>
      <c r="F262" s="332"/>
      <c r="G262" s="1401"/>
      <c r="H262" s="1401"/>
      <c r="I262" s="332"/>
      <c r="J262" s="338"/>
      <c r="K262" s="332"/>
      <c r="L262" s="339"/>
      <c r="M262" s="336" t="str">
        <f t="shared" si="6"/>
        <v/>
      </c>
      <c r="N262" s="337" t="str">
        <f t="shared" si="7"/>
        <v/>
      </c>
      <c r="O262" s="332"/>
      <c r="Q262" s="325"/>
    </row>
    <row r="263" spans="1:17" x14ac:dyDescent="0.25">
      <c r="A263" s="325"/>
      <c r="C263" s="332"/>
      <c r="D263" s="1401"/>
      <c r="E263" s="1401"/>
      <c r="F263" s="332"/>
      <c r="G263" s="1401"/>
      <c r="H263" s="1401"/>
      <c r="I263" s="332"/>
      <c r="J263" s="338"/>
      <c r="K263" s="332"/>
      <c r="L263" s="339"/>
      <c r="M263" s="336" t="str">
        <f t="shared" si="6"/>
        <v/>
      </c>
      <c r="N263" s="337" t="str">
        <f t="shared" si="7"/>
        <v/>
      </c>
      <c r="O263" s="332"/>
      <c r="Q263" s="325"/>
    </row>
    <row r="264" spans="1:17" x14ac:dyDescent="0.25">
      <c r="A264" s="325"/>
      <c r="C264" s="332"/>
      <c r="D264" s="1401"/>
      <c r="E264" s="1401"/>
      <c r="F264" s="332"/>
      <c r="G264" s="1401"/>
      <c r="H264" s="1401"/>
      <c r="I264" s="332"/>
      <c r="J264" s="338"/>
      <c r="K264" s="332"/>
      <c r="L264" s="339"/>
      <c r="M264" s="336" t="str">
        <f t="shared" si="6"/>
        <v/>
      </c>
      <c r="N264" s="337" t="str">
        <f t="shared" si="7"/>
        <v/>
      </c>
      <c r="O264" s="332"/>
      <c r="Q264" s="325"/>
    </row>
    <row r="265" spans="1:17" x14ac:dyDescent="0.25">
      <c r="A265" s="325"/>
      <c r="C265" s="332"/>
      <c r="D265" s="1401"/>
      <c r="E265" s="1401"/>
      <c r="F265" s="332"/>
      <c r="G265" s="1401"/>
      <c r="H265" s="1401"/>
      <c r="I265" s="332"/>
      <c r="J265" s="338"/>
      <c r="K265" s="332"/>
      <c r="L265" s="339"/>
      <c r="M265" s="336" t="str">
        <f t="shared" si="6"/>
        <v/>
      </c>
      <c r="N265" s="337" t="str">
        <f t="shared" si="7"/>
        <v/>
      </c>
      <c r="O265" s="332"/>
      <c r="Q265" s="325"/>
    </row>
    <row r="266" spans="1:17" x14ac:dyDescent="0.25">
      <c r="A266" s="325"/>
      <c r="C266" s="332"/>
      <c r="D266" s="1401"/>
      <c r="E266" s="1401"/>
      <c r="F266" s="332"/>
      <c r="G266" s="1401"/>
      <c r="H266" s="1401"/>
      <c r="I266" s="332"/>
      <c r="J266" s="338"/>
      <c r="K266" s="332"/>
      <c r="L266" s="339"/>
      <c r="M266" s="336" t="str">
        <f t="shared" si="6"/>
        <v/>
      </c>
      <c r="N266" s="337" t="str">
        <f t="shared" si="7"/>
        <v/>
      </c>
      <c r="O266" s="332"/>
      <c r="Q266" s="325"/>
    </row>
    <row r="267" spans="1:17" x14ac:dyDescent="0.25">
      <c r="A267" s="325"/>
      <c r="C267" s="332"/>
      <c r="D267" s="1401"/>
      <c r="E267" s="1401"/>
      <c r="F267" s="332"/>
      <c r="G267" s="1401"/>
      <c r="H267" s="1401"/>
      <c r="I267" s="332"/>
      <c r="J267" s="338"/>
      <c r="K267" s="332"/>
      <c r="L267" s="339"/>
      <c r="M267" s="336" t="str">
        <f t="shared" si="6"/>
        <v/>
      </c>
      <c r="N267" s="337" t="str">
        <f t="shared" si="7"/>
        <v/>
      </c>
      <c r="O267" s="332"/>
      <c r="Q267" s="325"/>
    </row>
    <row r="268" spans="1:17" x14ac:dyDescent="0.25">
      <c r="A268" s="325"/>
      <c r="C268" s="332"/>
      <c r="D268" s="1401"/>
      <c r="E268" s="1401"/>
      <c r="F268" s="332"/>
      <c r="G268" s="1401"/>
      <c r="H268" s="1401"/>
      <c r="I268" s="332"/>
      <c r="J268" s="338"/>
      <c r="K268" s="332"/>
      <c r="L268" s="339"/>
      <c r="M268" s="336" t="str">
        <f t="shared" si="6"/>
        <v/>
      </c>
      <c r="N268" s="337" t="str">
        <f t="shared" si="7"/>
        <v/>
      </c>
      <c r="O268" s="332"/>
      <c r="Q268" s="325"/>
    </row>
    <row r="269" spans="1:17" x14ac:dyDescent="0.25">
      <c r="A269" s="325"/>
      <c r="C269" s="332"/>
      <c r="D269" s="1401"/>
      <c r="E269" s="1401"/>
      <c r="F269" s="332"/>
      <c r="G269" s="1401"/>
      <c r="H269" s="1401"/>
      <c r="I269" s="332"/>
      <c r="J269" s="338"/>
      <c r="K269" s="332"/>
      <c r="L269" s="339"/>
      <c r="M269" s="336" t="str">
        <f t="shared" si="6"/>
        <v/>
      </c>
      <c r="N269" s="337" t="str">
        <f t="shared" si="7"/>
        <v/>
      </c>
      <c r="O269" s="332"/>
      <c r="Q269" s="325"/>
    </row>
    <row r="270" spans="1:17" x14ac:dyDescent="0.25">
      <c r="A270" s="325"/>
      <c r="C270" s="332"/>
      <c r="D270" s="1401"/>
      <c r="E270" s="1401"/>
      <c r="F270" s="332"/>
      <c r="G270" s="1401"/>
      <c r="H270" s="1401"/>
      <c r="I270" s="332"/>
      <c r="J270" s="338"/>
      <c r="K270" s="332"/>
      <c r="L270" s="339"/>
      <c r="M270" s="336" t="str">
        <f t="shared" si="6"/>
        <v/>
      </c>
      <c r="N270" s="337" t="str">
        <f t="shared" si="7"/>
        <v/>
      </c>
      <c r="O270" s="332"/>
      <c r="Q270" s="325"/>
    </row>
    <row r="271" spans="1:17" x14ac:dyDescent="0.25">
      <c r="A271" s="325"/>
      <c r="C271" s="332"/>
      <c r="D271" s="1401"/>
      <c r="E271" s="1401"/>
      <c r="F271" s="332"/>
      <c r="G271" s="1401"/>
      <c r="H271" s="1401"/>
      <c r="I271" s="332"/>
      <c r="J271" s="338"/>
      <c r="K271" s="332"/>
      <c r="L271" s="339"/>
      <c r="M271" s="336" t="str">
        <f t="shared" si="6"/>
        <v/>
      </c>
      <c r="N271" s="337" t="str">
        <f t="shared" si="7"/>
        <v/>
      </c>
      <c r="O271" s="332"/>
      <c r="Q271" s="325"/>
    </row>
    <row r="272" spans="1:17" x14ac:dyDescent="0.25">
      <c r="A272" s="325"/>
      <c r="C272" s="332"/>
      <c r="D272" s="1401"/>
      <c r="E272" s="1401"/>
      <c r="F272" s="332"/>
      <c r="G272" s="1401"/>
      <c r="H272" s="1401"/>
      <c r="I272" s="332"/>
      <c r="J272" s="338"/>
      <c r="K272" s="332"/>
      <c r="L272" s="339"/>
      <c r="M272" s="336" t="str">
        <f t="shared" si="6"/>
        <v/>
      </c>
      <c r="N272" s="337" t="str">
        <f t="shared" si="7"/>
        <v/>
      </c>
      <c r="O272" s="332"/>
      <c r="Q272" s="325"/>
    </row>
    <row r="273" spans="1:17" x14ac:dyDescent="0.25">
      <c r="A273" s="325"/>
      <c r="C273" s="332"/>
      <c r="D273" s="1401"/>
      <c r="E273" s="1401"/>
      <c r="F273" s="332"/>
      <c r="G273" s="1401"/>
      <c r="H273" s="1401"/>
      <c r="I273" s="332"/>
      <c r="J273" s="338"/>
      <c r="K273" s="332"/>
      <c r="L273" s="339"/>
      <c r="M273" s="336" t="str">
        <f t="shared" si="6"/>
        <v/>
      </c>
      <c r="N273" s="337" t="str">
        <f t="shared" si="7"/>
        <v/>
      </c>
      <c r="O273" s="332"/>
      <c r="Q273" s="325"/>
    </row>
    <row r="274" spans="1:17" x14ac:dyDescent="0.25">
      <c r="A274" s="325"/>
      <c r="C274" s="332"/>
      <c r="D274" s="1401"/>
      <c r="E274" s="1401"/>
      <c r="F274" s="332"/>
      <c r="G274" s="1401"/>
      <c r="H274" s="1401"/>
      <c r="I274" s="332"/>
      <c r="J274" s="338"/>
      <c r="K274" s="332"/>
      <c r="L274" s="339"/>
      <c r="M274" s="336" t="str">
        <f t="shared" si="6"/>
        <v/>
      </c>
      <c r="N274" s="337" t="str">
        <f t="shared" si="7"/>
        <v/>
      </c>
      <c r="O274" s="332"/>
      <c r="Q274" s="325"/>
    </row>
    <row r="275" spans="1:17" x14ac:dyDescent="0.25">
      <c r="A275" s="325"/>
      <c r="C275" s="332"/>
      <c r="D275" s="1401"/>
      <c r="E275" s="1401"/>
      <c r="F275" s="332"/>
      <c r="G275" s="1401"/>
      <c r="H275" s="1401"/>
      <c r="I275" s="332"/>
      <c r="J275" s="338"/>
      <c r="K275" s="332"/>
      <c r="L275" s="339"/>
      <c r="M275" s="336" t="str">
        <f t="shared" si="6"/>
        <v/>
      </c>
      <c r="N275" s="337" t="str">
        <f t="shared" si="7"/>
        <v/>
      </c>
      <c r="O275" s="332"/>
      <c r="Q275" s="325"/>
    </row>
    <row r="276" spans="1:17" x14ac:dyDescent="0.25">
      <c r="A276" s="325"/>
      <c r="C276" s="332"/>
      <c r="D276" s="1401"/>
      <c r="E276" s="1401"/>
      <c r="F276" s="332"/>
      <c r="G276" s="1401"/>
      <c r="H276" s="1401"/>
      <c r="I276" s="332"/>
      <c r="J276" s="338"/>
      <c r="K276" s="332"/>
      <c r="L276" s="339"/>
      <c r="M276" s="336" t="str">
        <f t="shared" si="6"/>
        <v/>
      </c>
      <c r="N276" s="337" t="str">
        <f t="shared" si="7"/>
        <v/>
      </c>
      <c r="O276" s="332"/>
      <c r="Q276" s="325"/>
    </row>
    <row r="277" spans="1:17" x14ac:dyDescent="0.25">
      <c r="A277" s="325"/>
      <c r="C277" s="332"/>
      <c r="D277" s="1401"/>
      <c r="E277" s="1401"/>
      <c r="F277" s="332"/>
      <c r="G277" s="1401"/>
      <c r="H277" s="1401"/>
      <c r="I277" s="332"/>
      <c r="J277" s="338"/>
      <c r="K277" s="332"/>
      <c r="L277" s="339"/>
      <c r="M277" s="336" t="str">
        <f t="shared" si="6"/>
        <v/>
      </c>
      <c r="N277" s="337" t="str">
        <f t="shared" si="7"/>
        <v/>
      </c>
      <c r="O277" s="332"/>
      <c r="Q277" s="325"/>
    </row>
    <row r="278" spans="1:17" x14ac:dyDescent="0.25">
      <c r="A278" s="325"/>
      <c r="C278" s="332"/>
      <c r="D278" s="1401"/>
      <c r="E278" s="1401"/>
      <c r="F278" s="332"/>
      <c r="G278" s="1401"/>
      <c r="H278" s="1401"/>
      <c r="I278" s="332"/>
      <c r="J278" s="338"/>
      <c r="K278" s="332"/>
      <c r="L278" s="339"/>
      <c r="M278" s="336" t="str">
        <f t="shared" si="6"/>
        <v/>
      </c>
      <c r="N278" s="337" t="str">
        <f t="shared" si="7"/>
        <v/>
      </c>
      <c r="O278" s="332"/>
      <c r="Q278" s="325"/>
    </row>
    <row r="279" spans="1:17" x14ac:dyDescent="0.25">
      <c r="A279" s="325"/>
      <c r="C279" s="332"/>
      <c r="D279" s="1401"/>
      <c r="E279" s="1401"/>
      <c r="F279" s="332"/>
      <c r="G279" s="1401"/>
      <c r="H279" s="1401"/>
      <c r="I279" s="332"/>
      <c r="J279" s="338"/>
      <c r="K279" s="332"/>
      <c r="L279" s="339"/>
      <c r="M279" s="336" t="str">
        <f t="shared" si="6"/>
        <v/>
      </c>
      <c r="N279" s="337" t="str">
        <f t="shared" si="7"/>
        <v/>
      </c>
      <c r="O279" s="332"/>
      <c r="Q279" s="325"/>
    </row>
    <row r="280" spans="1:17" x14ac:dyDescent="0.25">
      <c r="A280" s="325"/>
      <c r="C280" s="332"/>
      <c r="D280" s="1401"/>
      <c r="E280" s="1401"/>
      <c r="F280" s="332"/>
      <c r="G280" s="1401"/>
      <c r="H280" s="1401"/>
      <c r="I280" s="332"/>
      <c r="J280" s="338"/>
      <c r="K280" s="332"/>
      <c r="L280" s="339"/>
      <c r="M280" s="336" t="str">
        <f t="shared" si="6"/>
        <v/>
      </c>
      <c r="N280" s="337" t="str">
        <f t="shared" si="7"/>
        <v/>
      </c>
      <c r="O280" s="332"/>
      <c r="Q280" s="325"/>
    </row>
    <row r="281" spans="1:17" x14ac:dyDescent="0.25">
      <c r="A281" s="325"/>
      <c r="C281" s="332"/>
      <c r="D281" s="1401"/>
      <c r="E281" s="1401"/>
      <c r="F281" s="332"/>
      <c r="G281" s="1401"/>
      <c r="H281" s="1401"/>
      <c r="I281" s="332"/>
      <c r="J281" s="338"/>
      <c r="K281" s="332"/>
      <c r="L281" s="339"/>
      <c r="M281" s="336" t="str">
        <f t="shared" si="6"/>
        <v/>
      </c>
      <c r="N281" s="337" t="str">
        <f t="shared" si="7"/>
        <v/>
      </c>
      <c r="O281" s="332"/>
      <c r="Q281" s="325"/>
    </row>
    <row r="282" spans="1:17" x14ac:dyDescent="0.25">
      <c r="A282" s="325"/>
      <c r="C282" s="332"/>
      <c r="D282" s="1401"/>
      <c r="E282" s="1401"/>
      <c r="F282" s="332"/>
      <c r="G282" s="1401"/>
      <c r="H282" s="1401"/>
      <c r="I282" s="332"/>
      <c r="J282" s="338"/>
      <c r="K282" s="332"/>
      <c r="L282" s="339"/>
      <c r="M282" s="336" t="str">
        <f t="shared" si="6"/>
        <v/>
      </c>
      <c r="N282" s="337" t="str">
        <f t="shared" si="7"/>
        <v/>
      </c>
      <c r="O282" s="332"/>
      <c r="Q282" s="325"/>
    </row>
    <row r="283" spans="1:17" x14ac:dyDescent="0.25">
      <c r="A283" s="325"/>
      <c r="C283" s="332"/>
      <c r="D283" s="1401"/>
      <c r="E283" s="1401"/>
      <c r="F283" s="332"/>
      <c r="G283" s="1401"/>
      <c r="H283" s="1401"/>
      <c r="I283" s="332"/>
      <c r="J283" s="338"/>
      <c r="K283" s="332"/>
      <c r="L283" s="339"/>
      <c r="M283" s="336" t="str">
        <f t="shared" si="6"/>
        <v/>
      </c>
      <c r="N283" s="337" t="str">
        <f t="shared" si="7"/>
        <v/>
      </c>
      <c r="O283" s="332"/>
      <c r="Q283" s="325"/>
    </row>
    <row r="284" spans="1:17" x14ac:dyDescent="0.25">
      <c r="A284" s="325"/>
      <c r="C284" s="332"/>
      <c r="D284" s="1401"/>
      <c r="E284" s="1401"/>
      <c r="F284" s="332"/>
      <c r="G284" s="1401"/>
      <c r="H284" s="1401"/>
      <c r="I284" s="332"/>
      <c r="J284" s="338"/>
      <c r="K284" s="332"/>
      <c r="L284" s="339"/>
      <c r="M284" s="336" t="str">
        <f t="shared" si="6"/>
        <v/>
      </c>
      <c r="N284" s="337" t="str">
        <f t="shared" si="7"/>
        <v/>
      </c>
      <c r="O284" s="332"/>
      <c r="Q284" s="325"/>
    </row>
    <row r="285" spans="1:17" x14ac:dyDescent="0.25">
      <c r="A285" s="325"/>
      <c r="C285" s="332"/>
      <c r="D285" s="1401"/>
      <c r="E285" s="1401"/>
      <c r="F285" s="332"/>
      <c r="G285" s="1401"/>
      <c r="H285" s="1401"/>
      <c r="I285" s="332"/>
      <c r="J285" s="338"/>
      <c r="K285" s="332"/>
      <c r="L285" s="339"/>
      <c r="M285" s="336" t="str">
        <f t="shared" si="6"/>
        <v/>
      </c>
      <c r="N285" s="337" t="str">
        <f t="shared" si="7"/>
        <v/>
      </c>
      <c r="O285" s="332"/>
      <c r="Q285" s="325"/>
    </row>
    <row r="286" spans="1:17" x14ac:dyDescent="0.25">
      <c r="A286" s="325"/>
      <c r="C286" s="332"/>
      <c r="D286" s="1401"/>
      <c r="E286" s="1401"/>
      <c r="F286" s="332"/>
      <c r="G286" s="1401"/>
      <c r="H286" s="1401"/>
      <c r="I286" s="332"/>
      <c r="J286" s="338"/>
      <c r="K286" s="332"/>
      <c r="L286" s="339"/>
      <c r="M286" s="336" t="str">
        <f t="shared" si="6"/>
        <v/>
      </c>
      <c r="N286" s="337" t="str">
        <f t="shared" si="7"/>
        <v/>
      </c>
      <c r="O286" s="332"/>
      <c r="Q286" s="325"/>
    </row>
    <row r="287" spans="1:17" x14ac:dyDescent="0.25">
      <c r="A287" s="325"/>
      <c r="C287" s="332"/>
      <c r="D287" s="1401"/>
      <c r="E287" s="1401"/>
      <c r="F287" s="332"/>
      <c r="G287" s="1401"/>
      <c r="H287" s="1401"/>
      <c r="I287" s="332"/>
      <c r="J287" s="338"/>
      <c r="K287" s="332"/>
      <c r="L287" s="339"/>
      <c r="M287" s="336" t="str">
        <f t="shared" si="6"/>
        <v/>
      </c>
      <c r="N287" s="337" t="str">
        <f t="shared" si="7"/>
        <v/>
      </c>
      <c r="O287" s="332"/>
      <c r="Q287" s="325"/>
    </row>
    <row r="288" spans="1:17" x14ac:dyDescent="0.25">
      <c r="A288" s="325"/>
      <c r="C288" s="332"/>
      <c r="D288" s="1401"/>
      <c r="E288" s="1401"/>
      <c r="F288" s="332"/>
      <c r="G288" s="1401"/>
      <c r="H288" s="1401"/>
      <c r="I288" s="332"/>
      <c r="J288" s="338"/>
      <c r="K288" s="332"/>
      <c r="L288" s="339"/>
      <c r="M288" s="336" t="str">
        <f t="shared" si="6"/>
        <v/>
      </c>
      <c r="N288" s="337" t="str">
        <f t="shared" si="7"/>
        <v/>
      </c>
      <c r="O288" s="332"/>
      <c r="Q288" s="325"/>
    </row>
    <row r="289" spans="1:17" x14ac:dyDescent="0.25">
      <c r="A289" s="325"/>
      <c r="C289" s="332"/>
      <c r="D289" s="1401"/>
      <c r="E289" s="1401"/>
      <c r="F289" s="332"/>
      <c r="G289" s="1401"/>
      <c r="H289" s="1401"/>
      <c r="I289" s="332"/>
      <c r="J289" s="338"/>
      <c r="K289" s="332"/>
      <c r="L289" s="339"/>
      <c r="M289" s="336" t="str">
        <f t="shared" si="6"/>
        <v/>
      </c>
      <c r="N289" s="337" t="str">
        <f t="shared" si="7"/>
        <v/>
      </c>
      <c r="O289" s="332"/>
      <c r="Q289" s="325"/>
    </row>
    <row r="290" spans="1:17" x14ac:dyDescent="0.25">
      <c r="A290" s="325"/>
      <c r="C290" s="332"/>
      <c r="D290" s="1401"/>
      <c r="E290" s="1401"/>
      <c r="F290" s="332"/>
      <c r="G290" s="1401"/>
      <c r="H290" s="1401"/>
      <c r="I290" s="332"/>
      <c r="J290" s="338"/>
      <c r="K290" s="332"/>
      <c r="L290" s="339"/>
      <c r="M290" s="336" t="str">
        <f t="shared" si="6"/>
        <v/>
      </c>
      <c r="N290" s="337" t="str">
        <f t="shared" si="7"/>
        <v/>
      </c>
      <c r="O290" s="332"/>
      <c r="Q290" s="325"/>
    </row>
    <row r="291" spans="1:17" x14ac:dyDescent="0.25">
      <c r="A291" s="325"/>
      <c r="C291" s="332"/>
      <c r="D291" s="1401"/>
      <c r="E291" s="1401"/>
      <c r="F291" s="332"/>
      <c r="G291" s="1401"/>
      <c r="H291" s="1401"/>
      <c r="I291" s="332"/>
      <c r="J291" s="338"/>
      <c r="K291" s="332"/>
      <c r="L291" s="339"/>
      <c r="M291" s="336" t="str">
        <f t="shared" si="6"/>
        <v/>
      </c>
      <c r="N291" s="337" t="str">
        <f t="shared" si="7"/>
        <v/>
      </c>
      <c r="O291" s="332"/>
      <c r="Q291" s="325"/>
    </row>
    <row r="292" spans="1:17" x14ac:dyDescent="0.25">
      <c r="A292" s="325"/>
      <c r="C292" s="332"/>
      <c r="D292" s="1401"/>
      <c r="E292" s="1401"/>
      <c r="F292" s="332"/>
      <c r="G292" s="1401"/>
      <c r="H292" s="1401"/>
      <c r="I292" s="332"/>
      <c r="J292" s="338"/>
      <c r="K292" s="332"/>
      <c r="L292" s="339"/>
      <c r="M292" s="336" t="str">
        <f t="shared" si="6"/>
        <v/>
      </c>
      <c r="N292" s="337" t="str">
        <f t="shared" si="7"/>
        <v/>
      </c>
      <c r="O292" s="332"/>
      <c r="Q292" s="325"/>
    </row>
    <row r="293" spans="1:17" x14ac:dyDescent="0.25">
      <c r="A293" s="325"/>
      <c r="C293" s="332"/>
      <c r="D293" s="1401"/>
      <c r="E293" s="1401"/>
      <c r="F293" s="332"/>
      <c r="G293" s="1401"/>
      <c r="H293" s="1401"/>
      <c r="I293" s="332"/>
      <c r="J293" s="338"/>
      <c r="K293" s="332"/>
      <c r="L293" s="339"/>
      <c r="M293" s="336" t="str">
        <f t="shared" si="6"/>
        <v/>
      </c>
      <c r="N293" s="337" t="str">
        <f t="shared" si="7"/>
        <v/>
      </c>
      <c r="O293" s="332"/>
      <c r="Q293" s="325"/>
    </row>
    <row r="294" spans="1:17" x14ac:dyDescent="0.25">
      <c r="A294" s="325"/>
      <c r="C294" s="332"/>
      <c r="D294" s="1401"/>
      <c r="E294" s="1401"/>
      <c r="F294" s="332"/>
      <c r="G294" s="1401"/>
      <c r="H294" s="1401"/>
      <c r="I294" s="332"/>
      <c r="J294" s="338"/>
      <c r="K294" s="332"/>
      <c r="L294" s="339"/>
      <c r="M294" s="336" t="str">
        <f t="shared" si="6"/>
        <v/>
      </c>
      <c r="N294" s="337" t="str">
        <f t="shared" si="7"/>
        <v/>
      </c>
      <c r="O294" s="332"/>
      <c r="Q294" s="325"/>
    </row>
    <row r="295" spans="1:17" x14ac:dyDescent="0.25">
      <c r="A295" s="325"/>
      <c r="C295" s="332"/>
      <c r="D295" s="1401"/>
      <c r="E295" s="1401"/>
      <c r="F295" s="332"/>
      <c r="G295" s="1401"/>
      <c r="H295" s="1401"/>
      <c r="I295" s="332"/>
      <c r="J295" s="338"/>
      <c r="K295" s="332"/>
      <c r="L295" s="339"/>
      <c r="M295" s="336" t="str">
        <f t="shared" si="6"/>
        <v/>
      </c>
      <c r="N295" s="337" t="str">
        <f t="shared" si="7"/>
        <v/>
      </c>
      <c r="O295" s="332"/>
      <c r="Q295" s="325"/>
    </row>
    <row r="296" spans="1:17" x14ac:dyDescent="0.25">
      <c r="A296" s="325"/>
      <c r="C296" s="332"/>
      <c r="D296" s="1401"/>
      <c r="E296" s="1401"/>
      <c r="F296" s="332"/>
      <c r="G296" s="1401"/>
      <c r="H296" s="1401"/>
      <c r="I296" s="332"/>
      <c r="J296" s="338"/>
      <c r="K296" s="332"/>
      <c r="L296" s="339"/>
      <c r="M296" s="336" t="str">
        <f t="shared" si="6"/>
        <v/>
      </c>
      <c r="N296" s="337" t="str">
        <f t="shared" si="7"/>
        <v/>
      </c>
      <c r="O296" s="332"/>
      <c r="Q296" s="325"/>
    </row>
    <row r="297" spans="1:17" x14ac:dyDescent="0.25">
      <c r="A297" s="325"/>
      <c r="C297" s="332"/>
      <c r="D297" s="1401"/>
      <c r="E297" s="1401"/>
      <c r="F297" s="332"/>
      <c r="G297" s="1401"/>
      <c r="H297" s="1401"/>
      <c r="I297" s="332"/>
      <c r="J297" s="338"/>
      <c r="K297" s="332"/>
      <c r="L297" s="339"/>
      <c r="M297" s="336" t="str">
        <f t="shared" si="6"/>
        <v/>
      </c>
      <c r="N297" s="337" t="str">
        <f t="shared" si="7"/>
        <v/>
      </c>
      <c r="O297" s="332"/>
      <c r="Q297" s="325"/>
    </row>
    <row r="298" spans="1:17" x14ac:dyDescent="0.25">
      <c r="A298" s="325"/>
      <c r="C298" s="332"/>
      <c r="D298" s="1401"/>
      <c r="E298" s="1401"/>
      <c r="F298" s="332"/>
      <c r="G298" s="1401"/>
      <c r="H298" s="1401"/>
      <c r="I298" s="332"/>
      <c r="J298" s="338"/>
      <c r="K298" s="332"/>
      <c r="L298" s="339"/>
      <c r="M298" s="336" t="str">
        <f t="shared" si="6"/>
        <v/>
      </c>
      <c r="N298" s="337" t="str">
        <f t="shared" si="7"/>
        <v/>
      </c>
      <c r="O298" s="332"/>
      <c r="Q298" s="325"/>
    </row>
    <row r="299" spans="1:17" x14ac:dyDescent="0.25">
      <c r="A299" s="325"/>
      <c r="C299" s="332"/>
      <c r="D299" s="1401"/>
      <c r="E299" s="1401"/>
      <c r="F299" s="332"/>
      <c r="G299" s="1401"/>
      <c r="H299" s="1401"/>
      <c r="I299" s="332"/>
      <c r="J299" s="338"/>
      <c r="K299" s="332"/>
      <c r="L299" s="339"/>
      <c r="M299" s="336" t="str">
        <f t="shared" si="6"/>
        <v/>
      </c>
      <c r="N299" s="337" t="str">
        <f t="shared" si="7"/>
        <v/>
      </c>
      <c r="O299" s="332"/>
      <c r="Q299" s="325"/>
    </row>
    <row r="300" spans="1:17" x14ac:dyDescent="0.25">
      <c r="A300" s="325"/>
      <c r="C300" s="332"/>
      <c r="D300" s="1401"/>
      <c r="E300" s="1401"/>
      <c r="F300" s="332"/>
      <c r="G300" s="1401"/>
      <c r="H300" s="1401"/>
      <c r="I300" s="332"/>
      <c r="J300" s="338"/>
      <c r="K300" s="332"/>
      <c r="L300" s="339"/>
      <c r="M300" s="336" t="str">
        <f t="shared" si="6"/>
        <v/>
      </c>
      <c r="N300" s="337" t="str">
        <f t="shared" si="7"/>
        <v/>
      </c>
      <c r="O300" s="332"/>
      <c r="Q300" s="325"/>
    </row>
    <row r="301" spans="1:17" x14ac:dyDescent="0.25">
      <c r="A301" s="325"/>
      <c r="C301" s="332"/>
      <c r="D301" s="1401"/>
      <c r="E301" s="1401"/>
      <c r="F301" s="332"/>
      <c r="G301" s="1401"/>
      <c r="H301" s="1401"/>
      <c r="I301" s="332"/>
      <c r="J301" s="338"/>
      <c r="K301" s="332"/>
      <c r="L301" s="339"/>
      <c r="M301" s="336" t="str">
        <f t="shared" si="6"/>
        <v/>
      </c>
      <c r="N301" s="337" t="str">
        <f t="shared" si="7"/>
        <v/>
      </c>
      <c r="O301" s="332"/>
      <c r="Q301" s="325"/>
    </row>
    <row r="302" spans="1:17" x14ac:dyDescent="0.25">
      <c r="A302" s="325"/>
      <c r="C302" s="332"/>
      <c r="D302" s="1401"/>
      <c r="E302" s="1401"/>
      <c r="F302" s="332"/>
      <c r="G302" s="1401"/>
      <c r="H302" s="1401"/>
      <c r="I302" s="332"/>
      <c r="J302" s="338"/>
      <c r="K302" s="332"/>
      <c r="L302" s="339"/>
      <c r="M302" s="336" t="str">
        <f t="shared" si="6"/>
        <v/>
      </c>
      <c r="N302" s="337" t="str">
        <f t="shared" si="7"/>
        <v/>
      </c>
      <c r="O302" s="332"/>
      <c r="Q302" s="325"/>
    </row>
    <row r="303" spans="1:17" x14ac:dyDescent="0.25">
      <c r="A303" s="325"/>
      <c r="C303" s="332"/>
      <c r="D303" s="1401"/>
      <c r="E303" s="1401"/>
      <c r="F303" s="332"/>
      <c r="G303" s="1401"/>
      <c r="H303" s="1401"/>
      <c r="I303" s="332"/>
      <c r="J303" s="338"/>
      <c r="K303" s="332"/>
      <c r="L303" s="339"/>
      <c r="M303" s="336" t="str">
        <f t="shared" si="6"/>
        <v/>
      </c>
      <c r="N303" s="337" t="str">
        <f t="shared" si="7"/>
        <v/>
      </c>
      <c r="O303" s="332"/>
      <c r="Q303" s="325"/>
    </row>
    <row r="304" spans="1:17" x14ac:dyDescent="0.25">
      <c r="A304" s="325"/>
      <c r="C304" s="332"/>
      <c r="D304" s="1401"/>
      <c r="E304" s="1401"/>
      <c r="F304" s="332"/>
      <c r="G304" s="1401"/>
      <c r="H304" s="1401"/>
      <c r="I304" s="332"/>
      <c r="J304" s="338"/>
      <c r="K304" s="332"/>
      <c r="L304" s="339"/>
      <c r="M304" s="336" t="str">
        <f t="shared" si="6"/>
        <v/>
      </c>
      <c r="N304" s="337" t="str">
        <f t="shared" si="7"/>
        <v/>
      </c>
      <c r="O304" s="332"/>
      <c r="Q304" s="325"/>
    </row>
    <row r="305" spans="1:17" x14ac:dyDescent="0.25">
      <c r="A305" s="325"/>
      <c r="C305" s="332"/>
      <c r="D305" s="1401"/>
      <c r="E305" s="1401"/>
      <c r="F305" s="332"/>
      <c r="G305" s="1401"/>
      <c r="H305" s="1401"/>
      <c r="I305" s="332"/>
      <c r="J305" s="338"/>
      <c r="K305" s="332"/>
      <c r="L305" s="339"/>
      <c r="M305" s="336" t="str">
        <f t="shared" si="6"/>
        <v/>
      </c>
      <c r="N305" s="337" t="str">
        <f t="shared" si="7"/>
        <v/>
      </c>
      <c r="O305" s="332"/>
      <c r="Q305" s="325"/>
    </row>
    <row r="306" spans="1:17" x14ac:dyDescent="0.25">
      <c r="A306" s="325"/>
      <c r="C306" s="332"/>
      <c r="D306" s="1401"/>
      <c r="E306" s="1401"/>
      <c r="F306" s="332"/>
      <c r="G306" s="1401"/>
      <c r="H306" s="1401"/>
      <c r="I306" s="332"/>
      <c r="J306" s="338"/>
      <c r="K306" s="332"/>
      <c r="L306" s="339"/>
      <c r="M306" s="336" t="str">
        <f t="shared" si="6"/>
        <v/>
      </c>
      <c r="N306" s="337" t="str">
        <f t="shared" si="7"/>
        <v/>
      </c>
      <c r="O306" s="332"/>
      <c r="Q306" s="325"/>
    </row>
    <row r="307" spans="1:17" x14ac:dyDescent="0.25">
      <c r="A307" s="325"/>
      <c r="C307" s="332"/>
      <c r="D307" s="1401"/>
      <c r="E307" s="1401"/>
      <c r="F307" s="332"/>
      <c r="G307" s="1401"/>
      <c r="H307" s="1401"/>
      <c r="I307" s="332"/>
      <c r="J307" s="338"/>
      <c r="K307" s="332"/>
      <c r="L307" s="339"/>
      <c r="M307" s="336" t="str">
        <f t="shared" si="6"/>
        <v/>
      </c>
      <c r="N307" s="337" t="str">
        <f t="shared" si="7"/>
        <v/>
      </c>
      <c r="O307" s="332"/>
      <c r="Q307" s="325"/>
    </row>
    <row r="308" spans="1:17" x14ac:dyDescent="0.25">
      <c r="A308" s="325"/>
      <c r="C308" s="332"/>
      <c r="D308" s="1401"/>
      <c r="E308" s="1401"/>
      <c r="F308" s="332"/>
      <c r="G308" s="1401"/>
      <c r="H308" s="1401"/>
      <c r="I308" s="332"/>
      <c r="J308" s="338"/>
      <c r="K308" s="332"/>
      <c r="L308" s="339"/>
      <c r="M308" s="336" t="str">
        <f t="shared" si="6"/>
        <v/>
      </c>
      <c r="N308" s="337" t="str">
        <f t="shared" si="7"/>
        <v/>
      </c>
      <c r="O308" s="332"/>
      <c r="Q308" s="325"/>
    </row>
    <row r="309" spans="1:17" x14ac:dyDescent="0.25">
      <c r="A309" s="325"/>
      <c r="C309" s="332"/>
      <c r="D309" s="1401"/>
      <c r="E309" s="1401"/>
      <c r="F309" s="332"/>
      <c r="G309" s="1401"/>
      <c r="H309" s="1401"/>
      <c r="I309" s="332"/>
      <c r="J309" s="338"/>
      <c r="K309" s="332"/>
      <c r="L309" s="339"/>
      <c r="M309" s="336" t="str">
        <f t="shared" si="6"/>
        <v/>
      </c>
      <c r="N309" s="337" t="str">
        <f t="shared" si="7"/>
        <v/>
      </c>
      <c r="O309" s="332"/>
      <c r="Q309" s="325"/>
    </row>
    <row r="310" spans="1:17" x14ac:dyDescent="0.25">
      <c r="A310" s="325"/>
      <c r="C310" s="332"/>
      <c r="D310" s="1401"/>
      <c r="E310" s="1401"/>
      <c r="F310" s="332"/>
      <c r="G310" s="1401"/>
      <c r="H310" s="1401"/>
      <c r="I310" s="332"/>
      <c r="J310" s="338"/>
      <c r="K310" s="332"/>
      <c r="L310" s="339"/>
      <c r="M310" s="336" t="str">
        <f t="shared" si="6"/>
        <v/>
      </c>
      <c r="N310" s="337" t="str">
        <f t="shared" si="7"/>
        <v/>
      </c>
      <c r="O310" s="332"/>
      <c r="Q310" s="325"/>
    </row>
    <row r="311" spans="1:17" x14ac:dyDescent="0.25">
      <c r="A311" s="325"/>
      <c r="C311" s="332"/>
      <c r="D311" s="1401"/>
      <c r="E311" s="1401"/>
      <c r="F311" s="332"/>
      <c r="G311" s="1401"/>
      <c r="H311" s="1401"/>
      <c r="I311" s="332"/>
      <c r="J311" s="338"/>
      <c r="K311" s="332"/>
      <c r="L311" s="339"/>
      <c r="M311" s="336" t="str">
        <f t="shared" si="6"/>
        <v/>
      </c>
      <c r="N311" s="337" t="str">
        <f t="shared" si="7"/>
        <v/>
      </c>
      <c r="O311" s="332"/>
      <c r="Q311" s="325"/>
    </row>
    <row r="312" spans="1:17" x14ac:dyDescent="0.25">
      <c r="A312" s="325"/>
      <c r="C312" s="332"/>
      <c r="D312" s="1401"/>
      <c r="E312" s="1401"/>
      <c r="F312" s="332"/>
      <c r="G312" s="1401"/>
      <c r="H312" s="1401"/>
      <c r="I312" s="332"/>
      <c r="J312" s="338"/>
      <c r="K312" s="332"/>
      <c r="L312" s="339"/>
      <c r="M312" s="336" t="str">
        <f t="shared" si="6"/>
        <v/>
      </c>
      <c r="N312" s="337" t="str">
        <f t="shared" si="7"/>
        <v/>
      </c>
      <c r="O312" s="332"/>
      <c r="Q312" s="325"/>
    </row>
    <row r="313" spans="1:17" x14ac:dyDescent="0.25">
      <c r="A313" s="325"/>
      <c r="C313" s="332"/>
      <c r="D313" s="1401"/>
      <c r="E313" s="1401"/>
      <c r="F313" s="332"/>
      <c r="G313" s="1401"/>
      <c r="H313" s="1401"/>
      <c r="I313" s="332"/>
      <c r="J313" s="338"/>
      <c r="K313" s="332"/>
      <c r="L313" s="339"/>
      <c r="M313" s="336" t="str">
        <f t="shared" si="6"/>
        <v/>
      </c>
      <c r="N313" s="337" t="str">
        <f t="shared" si="7"/>
        <v/>
      </c>
      <c r="O313" s="332"/>
      <c r="Q313" s="325"/>
    </row>
    <row r="314" spans="1:17" x14ac:dyDescent="0.25">
      <c r="A314" s="325"/>
      <c r="C314" s="332"/>
      <c r="D314" s="1401"/>
      <c r="E314" s="1401"/>
      <c r="F314" s="332"/>
      <c r="G314" s="1401"/>
      <c r="H314" s="1401"/>
      <c r="I314" s="332"/>
      <c r="J314" s="338"/>
      <c r="K314" s="332"/>
      <c r="L314" s="339"/>
      <c r="M314" s="336" t="str">
        <f t="shared" si="6"/>
        <v/>
      </c>
      <c r="N314" s="337" t="str">
        <f t="shared" si="7"/>
        <v/>
      </c>
      <c r="O314" s="332"/>
      <c r="Q314" s="325"/>
    </row>
    <row r="315" spans="1:17" x14ac:dyDescent="0.25">
      <c r="A315" s="325"/>
      <c r="C315" s="332"/>
      <c r="D315" s="1401"/>
      <c r="E315" s="1401"/>
      <c r="F315" s="332"/>
      <c r="G315" s="1401"/>
      <c r="H315" s="1401"/>
      <c r="I315" s="332"/>
      <c r="J315" s="338"/>
      <c r="K315" s="332"/>
      <c r="L315" s="339"/>
      <c r="M315" s="336" t="str">
        <f t="shared" si="6"/>
        <v/>
      </c>
      <c r="N315" s="337" t="str">
        <f t="shared" si="7"/>
        <v/>
      </c>
      <c r="O315" s="332"/>
      <c r="Q315" s="325"/>
    </row>
    <row r="316" spans="1:17" x14ac:dyDescent="0.25">
      <c r="A316" s="325"/>
      <c r="C316" s="332"/>
      <c r="D316" s="1401"/>
      <c r="E316" s="1401"/>
      <c r="F316" s="332"/>
      <c r="G316" s="1401"/>
      <c r="H316" s="1401"/>
      <c r="I316" s="332"/>
      <c r="J316" s="338"/>
      <c r="K316" s="332"/>
      <c r="L316" s="339"/>
      <c r="M316" s="336" t="str">
        <f t="shared" si="6"/>
        <v/>
      </c>
      <c r="N316" s="337" t="str">
        <f t="shared" si="7"/>
        <v/>
      </c>
      <c r="O316" s="332"/>
      <c r="Q316" s="325"/>
    </row>
    <row r="317" spans="1:17" x14ac:dyDescent="0.25">
      <c r="A317" s="325"/>
      <c r="C317" s="332"/>
      <c r="D317" s="1401"/>
      <c r="E317" s="1401"/>
      <c r="F317" s="332"/>
      <c r="G317" s="1401"/>
      <c r="H317" s="1401"/>
      <c r="I317" s="332"/>
      <c r="J317" s="338"/>
      <c r="K317" s="332"/>
      <c r="L317" s="339"/>
      <c r="M317" s="336" t="str">
        <f t="shared" si="6"/>
        <v/>
      </c>
      <c r="N317" s="337" t="str">
        <f t="shared" si="7"/>
        <v/>
      </c>
      <c r="O317" s="332"/>
      <c r="Q317" s="325"/>
    </row>
    <row r="318" spans="1:17" x14ac:dyDescent="0.25">
      <c r="A318" s="325"/>
      <c r="C318" s="332"/>
      <c r="D318" s="1401"/>
      <c r="E318" s="1401"/>
      <c r="F318" s="332"/>
      <c r="G318" s="1401"/>
      <c r="H318" s="1401"/>
      <c r="I318" s="332"/>
      <c r="J318" s="338"/>
      <c r="K318" s="332"/>
      <c r="L318" s="339"/>
      <c r="M318" s="336" t="str">
        <f t="shared" si="6"/>
        <v/>
      </c>
      <c r="N318" s="337" t="str">
        <f t="shared" si="7"/>
        <v/>
      </c>
      <c r="O318" s="332"/>
      <c r="Q318" s="325"/>
    </row>
    <row r="319" spans="1:17" x14ac:dyDescent="0.25">
      <c r="A319" s="325"/>
      <c r="C319" s="332"/>
      <c r="D319" s="1401"/>
      <c r="E319" s="1401"/>
      <c r="F319" s="332"/>
      <c r="G319" s="1401"/>
      <c r="H319" s="1401"/>
      <c r="I319" s="332"/>
      <c r="J319" s="338"/>
      <c r="K319" s="332"/>
      <c r="L319" s="339"/>
      <c r="M319" s="336" t="str">
        <f t="shared" si="6"/>
        <v/>
      </c>
      <c r="N319" s="337" t="str">
        <f t="shared" si="7"/>
        <v/>
      </c>
      <c r="O319" s="332"/>
      <c r="Q319" s="325"/>
    </row>
    <row r="320" spans="1:17" x14ac:dyDescent="0.25">
      <c r="A320" s="325"/>
      <c r="C320" s="332"/>
      <c r="D320" s="1401"/>
      <c r="E320" s="1401"/>
      <c r="F320" s="332"/>
      <c r="G320" s="1401"/>
      <c r="H320" s="1401"/>
      <c r="I320" s="332"/>
      <c r="J320" s="338"/>
      <c r="K320" s="332"/>
      <c r="L320" s="339"/>
      <c r="M320" s="336" t="str">
        <f t="shared" si="6"/>
        <v/>
      </c>
      <c r="N320" s="337" t="str">
        <f t="shared" si="7"/>
        <v/>
      </c>
      <c r="O320" s="332"/>
      <c r="Q320" s="325"/>
    </row>
    <row r="321" spans="1:17" x14ac:dyDescent="0.25">
      <c r="A321" s="325"/>
      <c r="C321" s="332"/>
      <c r="D321" s="1401"/>
      <c r="E321" s="1401"/>
      <c r="F321" s="332"/>
      <c r="G321" s="1401"/>
      <c r="H321" s="1401"/>
      <c r="I321" s="332"/>
      <c r="J321" s="338"/>
      <c r="K321" s="332"/>
      <c r="L321" s="339"/>
      <c r="M321" s="336" t="str">
        <f t="shared" si="6"/>
        <v/>
      </c>
      <c r="N321" s="337" t="str">
        <f t="shared" si="7"/>
        <v/>
      </c>
      <c r="O321" s="332"/>
      <c r="Q321" s="325"/>
    </row>
    <row r="322" spans="1:17" x14ac:dyDescent="0.25">
      <c r="A322" s="325"/>
      <c r="C322" s="332"/>
      <c r="D322" s="1401"/>
      <c r="E322" s="1401"/>
      <c r="F322" s="332"/>
      <c r="G322" s="1401"/>
      <c r="H322" s="1401"/>
      <c r="I322" s="332"/>
      <c r="J322" s="338"/>
      <c r="K322" s="332"/>
      <c r="L322" s="339"/>
      <c r="M322" s="336" t="str">
        <f t="shared" si="6"/>
        <v/>
      </c>
      <c r="N322" s="337" t="str">
        <f t="shared" si="7"/>
        <v/>
      </c>
      <c r="O322" s="332"/>
      <c r="Q322" s="325"/>
    </row>
    <row r="323" spans="1:17" x14ac:dyDescent="0.25">
      <c r="A323" s="325"/>
      <c r="C323" s="332"/>
      <c r="D323" s="1401"/>
      <c r="E323" s="1401"/>
      <c r="F323" s="332"/>
      <c r="G323" s="1401"/>
      <c r="H323" s="1401"/>
      <c r="I323" s="332"/>
      <c r="J323" s="338"/>
      <c r="K323" s="332"/>
      <c r="L323" s="339"/>
      <c r="M323" s="336" t="str">
        <f t="shared" ref="M323:M365" si="8">IF(K323="","", INDEX(CNTR_EFListSelected,MATCH(K323,CORSIA_FuelsList,0)))</f>
        <v/>
      </c>
      <c r="N323" s="337" t="str">
        <f t="shared" si="7"/>
        <v/>
      </c>
      <c r="O323" s="332"/>
      <c r="Q323" s="325"/>
    </row>
    <row r="324" spans="1:17" x14ac:dyDescent="0.25">
      <c r="A324" s="325"/>
      <c r="C324" s="332"/>
      <c r="D324" s="1401"/>
      <c r="E324" s="1401"/>
      <c r="F324" s="332"/>
      <c r="G324" s="1401"/>
      <c r="H324" s="1401"/>
      <c r="I324" s="332"/>
      <c r="J324" s="338"/>
      <c r="K324" s="332"/>
      <c r="L324" s="339"/>
      <c r="M324" s="336" t="str">
        <f t="shared" si="8"/>
        <v/>
      </c>
      <c r="N324" s="337" t="str">
        <f t="shared" ref="N324:N365" si="9">IF(COUNT(L324:M324)=2,L324*M324,"")</f>
        <v/>
      </c>
      <c r="O324" s="332"/>
      <c r="Q324" s="325"/>
    </row>
    <row r="325" spans="1:17" x14ac:dyDescent="0.25">
      <c r="A325" s="325"/>
      <c r="C325" s="332"/>
      <c r="D325" s="1401"/>
      <c r="E325" s="1401"/>
      <c r="F325" s="332"/>
      <c r="G325" s="1401"/>
      <c r="H325" s="1401"/>
      <c r="I325" s="332"/>
      <c r="J325" s="338"/>
      <c r="K325" s="332"/>
      <c r="L325" s="339"/>
      <c r="M325" s="336" t="str">
        <f t="shared" si="8"/>
        <v/>
      </c>
      <c r="N325" s="337" t="str">
        <f t="shared" si="9"/>
        <v/>
      </c>
      <c r="O325" s="332"/>
      <c r="Q325" s="325"/>
    </row>
    <row r="326" spans="1:17" x14ac:dyDescent="0.25">
      <c r="A326" s="325"/>
      <c r="C326" s="332"/>
      <c r="D326" s="1401"/>
      <c r="E326" s="1401"/>
      <c r="F326" s="332"/>
      <c r="G326" s="1401"/>
      <c r="H326" s="1401"/>
      <c r="I326" s="332"/>
      <c r="J326" s="338"/>
      <c r="K326" s="332"/>
      <c r="L326" s="339"/>
      <c r="M326" s="336" t="str">
        <f t="shared" si="8"/>
        <v/>
      </c>
      <c r="N326" s="337" t="str">
        <f t="shared" si="9"/>
        <v/>
      </c>
      <c r="O326" s="332"/>
      <c r="Q326" s="325"/>
    </row>
    <row r="327" spans="1:17" x14ac:dyDescent="0.25">
      <c r="A327" s="325"/>
      <c r="C327" s="332"/>
      <c r="D327" s="1401"/>
      <c r="E327" s="1401"/>
      <c r="F327" s="332"/>
      <c r="G327" s="1401"/>
      <c r="H327" s="1401"/>
      <c r="I327" s="332"/>
      <c r="J327" s="338"/>
      <c r="K327" s="332"/>
      <c r="L327" s="339"/>
      <c r="M327" s="336" t="str">
        <f t="shared" si="8"/>
        <v/>
      </c>
      <c r="N327" s="337" t="str">
        <f t="shared" si="9"/>
        <v/>
      </c>
      <c r="O327" s="332"/>
      <c r="Q327" s="325"/>
    </row>
    <row r="328" spans="1:17" x14ac:dyDescent="0.25">
      <c r="A328" s="325"/>
      <c r="C328" s="332"/>
      <c r="D328" s="1401"/>
      <c r="E328" s="1401"/>
      <c r="F328" s="332"/>
      <c r="G328" s="1401"/>
      <c r="H328" s="1401"/>
      <c r="I328" s="332"/>
      <c r="J328" s="338"/>
      <c r="K328" s="332"/>
      <c r="L328" s="339"/>
      <c r="M328" s="336" t="str">
        <f t="shared" si="8"/>
        <v/>
      </c>
      <c r="N328" s="337" t="str">
        <f t="shared" si="9"/>
        <v/>
      </c>
      <c r="O328" s="332"/>
      <c r="Q328" s="325"/>
    </row>
    <row r="329" spans="1:17" x14ac:dyDescent="0.25">
      <c r="A329" s="325"/>
      <c r="C329" s="332"/>
      <c r="D329" s="1401"/>
      <c r="E329" s="1401"/>
      <c r="F329" s="332"/>
      <c r="G329" s="1401"/>
      <c r="H329" s="1401"/>
      <c r="I329" s="332"/>
      <c r="J329" s="338"/>
      <c r="K329" s="332"/>
      <c r="L329" s="339"/>
      <c r="M329" s="336" t="str">
        <f t="shared" si="8"/>
        <v/>
      </c>
      <c r="N329" s="337" t="str">
        <f t="shared" si="9"/>
        <v/>
      </c>
      <c r="O329" s="332"/>
      <c r="Q329" s="325"/>
    </row>
    <row r="330" spans="1:17" x14ac:dyDescent="0.25">
      <c r="A330" s="325"/>
      <c r="C330" s="332"/>
      <c r="D330" s="1401"/>
      <c r="E330" s="1401"/>
      <c r="F330" s="332"/>
      <c r="G330" s="1401"/>
      <c r="H330" s="1401"/>
      <c r="I330" s="332"/>
      <c r="J330" s="338"/>
      <c r="K330" s="332"/>
      <c r="L330" s="339"/>
      <c r="M330" s="336" t="str">
        <f t="shared" si="8"/>
        <v/>
      </c>
      <c r="N330" s="337" t="str">
        <f t="shared" si="9"/>
        <v/>
      </c>
      <c r="O330" s="332"/>
      <c r="Q330" s="325"/>
    </row>
    <row r="331" spans="1:17" x14ac:dyDescent="0.25">
      <c r="A331" s="325"/>
      <c r="C331" s="332"/>
      <c r="D331" s="1401"/>
      <c r="E331" s="1401"/>
      <c r="F331" s="332"/>
      <c r="G331" s="1401"/>
      <c r="H331" s="1401"/>
      <c r="I331" s="332"/>
      <c r="J331" s="338"/>
      <c r="K331" s="332"/>
      <c r="L331" s="339"/>
      <c r="M331" s="336" t="str">
        <f t="shared" si="8"/>
        <v/>
      </c>
      <c r="N331" s="337" t="str">
        <f t="shared" si="9"/>
        <v/>
      </c>
      <c r="O331" s="332"/>
      <c r="Q331" s="325"/>
    </row>
    <row r="332" spans="1:17" x14ac:dyDescent="0.25">
      <c r="A332" s="325"/>
      <c r="C332" s="332"/>
      <c r="D332" s="1401"/>
      <c r="E332" s="1401"/>
      <c r="F332" s="332"/>
      <c r="G332" s="1401"/>
      <c r="H332" s="1401"/>
      <c r="I332" s="332"/>
      <c r="J332" s="338"/>
      <c r="K332" s="332"/>
      <c r="L332" s="339"/>
      <c r="M332" s="336" t="str">
        <f t="shared" si="8"/>
        <v/>
      </c>
      <c r="N332" s="337" t="str">
        <f t="shared" si="9"/>
        <v/>
      </c>
      <c r="O332" s="332"/>
      <c r="Q332" s="325"/>
    </row>
    <row r="333" spans="1:17" x14ac:dyDescent="0.25">
      <c r="A333" s="325"/>
      <c r="C333" s="332"/>
      <c r="D333" s="1401"/>
      <c r="E333" s="1401"/>
      <c r="F333" s="332"/>
      <c r="G333" s="1401"/>
      <c r="H333" s="1401"/>
      <c r="I333" s="332"/>
      <c r="J333" s="338"/>
      <c r="K333" s="332"/>
      <c r="L333" s="339"/>
      <c r="M333" s="336" t="str">
        <f t="shared" si="8"/>
        <v/>
      </c>
      <c r="N333" s="337" t="str">
        <f t="shared" si="9"/>
        <v/>
      </c>
      <c r="O333" s="332"/>
      <c r="Q333" s="325"/>
    </row>
    <row r="334" spans="1:17" x14ac:dyDescent="0.25">
      <c r="A334" s="325"/>
      <c r="C334" s="332"/>
      <c r="D334" s="1401"/>
      <c r="E334" s="1401"/>
      <c r="F334" s="332"/>
      <c r="G334" s="1401"/>
      <c r="H334" s="1401"/>
      <c r="I334" s="332"/>
      <c r="J334" s="338"/>
      <c r="K334" s="332"/>
      <c r="L334" s="339"/>
      <c r="M334" s="336" t="str">
        <f t="shared" si="8"/>
        <v/>
      </c>
      <c r="N334" s="337" t="str">
        <f t="shared" si="9"/>
        <v/>
      </c>
      <c r="O334" s="332"/>
      <c r="Q334" s="325"/>
    </row>
    <row r="335" spans="1:17" x14ac:dyDescent="0.25">
      <c r="A335" s="325"/>
      <c r="C335" s="332"/>
      <c r="D335" s="1401"/>
      <c r="E335" s="1401"/>
      <c r="F335" s="332"/>
      <c r="G335" s="1401"/>
      <c r="H335" s="1401"/>
      <c r="I335" s="332"/>
      <c r="J335" s="338"/>
      <c r="K335" s="332"/>
      <c r="L335" s="339"/>
      <c r="M335" s="336" t="str">
        <f t="shared" si="8"/>
        <v/>
      </c>
      <c r="N335" s="337" t="str">
        <f t="shared" si="9"/>
        <v/>
      </c>
      <c r="O335" s="332"/>
      <c r="Q335" s="325"/>
    </row>
    <row r="336" spans="1:17" x14ac:dyDescent="0.25">
      <c r="A336" s="325"/>
      <c r="C336" s="332"/>
      <c r="D336" s="1401"/>
      <c r="E336" s="1401"/>
      <c r="F336" s="332"/>
      <c r="G336" s="1401"/>
      <c r="H336" s="1401"/>
      <c r="I336" s="332"/>
      <c r="J336" s="338"/>
      <c r="K336" s="332"/>
      <c r="L336" s="339"/>
      <c r="M336" s="336" t="str">
        <f t="shared" si="8"/>
        <v/>
      </c>
      <c r="N336" s="337" t="str">
        <f t="shared" si="9"/>
        <v/>
      </c>
      <c r="O336" s="332"/>
      <c r="Q336" s="325"/>
    </row>
    <row r="337" spans="1:17" x14ac:dyDescent="0.25">
      <c r="A337" s="325"/>
      <c r="C337" s="332"/>
      <c r="D337" s="1401"/>
      <c r="E337" s="1401"/>
      <c r="F337" s="332"/>
      <c r="G337" s="1401"/>
      <c r="H337" s="1401"/>
      <c r="I337" s="332"/>
      <c r="J337" s="338"/>
      <c r="K337" s="332"/>
      <c r="L337" s="339"/>
      <c r="M337" s="336" t="str">
        <f t="shared" si="8"/>
        <v/>
      </c>
      <c r="N337" s="337" t="str">
        <f t="shared" si="9"/>
        <v/>
      </c>
      <c r="O337" s="332"/>
      <c r="Q337" s="325"/>
    </row>
    <row r="338" spans="1:17" x14ac:dyDescent="0.25">
      <c r="A338" s="325"/>
      <c r="C338" s="332"/>
      <c r="D338" s="1401"/>
      <c r="E338" s="1401"/>
      <c r="F338" s="332"/>
      <c r="G338" s="1401"/>
      <c r="H338" s="1401"/>
      <c r="I338" s="332"/>
      <c r="J338" s="338"/>
      <c r="K338" s="332"/>
      <c r="L338" s="339"/>
      <c r="M338" s="336" t="str">
        <f t="shared" si="8"/>
        <v/>
      </c>
      <c r="N338" s="337" t="str">
        <f t="shared" si="9"/>
        <v/>
      </c>
      <c r="O338" s="332"/>
      <c r="Q338" s="325"/>
    </row>
    <row r="339" spans="1:17" x14ac:dyDescent="0.25">
      <c r="A339" s="325"/>
      <c r="C339" s="332"/>
      <c r="D339" s="1401"/>
      <c r="E339" s="1401"/>
      <c r="F339" s="332"/>
      <c r="G339" s="1401"/>
      <c r="H339" s="1401"/>
      <c r="I339" s="332"/>
      <c r="J339" s="338"/>
      <c r="K339" s="332"/>
      <c r="L339" s="339"/>
      <c r="M339" s="336" t="str">
        <f t="shared" si="8"/>
        <v/>
      </c>
      <c r="N339" s="337" t="str">
        <f t="shared" si="9"/>
        <v/>
      </c>
      <c r="O339" s="332"/>
      <c r="Q339" s="325"/>
    </row>
    <row r="340" spans="1:17" x14ac:dyDescent="0.25">
      <c r="A340" s="325"/>
      <c r="C340" s="332"/>
      <c r="D340" s="1401"/>
      <c r="E340" s="1401"/>
      <c r="F340" s="332"/>
      <c r="G340" s="1401"/>
      <c r="H340" s="1401"/>
      <c r="I340" s="332"/>
      <c r="J340" s="338"/>
      <c r="K340" s="332"/>
      <c r="L340" s="339"/>
      <c r="M340" s="336" t="str">
        <f t="shared" si="8"/>
        <v/>
      </c>
      <c r="N340" s="337" t="str">
        <f t="shared" si="9"/>
        <v/>
      </c>
      <c r="O340" s="332"/>
      <c r="Q340" s="325"/>
    </row>
    <row r="341" spans="1:17" x14ac:dyDescent="0.25">
      <c r="A341" s="325"/>
      <c r="C341" s="332"/>
      <c r="D341" s="1401"/>
      <c r="E341" s="1401"/>
      <c r="F341" s="332"/>
      <c r="G341" s="1401"/>
      <c r="H341" s="1401"/>
      <c r="I341" s="332"/>
      <c r="J341" s="338"/>
      <c r="K341" s="332"/>
      <c r="L341" s="339"/>
      <c r="M341" s="336" t="str">
        <f t="shared" si="8"/>
        <v/>
      </c>
      <c r="N341" s="337" t="str">
        <f t="shared" si="9"/>
        <v/>
      </c>
      <c r="O341" s="332"/>
      <c r="Q341" s="325"/>
    </row>
    <row r="342" spans="1:17" x14ac:dyDescent="0.25">
      <c r="A342" s="325"/>
      <c r="C342" s="332"/>
      <c r="D342" s="1401"/>
      <c r="E342" s="1401"/>
      <c r="F342" s="332"/>
      <c r="G342" s="1401"/>
      <c r="H342" s="1401"/>
      <c r="I342" s="332"/>
      <c r="J342" s="338"/>
      <c r="K342" s="332"/>
      <c r="L342" s="339"/>
      <c r="M342" s="336" t="str">
        <f t="shared" si="8"/>
        <v/>
      </c>
      <c r="N342" s="337" t="str">
        <f t="shared" si="9"/>
        <v/>
      </c>
      <c r="O342" s="332"/>
      <c r="Q342" s="325"/>
    </row>
    <row r="343" spans="1:17" x14ac:dyDescent="0.25">
      <c r="A343" s="325"/>
      <c r="C343" s="332"/>
      <c r="D343" s="1401"/>
      <c r="E343" s="1401"/>
      <c r="F343" s="332"/>
      <c r="G343" s="1401"/>
      <c r="H343" s="1401"/>
      <c r="I343" s="332"/>
      <c r="J343" s="338"/>
      <c r="K343" s="332"/>
      <c r="L343" s="339"/>
      <c r="M343" s="336" t="str">
        <f t="shared" si="8"/>
        <v/>
      </c>
      <c r="N343" s="337" t="str">
        <f t="shared" si="9"/>
        <v/>
      </c>
      <c r="O343" s="332"/>
      <c r="Q343" s="325"/>
    </row>
    <row r="344" spans="1:17" x14ac:dyDescent="0.25">
      <c r="A344" s="325"/>
      <c r="C344" s="332"/>
      <c r="D344" s="1401"/>
      <c r="E344" s="1401"/>
      <c r="F344" s="332"/>
      <c r="G344" s="1401"/>
      <c r="H344" s="1401"/>
      <c r="I344" s="332"/>
      <c r="J344" s="338"/>
      <c r="K344" s="332"/>
      <c r="L344" s="339"/>
      <c r="M344" s="336" t="str">
        <f t="shared" si="8"/>
        <v/>
      </c>
      <c r="N344" s="337" t="str">
        <f t="shared" si="9"/>
        <v/>
      </c>
      <c r="O344" s="332"/>
      <c r="Q344" s="325"/>
    </row>
    <row r="345" spans="1:17" x14ac:dyDescent="0.25">
      <c r="A345" s="325"/>
      <c r="C345" s="332"/>
      <c r="D345" s="1401"/>
      <c r="E345" s="1401"/>
      <c r="F345" s="332"/>
      <c r="G345" s="1401"/>
      <c r="H345" s="1401"/>
      <c r="I345" s="332"/>
      <c r="J345" s="338"/>
      <c r="K345" s="332"/>
      <c r="L345" s="339"/>
      <c r="M345" s="336" t="str">
        <f t="shared" si="8"/>
        <v/>
      </c>
      <c r="N345" s="337" t="str">
        <f t="shared" si="9"/>
        <v/>
      </c>
      <c r="O345" s="332"/>
      <c r="Q345" s="325"/>
    </row>
    <row r="346" spans="1:17" x14ac:dyDescent="0.25">
      <c r="A346" s="325"/>
      <c r="C346" s="332"/>
      <c r="D346" s="1401"/>
      <c r="E346" s="1401"/>
      <c r="F346" s="332"/>
      <c r="G346" s="1401"/>
      <c r="H346" s="1401"/>
      <c r="I346" s="332"/>
      <c r="J346" s="338"/>
      <c r="K346" s="332"/>
      <c r="L346" s="339"/>
      <c r="M346" s="336" t="str">
        <f t="shared" si="8"/>
        <v/>
      </c>
      <c r="N346" s="337" t="str">
        <f t="shared" si="9"/>
        <v/>
      </c>
      <c r="O346" s="332"/>
      <c r="Q346" s="325"/>
    </row>
    <row r="347" spans="1:17" x14ac:dyDescent="0.25">
      <c r="A347" s="325"/>
      <c r="C347" s="332"/>
      <c r="D347" s="1401"/>
      <c r="E347" s="1401"/>
      <c r="F347" s="332"/>
      <c r="G347" s="1401"/>
      <c r="H347" s="1401"/>
      <c r="I347" s="332"/>
      <c r="J347" s="338"/>
      <c r="K347" s="332"/>
      <c r="L347" s="339"/>
      <c r="M347" s="336" t="str">
        <f t="shared" si="8"/>
        <v/>
      </c>
      <c r="N347" s="337" t="str">
        <f t="shared" si="9"/>
        <v/>
      </c>
      <c r="O347" s="332"/>
      <c r="Q347" s="325"/>
    </row>
    <row r="348" spans="1:17" x14ac:dyDescent="0.25">
      <c r="A348" s="325"/>
      <c r="C348" s="332"/>
      <c r="D348" s="1401"/>
      <c r="E348" s="1401"/>
      <c r="F348" s="332"/>
      <c r="G348" s="1401"/>
      <c r="H348" s="1401"/>
      <c r="I348" s="332"/>
      <c r="J348" s="338"/>
      <c r="K348" s="332"/>
      <c r="L348" s="339"/>
      <c r="M348" s="336" t="str">
        <f t="shared" si="8"/>
        <v/>
      </c>
      <c r="N348" s="337" t="str">
        <f t="shared" si="9"/>
        <v/>
      </c>
      <c r="O348" s="332"/>
      <c r="Q348" s="325"/>
    </row>
    <row r="349" spans="1:17" x14ac:dyDescent="0.25">
      <c r="A349" s="325"/>
      <c r="C349" s="332"/>
      <c r="D349" s="1401"/>
      <c r="E349" s="1401"/>
      <c r="F349" s="332"/>
      <c r="G349" s="1401"/>
      <c r="H349" s="1401"/>
      <c r="I349" s="332"/>
      <c r="J349" s="338"/>
      <c r="K349" s="332"/>
      <c r="L349" s="339"/>
      <c r="M349" s="336" t="str">
        <f t="shared" si="8"/>
        <v/>
      </c>
      <c r="N349" s="337" t="str">
        <f t="shared" si="9"/>
        <v/>
      </c>
      <c r="O349" s="332"/>
      <c r="Q349" s="325"/>
    </row>
    <row r="350" spans="1:17" x14ac:dyDescent="0.25">
      <c r="A350" s="325"/>
      <c r="C350" s="332"/>
      <c r="D350" s="1401"/>
      <c r="E350" s="1401"/>
      <c r="F350" s="332"/>
      <c r="G350" s="1401"/>
      <c r="H350" s="1401"/>
      <c r="I350" s="332"/>
      <c r="J350" s="338"/>
      <c r="K350" s="332"/>
      <c r="L350" s="339"/>
      <c r="M350" s="336" t="str">
        <f t="shared" si="8"/>
        <v/>
      </c>
      <c r="N350" s="337" t="str">
        <f t="shared" si="9"/>
        <v/>
      </c>
      <c r="O350" s="332"/>
      <c r="Q350" s="325"/>
    </row>
    <row r="351" spans="1:17" x14ac:dyDescent="0.25">
      <c r="A351" s="325"/>
      <c r="C351" s="332"/>
      <c r="D351" s="1401"/>
      <c r="E351" s="1401"/>
      <c r="F351" s="332"/>
      <c r="G351" s="1401"/>
      <c r="H351" s="1401"/>
      <c r="I351" s="332"/>
      <c r="J351" s="338"/>
      <c r="K351" s="332"/>
      <c r="L351" s="339"/>
      <c r="M351" s="336" t="str">
        <f t="shared" si="8"/>
        <v/>
      </c>
      <c r="N351" s="337" t="str">
        <f t="shared" si="9"/>
        <v/>
      </c>
      <c r="O351" s="332"/>
      <c r="Q351" s="325"/>
    </row>
    <row r="352" spans="1:17" x14ac:dyDescent="0.25">
      <c r="A352" s="325"/>
      <c r="C352" s="332"/>
      <c r="D352" s="1401"/>
      <c r="E352" s="1401"/>
      <c r="F352" s="332"/>
      <c r="G352" s="1401"/>
      <c r="H352" s="1401"/>
      <c r="I352" s="332"/>
      <c r="J352" s="338"/>
      <c r="K352" s="332"/>
      <c r="L352" s="339"/>
      <c r="M352" s="336" t="str">
        <f t="shared" si="8"/>
        <v/>
      </c>
      <c r="N352" s="337" t="str">
        <f t="shared" si="9"/>
        <v/>
      </c>
      <c r="O352" s="332"/>
      <c r="Q352" s="325"/>
    </row>
    <row r="353" spans="1:17" x14ac:dyDescent="0.25">
      <c r="A353" s="325"/>
      <c r="C353" s="332"/>
      <c r="D353" s="1401"/>
      <c r="E353" s="1401"/>
      <c r="F353" s="332"/>
      <c r="G353" s="1401"/>
      <c r="H353" s="1401"/>
      <c r="I353" s="332"/>
      <c r="J353" s="338"/>
      <c r="K353" s="332"/>
      <c r="L353" s="339"/>
      <c r="M353" s="336" t="str">
        <f t="shared" si="8"/>
        <v/>
      </c>
      <c r="N353" s="337" t="str">
        <f t="shared" si="9"/>
        <v/>
      </c>
      <c r="O353" s="332"/>
      <c r="Q353" s="325"/>
    </row>
    <row r="354" spans="1:17" x14ac:dyDescent="0.25">
      <c r="A354" s="325"/>
      <c r="C354" s="332"/>
      <c r="D354" s="1401"/>
      <c r="E354" s="1401"/>
      <c r="F354" s="332"/>
      <c r="G354" s="1401"/>
      <c r="H354" s="1401"/>
      <c r="I354" s="332"/>
      <c r="J354" s="338"/>
      <c r="K354" s="332"/>
      <c r="L354" s="339"/>
      <c r="M354" s="336" t="str">
        <f t="shared" si="8"/>
        <v/>
      </c>
      <c r="N354" s="337" t="str">
        <f t="shared" si="9"/>
        <v/>
      </c>
      <c r="O354" s="332"/>
      <c r="Q354" s="325"/>
    </row>
    <row r="355" spans="1:17" x14ac:dyDescent="0.25">
      <c r="A355" s="325"/>
      <c r="C355" s="332"/>
      <c r="D355" s="1401"/>
      <c r="E355" s="1401"/>
      <c r="F355" s="332"/>
      <c r="G355" s="1401"/>
      <c r="H355" s="1401"/>
      <c r="I355" s="332"/>
      <c r="J355" s="338"/>
      <c r="K355" s="332"/>
      <c r="L355" s="339"/>
      <c r="M355" s="336" t="str">
        <f t="shared" si="8"/>
        <v/>
      </c>
      <c r="N355" s="337" t="str">
        <f t="shared" si="9"/>
        <v/>
      </c>
      <c r="O355" s="332"/>
      <c r="Q355" s="325"/>
    </row>
    <row r="356" spans="1:17" x14ac:dyDescent="0.25">
      <c r="A356" s="325"/>
      <c r="C356" s="332"/>
      <c r="D356" s="1401"/>
      <c r="E356" s="1401"/>
      <c r="F356" s="332"/>
      <c r="G356" s="1401"/>
      <c r="H356" s="1401"/>
      <c r="I356" s="332"/>
      <c r="J356" s="338"/>
      <c r="K356" s="332"/>
      <c r="L356" s="339"/>
      <c r="M356" s="336" t="str">
        <f t="shared" si="8"/>
        <v/>
      </c>
      <c r="N356" s="337" t="str">
        <f t="shared" si="9"/>
        <v/>
      </c>
      <c r="O356" s="332"/>
      <c r="Q356" s="325"/>
    </row>
    <row r="357" spans="1:17" x14ac:dyDescent="0.25">
      <c r="A357" s="325"/>
      <c r="C357" s="332"/>
      <c r="D357" s="1401"/>
      <c r="E357" s="1401"/>
      <c r="F357" s="332"/>
      <c r="G357" s="1401"/>
      <c r="H357" s="1401"/>
      <c r="I357" s="332"/>
      <c r="J357" s="338"/>
      <c r="K357" s="332"/>
      <c r="L357" s="339"/>
      <c r="M357" s="336" t="str">
        <f t="shared" si="8"/>
        <v/>
      </c>
      <c r="N357" s="337" t="str">
        <f t="shared" si="9"/>
        <v/>
      </c>
      <c r="O357" s="332"/>
      <c r="Q357" s="325"/>
    </row>
    <row r="358" spans="1:17" x14ac:dyDescent="0.25">
      <c r="A358" s="325"/>
      <c r="C358" s="332"/>
      <c r="D358" s="1401"/>
      <c r="E358" s="1401"/>
      <c r="F358" s="332"/>
      <c r="G358" s="1401"/>
      <c r="H358" s="1401"/>
      <c r="I358" s="332"/>
      <c r="J358" s="338"/>
      <c r="K358" s="332"/>
      <c r="L358" s="339"/>
      <c r="M358" s="336" t="str">
        <f t="shared" si="8"/>
        <v/>
      </c>
      <c r="N358" s="337" t="str">
        <f t="shared" si="9"/>
        <v/>
      </c>
      <c r="O358" s="332"/>
      <c r="Q358" s="325"/>
    </row>
    <row r="359" spans="1:17" x14ac:dyDescent="0.25">
      <c r="A359" s="325"/>
      <c r="C359" s="332"/>
      <c r="D359" s="1401"/>
      <c r="E359" s="1401"/>
      <c r="F359" s="332"/>
      <c r="G359" s="1401"/>
      <c r="H359" s="1401"/>
      <c r="I359" s="332"/>
      <c r="J359" s="338"/>
      <c r="K359" s="332"/>
      <c r="L359" s="339"/>
      <c r="M359" s="336" t="str">
        <f t="shared" si="8"/>
        <v/>
      </c>
      <c r="N359" s="337" t="str">
        <f t="shared" si="9"/>
        <v/>
      </c>
      <c r="O359" s="332"/>
      <c r="Q359" s="325"/>
    </row>
    <row r="360" spans="1:17" x14ac:dyDescent="0.25">
      <c r="A360" s="325"/>
      <c r="C360" s="332"/>
      <c r="D360" s="1401"/>
      <c r="E360" s="1401"/>
      <c r="F360" s="332"/>
      <c r="G360" s="1401"/>
      <c r="H360" s="1401"/>
      <c r="I360" s="332"/>
      <c r="J360" s="338"/>
      <c r="K360" s="332"/>
      <c r="L360" s="339"/>
      <c r="M360" s="336" t="str">
        <f t="shared" si="8"/>
        <v/>
      </c>
      <c r="N360" s="337" t="str">
        <f t="shared" si="9"/>
        <v/>
      </c>
      <c r="O360" s="332"/>
      <c r="Q360" s="325"/>
    </row>
    <row r="361" spans="1:17" x14ac:dyDescent="0.25">
      <c r="A361" s="325"/>
      <c r="C361" s="332"/>
      <c r="D361" s="1401"/>
      <c r="E361" s="1401"/>
      <c r="F361" s="332"/>
      <c r="G361" s="1401"/>
      <c r="H361" s="1401"/>
      <c r="I361" s="332"/>
      <c r="J361" s="338"/>
      <c r="K361" s="332"/>
      <c r="L361" s="339"/>
      <c r="M361" s="336" t="str">
        <f t="shared" si="8"/>
        <v/>
      </c>
      <c r="N361" s="337" t="str">
        <f t="shared" si="9"/>
        <v/>
      </c>
      <c r="O361" s="332"/>
      <c r="Q361" s="325"/>
    </row>
    <row r="362" spans="1:17" x14ac:dyDescent="0.25">
      <c r="A362" s="325"/>
      <c r="C362" s="332"/>
      <c r="D362" s="1401"/>
      <c r="E362" s="1401"/>
      <c r="F362" s="332"/>
      <c r="G362" s="1401"/>
      <c r="H362" s="1401"/>
      <c r="I362" s="332"/>
      <c r="J362" s="338"/>
      <c r="K362" s="332"/>
      <c r="L362" s="339"/>
      <c r="M362" s="336" t="str">
        <f t="shared" si="8"/>
        <v/>
      </c>
      <c r="N362" s="337" t="str">
        <f t="shared" si="9"/>
        <v/>
      </c>
      <c r="O362" s="332"/>
      <c r="Q362" s="325"/>
    </row>
    <row r="363" spans="1:17" x14ac:dyDescent="0.25">
      <c r="A363" s="325"/>
      <c r="C363" s="332"/>
      <c r="D363" s="1401"/>
      <c r="E363" s="1401"/>
      <c r="F363" s="332"/>
      <c r="G363" s="1401"/>
      <c r="H363" s="1401"/>
      <c r="I363" s="332"/>
      <c r="J363" s="338"/>
      <c r="K363" s="332"/>
      <c r="L363" s="339"/>
      <c r="M363" s="336" t="str">
        <f t="shared" si="8"/>
        <v/>
      </c>
      <c r="N363" s="337" t="str">
        <f t="shared" si="9"/>
        <v/>
      </c>
      <c r="O363" s="332"/>
      <c r="Q363" s="325"/>
    </row>
    <row r="364" spans="1:17" x14ac:dyDescent="0.25">
      <c r="A364" s="325"/>
      <c r="C364" s="332"/>
      <c r="D364" s="1401"/>
      <c r="E364" s="1401"/>
      <c r="F364" s="332"/>
      <c r="G364" s="1401"/>
      <c r="H364" s="1401"/>
      <c r="I364" s="332"/>
      <c r="J364" s="338"/>
      <c r="K364" s="332"/>
      <c r="L364" s="339"/>
      <c r="M364" s="336" t="str">
        <f t="shared" si="8"/>
        <v/>
      </c>
      <c r="N364" s="337" t="str">
        <f t="shared" si="9"/>
        <v/>
      </c>
      <c r="O364" s="332"/>
      <c r="Q364" s="325"/>
    </row>
    <row r="365" spans="1:17" x14ac:dyDescent="0.25">
      <c r="A365" s="325"/>
      <c r="C365" s="332"/>
      <c r="D365" s="1401"/>
      <c r="E365" s="1401"/>
      <c r="F365" s="332"/>
      <c r="G365" s="1401"/>
      <c r="H365" s="1401"/>
      <c r="I365" s="332"/>
      <c r="J365" s="338"/>
      <c r="K365" s="332"/>
      <c r="L365" s="339"/>
      <c r="M365" s="336" t="str">
        <f t="shared" si="8"/>
        <v/>
      </c>
      <c r="N365" s="337" t="str">
        <f t="shared" si="9"/>
        <v/>
      </c>
      <c r="O365" s="332"/>
      <c r="Q365" s="325"/>
    </row>
    <row r="366" spans="1:17" x14ac:dyDescent="0.25">
      <c r="A366" s="325"/>
      <c r="C366" s="374" t="s">
        <v>73</v>
      </c>
      <c r="D366" s="1402" t="s">
        <v>73</v>
      </c>
      <c r="E366" s="1402"/>
      <c r="F366" s="374" t="s">
        <v>73</v>
      </c>
      <c r="G366" s="1402" t="s">
        <v>73</v>
      </c>
      <c r="H366" s="1402"/>
      <c r="I366" s="374" t="s">
        <v>73</v>
      </c>
      <c r="J366" s="374" t="s">
        <v>73</v>
      </c>
      <c r="K366" s="374" t="s">
        <v>73</v>
      </c>
      <c r="L366" s="374" t="s">
        <v>73</v>
      </c>
      <c r="M366" s="374" t="s">
        <v>73</v>
      </c>
      <c r="N366" s="374" t="s">
        <v>73</v>
      </c>
      <c r="O366" s="374" t="s">
        <v>73</v>
      </c>
      <c r="Q366" s="325"/>
    </row>
    <row r="367" spans="1:17" x14ac:dyDescent="0.25">
      <c r="A367" s="325"/>
      <c r="Q367" s="325"/>
    </row>
    <row r="368" spans="1:17" ht="25.5" customHeight="1" x14ac:dyDescent="0.25">
      <c r="A368" s="325"/>
      <c r="C368" s="1302" t="str">
        <f>Translations!$B$1156</f>
        <v>Please continue by adding further rows as needed (above the "end" markers). This must be done by copying an empty row and inserting it thereafter. A simple "insert row" command will NOT be sufficent.</v>
      </c>
      <c r="D368" s="1302"/>
      <c r="E368" s="1302"/>
      <c r="F368" s="1302"/>
      <c r="G368" s="1302"/>
      <c r="H368" s="1302"/>
      <c r="I368" s="1302"/>
      <c r="J368" s="1302"/>
      <c r="K368" s="1302"/>
      <c r="L368" s="1302"/>
      <c r="M368" s="1302"/>
      <c r="N368" s="1302"/>
      <c r="O368" s="1302"/>
      <c r="Q368" s="325"/>
    </row>
    <row r="369" spans="1:17" x14ac:dyDescent="0.25">
      <c r="A369" s="325"/>
      <c r="Q369" s="325"/>
    </row>
    <row r="370" spans="1:17" x14ac:dyDescent="0.25">
      <c r="A370" s="325"/>
      <c r="B370" s="325"/>
      <c r="C370" s="325"/>
      <c r="D370" s="325"/>
      <c r="E370" s="325"/>
      <c r="F370" s="325"/>
      <c r="G370" s="325"/>
      <c r="H370" s="325"/>
      <c r="I370" s="325"/>
      <c r="J370" s="325"/>
      <c r="K370" s="325"/>
      <c r="L370" s="325"/>
      <c r="M370" s="325"/>
      <c r="N370" s="325"/>
      <c r="O370" s="325"/>
      <c r="P370" s="325"/>
      <c r="Q370" s="325"/>
    </row>
  </sheetData>
  <sheetProtection sheet="1" objects="1" scenarios="1" formatCells="0" formatColumns="0" formatRows="0" insertColumns="0" insertRows="0"/>
  <mergeCells count="689">
    <mergeCell ref="C42:O42"/>
    <mergeCell ref="C43:O43"/>
    <mergeCell ref="C44:O44"/>
    <mergeCell ref="C45:O45"/>
    <mergeCell ref="C46:O46"/>
    <mergeCell ref="C49:M49"/>
    <mergeCell ref="C52:O52"/>
    <mergeCell ref="C53:O53"/>
    <mergeCell ref="C54:O54"/>
    <mergeCell ref="C55:O55"/>
    <mergeCell ref="C56:O56"/>
    <mergeCell ref="C57:O57"/>
    <mergeCell ref="C58:O58"/>
    <mergeCell ref="C59:O59"/>
    <mergeCell ref="K60:N60"/>
    <mergeCell ref="C51:I51"/>
    <mergeCell ref="D362:E362"/>
    <mergeCell ref="G362:H362"/>
    <mergeCell ref="D352:E352"/>
    <mergeCell ref="G352:H352"/>
    <mergeCell ref="D353:E353"/>
    <mergeCell ref="G353:H353"/>
    <mergeCell ref="D354:E354"/>
    <mergeCell ref="G354:H354"/>
    <mergeCell ref="D355:E355"/>
    <mergeCell ref="G355:H355"/>
    <mergeCell ref="D356:E356"/>
    <mergeCell ref="G356:H356"/>
    <mergeCell ref="D347:E347"/>
    <mergeCell ref="G347:H347"/>
    <mergeCell ref="D348:E348"/>
    <mergeCell ref="G348:H348"/>
    <mergeCell ref="D349:E349"/>
    <mergeCell ref="D363:E363"/>
    <mergeCell ref="G363:H363"/>
    <mergeCell ref="D364:E364"/>
    <mergeCell ref="G364:H364"/>
    <mergeCell ref="D365:E365"/>
    <mergeCell ref="G365:H365"/>
    <mergeCell ref="D366:E366"/>
    <mergeCell ref="G366:H366"/>
    <mergeCell ref="D357:E357"/>
    <mergeCell ref="G357:H357"/>
    <mergeCell ref="D358:E358"/>
    <mergeCell ref="G358:H358"/>
    <mergeCell ref="D359:E359"/>
    <mergeCell ref="G359:H359"/>
    <mergeCell ref="D360:E360"/>
    <mergeCell ref="G360:H360"/>
    <mergeCell ref="D361:E361"/>
    <mergeCell ref="G361:H361"/>
    <mergeCell ref="G349:H349"/>
    <mergeCell ref="D350:E350"/>
    <mergeCell ref="G350:H350"/>
    <mergeCell ref="D351:E351"/>
    <mergeCell ref="G351:H351"/>
    <mergeCell ref="D342:E342"/>
    <mergeCell ref="G342:H342"/>
    <mergeCell ref="D343:E343"/>
    <mergeCell ref="G343:H343"/>
    <mergeCell ref="D344:E344"/>
    <mergeCell ref="G344:H344"/>
    <mergeCell ref="D345:E345"/>
    <mergeCell ref="G345:H345"/>
    <mergeCell ref="D346:E346"/>
    <mergeCell ref="G346:H346"/>
    <mergeCell ref="D337:E337"/>
    <mergeCell ref="G337:H337"/>
    <mergeCell ref="D338:E338"/>
    <mergeCell ref="G338:H338"/>
    <mergeCell ref="D339:E339"/>
    <mergeCell ref="G339:H339"/>
    <mergeCell ref="D340:E340"/>
    <mergeCell ref="G340:H340"/>
    <mergeCell ref="D341:E341"/>
    <mergeCell ref="G341:H341"/>
    <mergeCell ref="D332:E332"/>
    <mergeCell ref="G332:H332"/>
    <mergeCell ref="D333:E333"/>
    <mergeCell ref="G333:H333"/>
    <mergeCell ref="D334:E334"/>
    <mergeCell ref="G334:H334"/>
    <mergeCell ref="D335:E335"/>
    <mergeCell ref="G335:H335"/>
    <mergeCell ref="D336:E336"/>
    <mergeCell ref="G336:H336"/>
    <mergeCell ref="D327:E327"/>
    <mergeCell ref="G327:H327"/>
    <mergeCell ref="D328:E328"/>
    <mergeCell ref="G328:H328"/>
    <mergeCell ref="D329:E329"/>
    <mergeCell ref="G329:H329"/>
    <mergeCell ref="D330:E330"/>
    <mergeCell ref="G330:H330"/>
    <mergeCell ref="D331:E331"/>
    <mergeCell ref="G331:H331"/>
    <mergeCell ref="D322:E322"/>
    <mergeCell ref="G322:H322"/>
    <mergeCell ref="D323:E323"/>
    <mergeCell ref="G323:H323"/>
    <mergeCell ref="D324:E324"/>
    <mergeCell ref="G324:H324"/>
    <mergeCell ref="D325:E325"/>
    <mergeCell ref="G325:H325"/>
    <mergeCell ref="D326:E326"/>
    <mergeCell ref="G326:H326"/>
    <mergeCell ref="D317:E317"/>
    <mergeCell ref="G317:H317"/>
    <mergeCell ref="D318:E318"/>
    <mergeCell ref="G318:H318"/>
    <mergeCell ref="D319:E319"/>
    <mergeCell ref="G319:H319"/>
    <mergeCell ref="D320:E320"/>
    <mergeCell ref="G320:H320"/>
    <mergeCell ref="D321:E321"/>
    <mergeCell ref="G321:H321"/>
    <mergeCell ref="D312:E312"/>
    <mergeCell ref="G312:H312"/>
    <mergeCell ref="D313:E313"/>
    <mergeCell ref="G313:H313"/>
    <mergeCell ref="D314:E314"/>
    <mergeCell ref="G314:H314"/>
    <mergeCell ref="D315:E315"/>
    <mergeCell ref="G315:H315"/>
    <mergeCell ref="D316:E316"/>
    <mergeCell ref="G316:H316"/>
    <mergeCell ref="D307:E307"/>
    <mergeCell ref="G307:H307"/>
    <mergeCell ref="D308:E308"/>
    <mergeCell ref="G308:H308"/>
    <mergeCell ref="D309:E309"/>
    <mergeCell ref="G309:H309"/>
    <mergeCell ref="D310:E310"/>
    <mergeCell ref="G310:H310"/>
    <mergeCell ref="D311:E311"/>
    <mergeCell ref="G311:H311"/>
    <mergeCell ref="D302:E302"/>
    <mergeCell ref="G302:H302"/>
    <mergeCell ref="D303:E303"/>
    <mergeCell ref="G303:H303"/>
    <mergeCell ref="D304:E304"/>
    <mergeCell ref="G304:H304"/>
    <mergeCell ref="D305:E305"/>
    <mergeCell ref="G305:H305"/>
    <mergeCell ref="D306:E306"/>
    <mergeCell ref="G306:H306"/>
    <mergeCell ref="D297:E297"/>
    <mergeCell ref="G297:H297"/>
    <mergeCell ref="D298:E298"/>
    <mergeCell ref="G298:H298"/>
    <mergeCell ref="D299:E299"/>
    <mergeCell ref="G299:H299"/>
    <mergeCell ref="D300:E300"/>
    <mergeCell ref="G300:H300"/>
    <mergeCell ref="D301:E301"/>
    <mergeCell ref="G301:H301"/>
    <mergeCell ref="D292:E292"/>
    <mergeCell ref="G292:H292"/>
    <mergeCell ref="D293:E293"/>
    <mergeCell ref="G293:H293"/>
    <mergeCell ref="D294:E294"/>
    <mergeCell ref="G294:H294"/>
    <mergeCell ref="D295:E295"/>
    <mergeCell ref="G295:H295"/>
    <mergeCell ref="D296:E296"/>
    <mergeCell ref="G296:H296"/>
    <mergeCell ref="D287:E287"/>
    <mergeCell ref="G287:H287"/>
    <mergeCell ref="D288:E288"/>
    <mergeCell ref="G288:H288"/>
    <mergeCell ref="D289:E289"/>
    <mergeCell ref="G289:H289"/>
    <mergeCell ref="D290:E290"/>
    <mergeCell ref="G290:H290"/>
    <mergeCell ref="D291:E291"/>
    <mergeCell ref="G291:H291"/>
    <mergeCell ref="D282:E282"/>
    <mergeCell ref="G282:H282"/>
    <mergeCell ref="D283:E283"/>
    <mergeCell ref="G283:H283"/>
    <mergeCell ref="D284:E284"/>
    <mergeCell ref="G284:H284"/>
    <mergeCell ref="D285:E285"/>
    <mergeCell ref="G285:H285"/>
    <mergeCell ref="D286:E286"/>
    <mergeCell ref="G286:H286"/>
    <mergeCell ref="D277:E277"/>
    <mergeCell ref="G277:H277"/>
    <mergeCell ref="D278:E278"/>
    <mergeCell ref="G278:H278"/>
    <mergeCell ref="D279:E279"/>
    <mergeCell ref="G279:H279"/>
    <mergeCell ref="D280:E280"/>
    <mergeCell ref="G280:H280"/>
    <mergeCell ref="D281:E281"/>
    <mergeCell ref="G281:H281"/>
    <mergeCell ref="D272:E272"/>
    <mergeCell ref="G272:H272"/>
    <mergeCell ref="D273:E273"/>
    <mergeCell ref="G273:H273"/>
    <mergeCell ref="D274:E274"/>
    <mergeCell ref="G274:H274"/>
    <mergeCell ref="D275:E275"/>
    <mergeCell ref="G275:H275"/>
    <mergeCell ref="D276:E276"/>
    <mergeCell ref="G276:H276"/>
    <mergeCell ref="D267:E267"/>
    <mergeCell ref="G267:H267"/>
    <mergeCell ref="D268:E268"/>
    <mergeCell ref="G268:H268"/>
    <mergeCell ref="D269:E269"/>
    <mergeCell ref="G269:H269"/>
    <mergeCell ref="D270:E270"/>
    <mergeCell ref="G270:H270"/>
    <mergeCell ref="D271:E271"/>
    <mergeCell ref="G271:H271"/>
    <mergeCell ref="D262:E262"/>
    <mergeCell ref="G262:H262"/>
    <mergeCell ref="D263:E263"/>
    <mergeCell ref="G263:H263"/>
    <mergeCell ref="D264:E264"/>
    <mergeCell ref="G264:H264"/>
    <mergeCell ref="D265:E265"/>
    <mergeCell ref="G265:H265"/>
    <mergeCell ref="D266:E266"/>
    <mergeCell ref="G266:H266"/>
    <mergeCell ref="D257:E257"/>
    <mergeCell ref="G257:H257"/>
    <mergeCell ref="D258:E258"/>
    <mergeCell ref="G258:H258"/>
    <mergeCell ref="D259:E259"/>
    <mergeCell ref="G259:H259"/>
    <mergeCell ref="D260:E260"/>
    <mergeCell ref="G260:H260"/>
    <mergeCell ref="D261:E261"/>
    <mergeCell ref="G261:H261"/>
    <mergeCell ref="D252:E252"/>
    <mergeCell ref="G252:H252"/>
    <mergeCell ref="D253:E253"/>
    <mergeCell ref="G253:H253"/>
    <mergeCell ref="D254:E254"/>
    <mergeCell ref="G254:H254"/>
    <mergeCell ref="D255:E255"/>
    <mergeCell ref="G255:H255"/>
    <mergeCell ref="D256:E256"/>
    <mergeCell ref="G256:H256"/>
    <mergeCell ref="D247:E247"/>
    <mergeCell ref="G247:H247"/>
    <mergeCell ref="D248:E248"/>
    <mergeCell ref="G248:H248"/>
    <mergeCell ref="D249:E249"/>
    <mergeCell ref="G249:H249"/>
    <mergeCell ref="D250:E250"/>
    <mergeCell ref="G250:H250"/>
    <mergeCell ref="D251:E251"/>
    <mergeCell ref="G251:H251"/>
    <mergeCell ref="D242:E242"/>
    <mergeCell ref="G242:H242"/>
    <mergeCell ref="D243:E243"/>
    <mergeCell ref="G243:H243"/>
    <mergeCell ref="D244:E244"/>
    <mergeCell ref="G244:H244"/>
    <mergeCell ref="D245:E245"/>
    <mergeCell ref="G245:H245"/>
    <mergeCell ref="D246:E246"/>
    <mergeCell ref="G246:H246"/>
    <mergeCell ref="D237:E237"/>
    <mergeCell ref="G237:H237"/>
    <mergeCell ref="D238:E238"/>
    <mergeCell ref="G238:H238"/>
    <mergeCell ref="D239:E239"/>
    <mergeCell ref="G239:H239"/>
    <mergeCell ref="D240:E240"/>
    <mergeCell ref="G240:H240"/>
    <mergeCell ref="D241:E241"/>
    <mergeCell ref="G241:H241"/>
    <mergeCell ref="D232:E232"/>
    <mergeCell ref="G232:H232"/>
    <mergeCell ref="D233:E233"/>
    <mergeCell ref="G233:H233"/>
    <mergeCell ref="D234:E234"/>
    <mergeCell ref="G234:H234"/>
    <mergeCell ref="D235:E235"/>
    <mergeCell ref="G235:H235"/>
    <mergeCell ref="D236:E236"/>
    <mergeCell ref="G236:H236"/>
    <mergeCell ref="D227:E227"/>
    <mergeCell ref="G227:H227"/>
    <mergeCell ref="D228:E228"/>
    <mergeCell ref="G228:H228"/>
    <mergeCell ref="D229:E229"/>
    <mergeCell ref="G229:H229"/>
    <mergeCell ref="D230:E230"/>
    <mergeCell ref="G230:H230"/>
    <mergeCell ref="D231:E231"/>
    <mergeCell ref="G231:H231"/>
    <mergeCell ref="D222:E222"/>
    <mergeCell ref="G222:H222"/>
    <mergeCell ref="D223:E223"/>
    <mergeCell ref="G223:H223"/>
    <mergeCell ref="D224:E224"/>
    <mergeCell ref="G224:H224"/>
    <mergeCell ref="D225:E225"/>
    <mergeCell ref="G225:H225"/>
    <mergeCell ref="D226:E226"/>
    <mergeCell ref="G226:H226"/>
    <mergeCell ref="D217:E217"/>
    <mergeCell ref="G217:H217"/>
    <mergeCell ref="D218:E218"/>
    <mergeCell ref="G218:H218"/>
    <mergeCell ref="D219:E219"/>
    <mergeCell ref="G219:H219"/>
    <mergeCell ref="D220:E220"/>
    <mergeCell ref="G220:H220"/>
    <mergeCell ref="D221:E221"/>
    <mergeCell ref="G221:H221"/>
    <mergeCell ref="D212:E212"/>
    <mergeCell ref="G212:H212"/>
    <mergeCell ref="D213:E213"/>
    <mergeCell ref="G213:H213"/>
    <mergeCell ref="D214:E214"/>
    <mergeCell ref="G214:H214"/>
    <mergeCell ref="D215:E215"/>
    <mergeCell ref="G215:H215"/>
    <mergeCell ref="D216:E216"/>
    <mergeCell ref="G216:H216"/>
    <mergeCell ref="D207:E207"/>
    <mergeCell ref="G207:H207"/>
    <mergeCell ref="D208:E208"/>
    <mergeCell ref="G208:H208"/>
    <mergeCell ref="D209:E209"/>
    <mergeCell ref="G209:H209"/>
    <mergeCell ref="D210:E210"/>
    <mergeCell ref="G210:H210"/>
    <mergeCell ref="D211:E211"/>
    <mergeCell ref="G211:H211"/>
    <mergeCell ref="D202:E202"/>
    <mergeCell ref="G202:H202"/>
    <mergeCell ref="D203:E203"/>
    <mergeCell ref="G203:H203"/>
    <mergeCell ref="D204:E204"/>
    <mergeCell ref="G204:H204"/>
    <mergeCell ref="D205:E205"/>
    <mergeCell ref="G205:H205"/>
    <mergeCell ref="D206:E206"/>
    <mergeCell ref="G206:H206"/>
    <mergeCell ref="D197:E197"/>
    <mergeCell ref="G197:H197"/>
    <mergeCell ref="D198:E198"/>
    <mergeCell ref="G198:H198"/>
    <mergeCell ref="D199:E199"/>
    <mergeCell ref="G199:H199"/>
    <mergeCell ref="D200:E200"/>
    <mergeCell ref="G200:H200"/>
    <mergeCell ref="D201:E201"/>
    <mergeCell ref="G201:H201"/>
    <mergeCell ref="D192:E192"/>
    <mergeCell ref="G192:H192"/>
    <mergeCell ref="D193:E193"/>
    <mergeCell ref="G193:H193"/>
    <mergeCell ref="D194:E194"/>
    <mergeCell ref="G194:H194"/>
    <mergeCell ref="D195:E195"/>
    <mergeCell ref="G195:H195"/>
    <mergeCell ref="D196:E196"/>
    <mergeCell ref="G196:H196"/>
    <mergeCell ref="D187:E187"/>
    <mergeCell ref="G187:H187"/>
    <mergeCell ref="D188:E188"/>
    <mergeCell ref="G188:H188"/>
    <mergeCell ref="D189:E189"/>
    <mergeCell ref="G189:H189"/>
    <mergeCell ref="D190:E190"/>
    <mergeCell ref="G190:H190"/>
    <mergeCell ref="D191:E191"/>
    <mergeCell ref="G191:H191"/>
    <mergeCell ref="D182:E182"/>
    <mergeCell ref="G182:H182"/>
    <mergeCell ref="D183:E183"/>
    <mergeCell ref="G183:H183"/>
    <mergeCell ref="D184:E184"/>
    <mergeCell ref="G184:H184"/>
    <mergeCell ref="D185:E185"/>
    <mergeCell ref="G185:H185"/>
    <mergeCell ref="D186:E186"/>
    <mergeCell ref="G186:H186"/>
    <mergeCell ref="D177:E177"/>
    <mergeCell ref="G177:H177"/>
    <mergeCell ref="D178:E178"/>
    <mergeCell ref="G178:H178"/>
    <mergeCell ref="D179:E179"/>
    <mergeCell ref="G179:H179"/>
    <mergeCell ref="D180:E180"/>
    <mergeCell ref="G180:H180"/>
    <mergeCell ref="D181:E181"/>
    <mergeCell ref="G181:H181"/>
    <mergeCell ref="D172:E172"/>
    <mergeCell ref="G172:H172"/>
    <mergeCell ref="D173:E173"/>
    <mergeCell ref="G173:H173"/>
    <mergeCell ref="D174:E174"/>
    <mergeCell ref="G174:H174"/>
    <mergeCell ref="D175:E175"/>
    <mergeCell ref="G175:H175"/>
    <mergeCell ref="D176:E176"/>
    <mergeCell ref="G176:H176"/>
    <mergeCell ref="D167:E167"/>
    <mergeCell ref="G167:H167"/>
    <mergeCell ref="D168:E168"/>
    <mergeCell ref="G168:H168"/>
    <mergeCell ref="D169:E169"/>
    <mergeCell ref="G169:H169"/>
    <mergeCell ref="D170:E170"/>
    <mergeCell ref="G170:H170"/>
    <mergeCell ref="D171:E171"/>
    <mergeCell ref="G171:H171"/>
    <mergeCell ref="D162:E162"/>
    <mergeCell ref="G162:H162"/>
    <mergeCell ref="D163:E163"/>
    <mergeCell ref="G163:H163"/>
    <mergeCell ref="D164:E164"/>
    <mergeCell ref="G164:H164"/>
    <mergeCell ref="D165:E165"/>
    <mergeCell ref="G165:H165"/>
    <mergeCell ref="D166:E166"/>
    <mergeCell ref="G166:H166"/>
    <mergeCell ref="D157:E157"/>
    <mergeCell ref="G157:H157"/>
    <mergeCell ref="D158:E158"/>
    <mergeCell ref="G158:H158"/>
    <mergeCell ref="D159:E159"/>
    <mergeCell ref="G159:H159"/>
    <mergeCell ref="D160:E160"/>
    <mergeCell ref="G160:H160"/>
    <mergeCell ref="D161:E161"/>
    <mergeCell ref="G161:H161"/>
    <mergeCell ref="D152:E152"/>
    <mergeCell ref="G152:H152"/>
    <mergeCell ref="D153:E153"/>
    <mergeCell ref="G153:H153"/>
    <mergeCell ref="D154:E154"/>
    <mergeCell ref="G154:H154"/>
    <mergeCell ref="D155:E155"/>
    <mergeCell ref="G155:H155"/>
    <mergeCell ref="D156:E156"/>
    <mergeCell ref="G156:H156"/>
    <mergeCell ref="D147:E147"/>
    <mergeCell ref="G147:H147"/>
    <mergeCell ref="D148:E148"/>
    <mergeCell ref="G148:H148"/>
    <mergeCell ref="D149:E149"/>
    <mergeCell ref="G149:H149"/>
    <mergeCell ref="D150:E150"/>
    <mergeCell ref="G150:H150"/>
    <mergeCell ref="D151:E151"/>
    <mergeCell ref="G151:H151"/>
    <mergeCell ref="D142:E142"/>
    <mergeCell ref="G142:H142"/>
    <mergeCell ref="D143:E143"/>
    <mergeCell ref="G143:H143"/>
    <mergeCell ref="D144:E144"/>
    <mergeCell ref="G144:H144"/>
    <mergeCell ref="D145:E145"/>
    <mergeCell ref="G145:H145"/>
    <mergeCell ref="D146:E146"/>
    <mergeCell ref="G146:H146"/>
    <mergeCell ref="D137:E137"/>
    <mergeCell ref="G137:H137"/>
    <mergeCell ref="D138:E138"/>
    <mergeCell ref="G138:H138"/>
    <mergeCell ref="D139:E139"/>
    <mergeCell ref="G139:H139"/>
    <mergeCell ref="D140:E140"/>
    <mergeCell ref="G140:H140"/>
    <mergeCell ref="D141:E141"/>
    <mergeCell ref="G141:H141"/>
    <mergeCell ref="D132:E132"/>
    <mergeCell ref="G132:H132"/>
    <mergeCell ref="D133:E133"/>
    <mergeCell ref="G133:H133"/>
    <mergeCell ref="D134:E134"/>
    <mergeCell ref="G134:H134"/>
    <mergeCell ref="D135:E135"/>
    <mergeCell ref="G135:H135"/>
    <mergeCell ref="D136:E136"/>
    <mergeCell ref="G136:H136"/>
    <mergeCell ref="D127:E127"/>
    <mergeCell ref="G127:H127"/>
    <mergeCell ref="D128:E128"/>
    <mergeCell ref="G128:H128"/>
    <mergeCell ref="D129:E129"/>
    <mergeCell ref="G129:H129"/>
    <mergeCell ref="D130:E130"/>
    <mergeCell ref="G130:H130"/>
    <mergeCell ref="D131:E131"/>
    <mergeCell ref="G131:H131"/>
    <mergeCell ref="D122:E122"/>
    <mergeCell ref="G122:H122"/>
    <mergeCell ref="D123:E123"/>
    <mergeCell ref="G123:H123"/>
    <mergeCell ref="D124:E124"/>
    <mergeCell ref="G124:H124"/>
    <mergeCell ref="D125:E125"/>
    <mergeCell ref="G125:H125"/>
    <mergeCell ref="D126:E126"/>
    <mergeCell ref="G126:H126"/>
    <mergeCell ref="D117:E117"/>
    <mergeCell ref="G117:H117"/>
    <mergeCell ref="D118:E118"/>
    <mergeCell ref="G118:H118"/>
    <mergeCell ref="D119:E119"/>
    <mergeCell ref="G119:H119"/>
    <mergeCell ref="D120:E120"/>
    <mergeCell ref="G120:H120"/>
    <mergeCell ref="D121:E121"/>
    <mergeCell ref="G121:H121"/>
    <mergeCell ref="D112:E112"/>
    <mergeCell ref="G112:H112"/>
    <mergeCell ref="D113:E113"/>
    <mergeCell ref="G113:H113"/>
    <mergeCell ref="D114:E114"/>
    <mergeCell ref="G114:H114"/>
    <mergeCell ref="D115:E115"/>
    <mergeCell ref="G115:H115"/>
    <mergeCell ref="D116:E116"/>
    <mergeCell ref="G116:H116"/>
    <mergeCell ref="D107:E107"/>
    <mergeCell ref="G107:H107"/>
    <mergeCell ref="D108:E108"/>
    <mergeCell ref="G108:H108"/>
    <mergeCell ref="D109:E109"/>
    <mergeCell ref="G109:H109"/>
    <mergeCell ref="D110:E110"/>
    <mergeCell ref="G110:H110"/>
    <mergeCell ref="D111:E111"/>
    <mergeCell ref="G111:H111"/>
    <mergeCell ref="D102:E102"/>
    <mergeCell ref="G102:H102"/>
    <mergeCell ref="D103:E103"/>
    <mergeCell ref="G103:H103"/>
    <mergeCell ref="D104:E104"/>
    <mergeCell ref="G104:H104"/>
    <mergeCell ref="D105:E105"/>
    <mergeCell ref="G105:H105"/>
    <mergeCell ref="D106:E106"/>
    <mergeCell ref="G106:H106"/>
    <mergeCell ref="D97:E97"/>
    <mergeCell ref="G97:H97"/>
    <mergeCell ref="D98:E98"/>
    <mergeCell ref="G98:H98"/>
    <mergeCell ref="D99:E99"/>
    <mergeCell ref="G99:H99"/>
    <mergeCell ref="D100:E100"/>
    <mergeCell ref="G100:H100"/>
    <mergeCell ref="D101:E101"/>
    <mergeCell ref="G101:H101"/>
    <mergeCell ref="D92:E92"/>
    <mergeCell ref="G92:H92"/>
    <mergeCell ref="D93:E93"/>
    <mergeCell ref="G93:H93"/>
    <mergeCell ref="D94:E94"/>
    <mergeCell ref="G94:H94"/>
    <mergeCell ref="D95:E95"/>
    <mergeCell ref="G95:H95"/>
    <mergeCell ref="D96:E96"/>
    <mergeCell ref="G96:H96"/>
    <mergeCell ref="D91:E91"/>
    <mergeCell ref="G91:H91"/>
    <mergeCell ref="D88:E88"/>
    <mergeCell ref="G88:H88"/>
    <mergeCell ref="D89:E89"/>
    <mergeCell ref="G89:H89"/>
    <mergeCell ref="D90:E90"/>
    <mergeCell ref="G90:H90"/>
    <mergeCell ref="D85:E85"/>
    <mergeCell ref="G85:H85"/>
    <mergeCell ref="D86:E86"/>
    <mergeCell ref="G86:H86"/>
    <mergeCell ref="D87:E87"/>
    <mergeCell ref="G87:H87"/>
    <mergeCell ref="D82:E82"/>
    <mergeCell ref="G82:H82"/>
    <mergeCell ref="D83:E83"/>
    <mergeCell ref="G83:H83"/>
    <mergeCell ref="D84:E84"/>
    <mergeCell ref="G84:H84"/>
    <mergeCell ref="D79:E79"/>
    <mergeCell ref="G79:H79"/>
    <mergeCell ref="D80:E80"/>
    <mergeCell ref="G80:H80"/>
    <mergeCell ref="D81:E81"/>
    <mergeCell ref="G81:H81"/>
    <mergeCell ref="D76:E76"/>
    <mergeCell ref="G76:H76"/>
    <mergeCell ref="D77:E77"/>
    <mergeCell ref="G77:H77"/>
    <mergeCell ref="D78:E78"/>
    <mergeCell ref="G78:H78"/>
    <mergeCell ref="D73:E73"/>
    <mergeCell ref="G73:H73"/>
    <mergeCell ref="D74:E74"/>
    <mergeCell ref="G74:H74"/>
    <mergeCell ref="D75:E75"/>
    <mergeCell ref="G75:H75"/>
    <mergeCell ref="D70:E70"/>
    <mergeCell ref="G70:H70"/>
    <mergeCell ref="D71:E71"/>
    <mergeCell ref="G71:H71"/>
    <mergeCell ref="D72:E72"/>
    <mergeCell ref="G72:H72"/>
    <mergeCell ref="D67:E67"/>
    <mergeCell ref="G67:H67"/>
    <mergeCell ref="D68:E68"/>
    <mergeCell ref="G68:H68"/>
    <mergeCell ref="D69:E69"/>
    <mergeCell ref="G69:H69"/>
    <mergeCell ref="N62:N66"/>
    <mergeCell ref="O62:O66"/>
    <mergeCell ref="C64:C66"/>
    <mergeCell ref="D64:E66"/>
    <mergeCell ref="F64:F66"/>
    <mergeCell ref="G64:H66"/>
    <mergeCell ref="C62:E63"/>
    <mergeCell ref="F62:H63"/>
    <mergeCell ref="I62:I66"/>
    <mergeCell ref="J62:J66"/>
    <mergeCell ref="K62:K66"/>
    <mergeCell ref="L62:L66"/>
    <mergeCell ref="M62:M66"/>
    <mergeCell ref="C40:O40"/>
    <mergeCell ref="C41:O41"/>
    <mergeCell ref="E35:F35"/>
    <mergeCell ref="G35:I35"/>
    <mergeCell ref="J35:K35"/>
    <mergeCell ref="L35:M35"/>
    <mergeCell ref="C36:K36"/>
    <mergeCell ref="L36:M36"/>
    <mergeCell ref="E33:F33"/>
    <mergeCell ref="G33:I33"/>
    <mergeCell ref="J33:K33"/>
    <mergeCell ref="L33:M33"/>
    <mergeCell ref="E34:F34"/>
    <mergeCell ref="G34:I34"/>
    <mergeCell ref="J34:K34"/>
    <mergeCell ref="L34:M34"/>
    <mergeCell ref="C17:O17"/>
    <mergeCell ref="E31:F31"/>
    <mergeCell ref="G31:I31"/>
    <mergeCell ref="J31:K31"/>
    <mergeCell ref="L31:M31"/>
    <mergeCell ref="E32:F32"/>
    <mergeCell ref="G32:I32"/>
    <mergeCell ref="J32:K32"/>
    <mergeCell ref="L32:M32"/>
    <mergeCell ref="C24:G24"/>
    <mergeCell ref="H24:N24"/>
    <mergeCell ref="C28:F28"/>
    <mergeCell ref="G28:I30"/>
    <mergeCell ref="J28:K30"/>
    <mergeCell ref="L28:M30"/>
    <mergeCell ref="C29:C30"/>
    <mergeCell ref="D29:D30"/>
    <mergeCell ref="E29:F30"/>
    <mergeCell ref="N28:N30"/>
    <mergeCell ref="C27:O27"/>
    <mergeCell ref="C368:O368"/>
    <mergeCell ref="C2:O3"/>
    <mergeCell ref="C11:M11"/>
    <mergeCell ref="C12:L12"/>
    <mergeCell ref="M12:N12"/>
    <mergeCell ref="C13:L13"/>
    <mergeCell ref="M13:N13"/>
    <mergeCell ref="C21:G21"/>
    <mergeCell ref="H21:N21"/>
    <mergeCell ref="C5:O5"/>
    <mergeCell ref="C6:O6"/>
    <mergeCell ref="C7:O7"/>
    <mergeCell ref="C8:O8"/>
    <mergeCell ref="C4:O4"/>
    <mergeCell ref="C22:G22"/>
    <mergeCell ref="H22:N22"/>
    <mergeCell ref="C23:G23"/>
    <mergeCell ref="H23:N23"/>
    <mergeCell ref="C14:L14"/>
    <mergeCell ref="M14:N14"/>
    <mergeCell ref="C15:L15"/>
    <mergeCell ref="M15:N15"/>
    <mergeCell ref="C16:L16"/>
    <mergeCell ref="M16:N16"/>
  </mergeCells>
  <conditionalFormatting sqref="B5:P369">
    <cfRule type="expression" dxfId="2" priority="1">
      <formula>CONTR_CORSIAapplied=FALSE</formula>
    </cfRule>
  </conditionalFormatting>
  <conditionalFormatting sqref="C53:O57 K60">
    <cfRule type="expression" dxfId="1" priority="2">
      <formula>INDICATOR_CORSIAAnnexConfidentialReasonFromETS=TRUE</formula>
    </cfRule>
  </conditionalFormatting>
  <conditionalFormatting sqref="N49 C53:G57 K60">
    <cfRule type="expression" dxfId="0" priority="4">
      <formula>AND(NOT(ISBLANK(INDICATOR_CORSIAAnnexConfidential)),INDICATOR_CORSIAAnnexConfidential=FALSE)</formula>
    </cfRule>
  </conditionalFormatting>
  <dataValidations count="4">
    <dataValidation type="list" allowBlank="1" showInputMessage="1" showErrorMessage="1" sqref="C31:C35 K67:K365" xr:uid="{00000000-0002-0000-0A00-000000000000}">
      <formula1>CORSIA_FuelsList</formula1>
    </dataValidation>
    <dataValidation type="list" allowBlank="1" showInputMessage="1" showErrorMessage="1" sqref="I67:I365 O67:O365 N47 G48 N49" xr:uid="{00000000-0002-0000-0A00-000001000000}">
      <formula1>TrueFalse</formula1>
    </dataValidation>
    <dataValidation type="list" allowBlank="1" showInputMessage="1" showErrorMessage="1" sqref="D366:E366 G366:H366" xr:uid="{00000000-0002-0000-0A00-000002000000}">
      <formula1>worldcountries</formula1>
    </dataValidation>
    <dataValidation type="list" allowBlank="1" showInputMessage="1" showErrorMessage="1" sqref="D67:E365 G67:H365" xr:uid="{00000000-0002-0000-0A00-000003000000}">
      <formula1>ICAO_MSList</formula1>
    </dataValidation>
  </dataValidations>
  <hyperlinks>
    <hyperlink ref="C51:I51" location="JUMP_11a" display="Click here to check content of section (11)(a)" xr:uid="{00000000-0004-0000-0A00-000000000000}"/>
  </hyperlinks>
  <pageMargins left="0.70866141732283472" right="0.70866141732283472" top="0.78740157480314965" bottom="0.78740157480314965" header="0.31496062992125984" footer="0.31496062992125984"/>
  <pageSetup paperSize="9" scale="61" fitToHeight="10" orientation="portrait" r:id="rId1"/>
  <headerFooter>
    <oddFooter>&amp;L&amp;F&amp;C&amp;A&amp;R&amp;P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10"/>
    <pageSetUpPr fitToPage="1"/>
  </sheetPr>
  <dimension ref="A1:H978"/>
  <sheetViews>
    <sheetView topLeftCell="A36" zoomScaleNormal="100" workbookViewId="0">
      <selection activeCell="A27" sqref="A27"/>
    </sheetView>
  </sheetViews>
  <sheetFormatPr baseColWidth="10" defaultColWidth="11.453125" defaultRowHeight="12.5" x14ac:dyDescent="0.25"/>
  <cols>
    <col min="1" max="1" width="33.453125" customWidth="1"/>
    <col min="2" max="2" width="34.54296875" customWidth="1"/>
    <col min="3" max="3" width="32.1796875" customWidth="1"/>
  </cols>
  <sheetData>
    <row r="1" spans="1:6" ht="13" x14ac:dyDescent="0.3">
      <c r="A1" s="20" t="s">
        <v>249</v>
      </c>
      <c r="C1" s="1419" t="str">
        <f>Translations!$B$1642</f>
        <v>Name of this sheet</v>
      </c>
      <c r="D1" s="1420"/>
      <c r="E1" s="1417" t="str">
        <f ca="1">IF(ISERROR(CELL("filename",D1)),"Lists",MID(CELL("filename",D1),FIND("]",CELL("filename",D1))+1,1024))</f>
        <v>EUwideConstants</v>
      </c>
      <c r="F1" s="1418"/>
    </row>
    <row r="2" spans="1:6" x14ac:dyDescent="0.25">
      <c r="A2" s="52">
        <v>2020</v>
      </c>
    </row>
    <row r="3" spans="1:6" x14ac:dyDescent="0.25">
      <c r="A3" s="52">
        <v>2021</v>
      </c>
      <c r="B3" s="289"/>
    </row>
    <row r="4" spans="1:6" x14ac:dyDescent="0.25">
      <c r="A4" s="52">
        <v>2022</v>
      </c>
      <c r="B4" s="289"/>
    </row>
    <row r="5" spans="1:6" x14ac:dyDescent="0.25">
      <c r="A5" s="52">
        <v>2023</v>
      </c>
      <c r="B5" s="289"/>
    </row>
    <row r="6" spans="1:6" x14ac:dyDescent="0.25">
      <c r="A6" s="52">
        <v>2024</v>
      </c>
      <c r="B6" s="289"/>
    </row>
    <row r="7" spans="1:6" x14ac:dyDescent="0.25">
      <c r="A7" s="52">
        <v>2025</v>
      </c>
      <c r="B7" s="289"/>
    </row>
    <row r="8" spans="1:6" x14ac:dyDescent="0.25">
      <c r="A8" s="52">
        <v>2026</v>
      </c>
      <c r="B8" s="289"/>
    </row>
    <row r="9" spans="1:6" x14ac:dyDescent="0.25">
      <c r="A9" s="52">
        <v>2027</v>
      </c>
      <c r="B9" s="289"/>
    </row>
    <row r="10" spans="1:6" x14ac:dyDescent="0.25">
      <c r="A10" s="52">
        <v>2028</v>
      </c>
      <c r="B10" s="289"/>
    </row>
    <row r="11" spans="1:6" x14ac:dyDescent="0.25">
      <c r="A11" s="52">
        <v>2029</v>
      </c>
      <c r="B11" s="289"/>
    </row>
    <row r="12" spans="1:6" x14ac:dyDescent="0.25">
      <c r="A12" s="52">
        <v>2030</v>
      </c>
      <c r="B12" s="289"/>
    </row>
    <row r="13" spans="1:6" x14ac:dyDescent="0.25">
      <c r="A13" s="52">
        <v>2031</v>
      </c>
      <c r="B13" s="289"/>
    </row>
    <row r="14" spans="1:6" x14ac:dyDescent="0.25">
      <c r="A14" s="52">
        <v>2032</v>
      </c>
      <c r="B14" s="289"/>
    </row>
    <row r="15" spans="1:6" x14ac:dyDescent="0.25">
      <c r="A15" s="52">
        <v>2033</v>
      </c>
      <c r="B15" s="289"/>
    </row>
    <row r="16" spans="1:6" x14ac:dyDescent="0.25">
      <c r="A16" s="52">
        <v>2034</v>
      </c>
      <c r="B16" s="289"/>
    </row>
    <row r="17" spans="1:3" x14ac:dyDescent="0.25">
      <c r="A17" s="52">
        <v>2035</v>
      </c>
      <c r="B17" s="289"/>
    </row>
    <row r="19" spans="1:3" ht="13" x14ac:dyDescent="0.3">
      <c r="A19" s="20" t="s">
        <v>251</v>
      </c>
    </row>
    <row r="20" spans="1:3" x14ac:dyDescent="0.25">
      <c r="A20" s="159" t="str">
        <f>Translations!$B$1029</f>
        <v>eligible</v>
      </c>
    </row>
    <row r="21" spans="1:3" ht="13" x14ac:dyDescent="0.3">
      <c r="A21" s="20" t="s">
        <v>252</v>
      </c>
    </row>
    <row r="22" spans="1:3" x14ac:dyDescent="0.25">
      <c r="A22" s="159" t="str">
        <f>Translations!$B$1030</f>
        <v>not eligible</v>
      </c>
    </row>
    <row r="23" spans="1:3" ht="13" x14ac:dyDescent="0.3">
      <c r="A23" s="20" t="s">
        <v>253</v>
      </c>
      <c r="C23" s="289"/>
    </row>
    <row r="24" spans="1:3" x14ac:dyDescent="0.25">
      <c r="A24" s="159" t="str">
        <f>Translations!$B$1031</f>
        <v>Number is different from input in section 5(a)!</v>
      </c>
    </row>
    <row r="27" spans="1:3" ht="13" x14ac:dyDescent="0.3">
      <c r="A27" s="20" t="s">
        <v>254</v>
      </c>
    </row>
    <row r="28" spans="1:3" x14ac:dyDescent="0.25">
      <c r="A28" s="21" t="str">
        <f>Translations!$B$368</f>
        <v>Please select</v>
      </c>
    </row>
    <row r="29" spans="1:3" x14ac:dyDescent="0.25">
      <c r="A29" s="21" t="str">
        <f>Translations!$B$369</f>
        <v>Austria</v>
      </c>
    </row>
    <row r="30" spans="1:3" x14ac:dyDescent="0.25">
      <c r="A30" s="21" t="str">
        <f>Translations!$B$370</f>
        <v>Belgium</v>
      </c>
    </row>
    <row r="31" spans="1:3" x14ac:dyDescent="0.25">
      <c r="A31" s="21" t="str">
        <f>Translations!$B$371</f>
        <v>Bulgaria</v>
      </c>
    </row>
    <row r="32" spans="1:3" x14ac:dyDescent="0.25">
      <c r="A32" s="21" t="str">
        <f>Translations!$B$372</f>
        <v>Croatia</v>
      </c>
    </row>
    <row r="33" spans="1:1" x14ac:dyDescent="0.25">
      <c r="A33" s="21" t="str">
        <f>Translations!$B$373</f>
        <v>Cyprus</v>
      </c>
    </row>
    <row r="34" spans="1:1" x14ac:dyDescent="0.25">
      <c r="A34" s="21" t="str">
        <f>Translations!$B$374</f>
        <v>Czechia</v>
      </c>
    </row>
    <row r="35" spans="1:1" x14ac:dyDescent="0.25">
      <c r="A35" s="21" t="str">
        <f>Translations!$B$375</f>
        <v>Denmark</v>
      </c>
    </row>
    <row r="36" spans="1:1" x14ac:dyDescent="0.25">
      <c r="A36" s="21" t="str">
        <f>Translations!$B$376</f>
        <v>Estonia</v>
      </c>
    </row>
    <row r="37" spans="1:1" x14ac:dyDescent="0.25">
      <c r="A37" s="21" t="str">
        <f>Translations!$B$377</f>
        <v>Finland</v>
      </c>
    </row>
    <row r="38" spans="1:1" x14ac:dyDescent="0.25">
      <c r="A38" s="21" t="str">
        <f>Translations!$B$378</f>
        <v>France</v>
      </c>
    </row>
    <row r="39" spans="1:1" x14ac:dyDescent="0.25">
      <c r="A39" s="21" t="str">
        <f>Translations!$B$379</f>
        <v>Germany</v>
      </c>
    </row>
    <row r="40" spans="1:1" x14ac:dyDescent="0.25">
      <c r="A40" s="21" t="str">
        <f>Translations!$B$380</f>
        <v>Greece</v>
      </c>
    </row>
    <row r="41" spans="1:1" x14ac:dyDescent="0.25">
      <c r="A41" s="21" t="str">
        <f>Translations!$B$381</f>
        <v>Hungary</v>
      </c>
    </row>
    <row r="42" spans="1:1" x14ac:dyDescent="0.25">
      <c r="A42" s="22" t="str">
        <f>Translations!$B$382</f>
        <v>Iceland</v>
      </c>
    </row>
    <row r="43" spans="1:1" x14ac:dyDescent="0.25">
      <c r="A43" s="21" t="str">
        <f>Translations!$B$383</f>
        <v>Ireland</v>
      </c>
    </row>
    <row r="44" spans="1:1" x14ac:dyDescent="0.25">
      <c r="A44" s="21" t="str">
        <f>Translations!$B$384</f>
        <v>Italy</v>
      </c>
    </row>
    <row r="45" spans="1:1" x14ac:dyDescent="0.25">
      <c r="A45" s="21" t="str">
        <f>Translations!$B$385</f>
        <v>Latvia</v>
      </c>
    </row>
    <row r="46" spans="1:1" x14ac:dyDescent="0.25">
      <c r="A46" s="21" t="str">
        <f>Translations!$B$386</f>
        <v>Liechtenstein</v>
      </c>
    </row>
    <row r="47" spans="1:1" x14ac:dyDescent="0.25">
      <c r="A47" s="21" t="str">
        <f>Translations!$B$387</f>
        <v>Lithuania</v>
      </c>
    </row>
    <row r="48" spans="1:1" x14ac:dyDescent="0.25">
      <c r="A48" s="21" t="str">
        <f>Translations!$B$388</f>
        <v>Luxembourg</v>
      </c>
    </row>
    <row r="49" spans="1:1" x14ac:dyDescent="0.25">
      <c r="A49" s="21" t="str">
        <f>Translations!$B$389</f>
        <v>Malta</v>
      </c>
    </row>
    <row r="50" spans="1:1" x14ac:dyDescent="0.25">
      <c r="A50" s="21" t="str">
        <f>Translations!$B$390</f>
        <v>Netherlands</v>
      </c>
    </row>
    <row r="51" spans="1:1" x14ac:dyDescent="0.25">
      <c r="A51" s="22" t="str">
        <f>Translations!$B$391</f>
        <v>Norway</v>
      </c>
    </row>
    <row r="52" spans="1:1" x14ac:dyDescent="0.25">
      <c r="A52" s="21" t="str">
        <f>Translations!$B$392</f>
        <v>Poland</v>
      </c>
    </row>
    <row r="53" spans="1:1" x14ac:dyDescent="0.25">
      <c r="A53" s="21" t="str">
        <f>Translations!$B$393</f>
        <v>Portugal</v>
      </c>
    </row>
    <row r="54" spans="1:1" x14ac:dyDescent="0.25">
      <c r="A54" s="21" t="str">
        <f>Translations!$B$394</f>
        <v>Romania</v>
      </c>
    </row>
    <row r="55" spans="1:1" x14ac:dyDescent="0.25">
      <c r="A55" s="21" t="str">
        <f>Translations!$B$395</f>
        <v>Slovakia</v>
      </c>
    </row>
    <row r="56" spans="1:1" x14ac:dyDescent="0.25">
      <c r="A56" s="21" t="str">
        <f>Translations!$B$396</f>
        <v>Slovenia</v>
      </c>
    </row>
    <row r="57" spans="1:1" x14ac:dyDescent="0.25">
      <c r="A57" s="21" t="str">
        <f>Translations!$B$397</f>
        <v>Spain</v>
      </c>
    </row>
    <row r="58" spans="1:1" x14ac:dyDescent="0.25">
      <c r="A58" s="21" t="str">
        <f>Translations!$B$398</f>
        <v>Sweden</v>
      </c>
    </row>
    <row r="59" spans="1:1" x14ac:dyDescent="0.25">
      <c r="A59" s="497" t="str">
        <f>Translations!$B$399</f>
        <v>United Kingdom</v>
      </c>
    </row>
    <row r="62" spans="1:1" ht="13" x14ac:dyDescent="0.3">
      <c r="A62" s="20" t="s">
        <v>255</v>
      </c>
    </row>
    <row r="63" spans="1:1" x14ac:dyDescent="0.25">
      <c r="A63" s="21" t="str">
        <f>Translations!$B$368</f>
        <v>Please select</v>
      </c>
    </row>
    <row r="64" spans="1:1" x14ac:dyDescent="0.25">
      <c r="A64" s="21"/>
    </row>
    <row r="65" spans="1:1" x14ac:dyDescent="0.25">
      <c r="A65" s="21" t="str">
        <f>Translations!$B$400</f>
        <v>Afghanistan</v>
      </c>
    </row>
    <row r="66" spans="1:1" x14ac:dyDescent="0.25">
      <c r="A66" s="21" t="str">
        <f>Translations!$B$401</f>
        <v>Albania</v>
      </c>
    </row>
    <row r="67" spans="1:1" x14ac:dyDescent="0.25">
      <c r="A67" s="21" t="str">
        <f>Translations!$B$402</f>
        <v>Algeria</v>
      </c>
    </row>
    <row r="68" spans="1:1" x14ac:dyDescent="0.25">
      <c r="A68" s="21" t="str">
        <f>Translations!$B$403</f>
        <v>American Samoa</v>
      </c>
    </row>
    <row r="69" spans="1:1" x14ac:dyDescent="0.25">
      <c r="A69" s="21" t="str">
        <f>Translations!$B$404</f>
        <v>Andorra</v>
      </c>
    </row>
    <row r="70" spans="1:1" x14ac:dyDescent="0.25">
      <c r="A70" s="21" t="str">
        <f>Translations!$B$405</f>
        <v>Angola</v>
      </c>
    </row>
    <row r="71" spans="1:1" x14ac:dyDescent="0.25">
      <c r="A71" s="21" t="str">
        <f>Translations!$B$406</f>
        <v>Anguilla</v>
      </c>
    </row>
    <row r="72" spans="1:1" x14ac:dyDescent="0.25">
      <c r="A72" s="21" t="str">
        <f>Translations!$B$407</f>
        <v>Antigua and Barbuda</v>
      </c>
    </row>
    <row r="73" spans="1:1" x14ac:dyDescent="0.25">
      <c r="A73" s="21" t="str">
        <f>Translations!$B$408</f>
        <v>Argentina</v>
      </c>
    </row>
    <row r="74" spans="1:1" x14ac:dyDescent="0.25">
      <c r="A74" s="21" t="str">
        <f>Translations!$B$409</f>
        <v>Armenia</v>
      </c>
    </row>
    <row r="75" spans="1:1" x14ac:dyDescent="0.25">
      <c r="A75" s="21" t="str">
        <f>Translations!$B$410</f>
        <v>Aruba</v>
      </c>
    </row>
    <row r="76" spans="1:1" x14ac:dyDescent="0.25">
      <c r="A76" s="21" t="str">
        <f>Translations!$B$411</f>
        <v>Australia</v>
      </c>
    </row>
    <row r="77" spans="1:1" x14ac:dyDescent="0.25">
      <c r="A77" s="21" t="str">
        <f>Translations!$B$369</f>
        <v>Austria</v>
      </c>
    </row>
    <row r="78" spans="1:1" x14ac:dyDescent="0.25">
      <c r="A78" s="21" t="str">
        <f>Translations!$B$412</f>
        <v>Azerbaijan</v>
      </c>
    </row>
    <row r="79" spans="1:1" x14ac:dyDescent="0.25">
      <c r="A79" s="21" t="str">
        <f>Translations!$B$413</f>
        <v>Bahamas</v>
      </c>
    </row>
    <row r="80" spans="1:1" x14ac:dyDescent="0.25">
      <c r="A80" s="21" t="str">
        <f>Translations!$B$414</f>
        <v>Bahrain</v>
      </c>
    </row>
    <row r="81" spans="1:1" x14ac:dyDescent="0.25">
      <c r="A81" s="21" t="str">
        <f>Translations!$B$415</f>
        <v>Bangladesh</v>
      </c>
    </row>
    <row r="82" spans="1:1" x14ac:dyDescent="0.25">
      <c r="A82" s="21" t="str">
        <f>Translations!$B$416</f>
        <v>Barbados</v>
      </c>
    </row>
    <row r="83" spans="1:1" x14ac:dyDescent="0.25">
      <c r="A83" s="21" t="str">
        <f>Translations!$B$417</f>
        <v>Belarus</v>
      </c>
    </row>
    <row r="84" spans="1:1" x14ac:dyDescent="0.25">
      <c r="A84" s="21" t="str">
        <f>Translations!$B$370</f>
        <v>Belgium</v>
      </c>
    </row>
    <row r="85" spans="1:1" x14ac:dyDescent="0.25">
      <c r="A85" s="21" t="str">
        <f>Translations!$B$418</f>
        <v>Belize</v>
      </c>
    </row>
    <row r="86" spans="1:1" x14ac:dyDescent="0.25">
      <c r="A86" s="21" t="str">
        <f>Translations!$B$419</f>
        <v>Benin</v>
      </c>
    </row>
    <row r="87" spans="1:1" x14ac:dyDescent="0.25">
      <c r="A87" s="21" t="str">
        <f>Translations!$B$420</f>
        <v>Bermuda</v>
      </c>
    </row>
    <row r="88" spans="1:1" x14ac:dyDescent="0.25">
      <c r="A88" s="21" t="str">
        <f>Translations!$B$421</f>
        <v>Bhutan</v>
      </c>
    </row>
    <row r="89" spans="1:1" x14ac:dyDescent="0.25">
      <c r="A89" s="21" t="str">
        <f>Translations!$B$422</f>
        <v>Bolivia, Plurinational State of</v>
      </c>
    </row>
    <row r="90" spans="1:1" x14ac:dyDescent="0.25">
      <c r="A90" s="21" t="str">
        <f>Translations!$B$423</f>
        <v>Bosnia and Herzegovina</v>
      </c>
    </row>
    <row r="91" spans="1:1" x14ac:dyDescent="0.25">
      <c r="A91" s="21" t="str">
        <f>Translations!$B$424</f>
        <v>Botswana</v>
      </c>
    </row>
    <row r="92" spans="1:1" x14ac:dyDescent="0.25">
      <c r="A92" s="21" t="str">
        <f>Translations!$B$425</f>
        <v>Brazil</v>
      </c>
    </row>
    <row r="93" spans="1:1" x14ac:dyDescent="0.25">
      <c r="A93" s="21" t="str">
        <f>Translations!$B$427</f>
        <v>Brunei Darussalam</v>
      </c>
    </row>
    <row r="94" spans="1:1" x14ac:dyDescent="0.25">
      <c r="A94" s="21" t="str">
        <f>Translations!$B$371</f>
        <v>Bulgaria</v>
      </c>
    </row>
    <row r="95" spans="1:1" x14ac:dyDescent="0.25">
      <c r="A95" s="21" t="str">
        <f>Translations!$B$428</f>
        <v>Burkina Faso</v>
      </c>
    </row>
    <row r="96" spans="1:1" x14ac:dyDescent="0.25">
      <c r="A96" s="21" t="str">
        <f>Translations!$B$429</f>
        <v>Burundi</v>
      </c>
    </row>
    <row r="97" spans="1:1" x14ac:dyDescent="0.25">
      <c r="A97" s="21" t="str">
        <f>Translations!$B$430</f>
        <v>Cambodia</v>
      </c>
    </row>
    <row r="98" spans="1:1" x14ac:dyDescent="0.25">
      <c r="A98" s="21" t="str">
        <f>Translations!$B$431</f>
        <v>Cameroon</v>
      </c>
    </row>
    <row r="99" spans="1:1" x14ac:dyDescent="0.25">
      <c r="A99" s="21" t="str">
        <f>Translations!$B$432</f>
        <v>Canada</v>
      </c>
    </row>
    <row r="100" spans="1:1" x14ac:dyDescent="0.25">
      <c r="A100" s="21" t="str">
        <f>Translations!$B$433</f>
        <v>Cape Verde</v>
      </c>
    </row>
    <row r="101" spans="1:1" x14ac:dyDescent="0.25">
      <c r="A101" s="21" t="str">
        <f>Translations!$B$434</f>
        <v>Cayman Islands</v>
      </c>
    </row>
    <row r="102" spans="1:1" x14ac:dyDescent="0.25">
      <c r="A102" s="21" t="str">
        <f>Translations!$B$435</f>
        <v>Central African Republic</v>
      </c>
    </row>
    <row r="103" spans="1:1" x14ac:dyDescent="0.25">
      <c r="A103" s="21" t="str">
        <f>Translations!$B$436</f>
        <v>Chad</v>
      </c>
    </row>
    <row r="104" spans="1:1" x14ac:dyDescent="0.25">
      <c r="A104" s="21" t="str">
        <f>Translations!$B$437</f>
        <v>Channel Islands</v>
      </c>
    </row>
    <row r="105" spans="1:1" x14ac:dyDescent="0.25">
      <c r="A105" s="21" t="str">
        <f>Translations!$B$438</f>
        <v>Chile</v>
      </c>
    </row>
    <row r="106" spans="1:1" x14ac:dyDescent="0.25">
      <c r="A106" s="21" t="str">
        <f>Translations!$B$439</f>
        <v>China</v>
      </c>
    </row>
    <row r="107" spans="1:1" x14ac:dyDescent="0.25">
      <c r="A107" s="21" t="str">
        <f>Translations!$B$442</f>
        <v>Colombia</v>
      </c>
    </row>
    <row r="108" spans="1:1" x14ac:dyDescent="0.25">
      <c r="A108" s="21" t="str">
        <f>Translations!$B$443</f>
        <v>Comoros</v>
      </c>
    </row>
    <row r="109" spans="1:1" x14ac:dyDescent="0.25">
      <c r="A109" s="21" t="str">
        <f>Translations!$B$444</f>
        <v>Congo</v>
      </c>
    </row>
    <row r="110" spans="1:1" x14ac:dyDescent="0.25">
      <c r="A110" s="21" t="str">
        <f>Translations!$B$450</f>
        <v>Congo, The Democratic Republic of the</v>
      </c>
    </row>
    <row r="111" spans="1:1" x14ac:dyDescent="0.25">
      <c r="A111" s="21" t="str">
        <f>Translations!$B$445</f>
        <v>Cook Islands</v>
      </c>
    </row>
    <row r="112" spans="1:1" x14ac:dyDescent="0.25">
      <c r="A112" s="21" t="str">
        <f>Translations!$B$446</f>
        <v>Costa Rica</v>
      </c>
    </row>
    <row r="113" spans="1:1" x14ac:dyDescent="0.25">
      <c r="A113" s="21" t="str">
        <f>Translations!$B$447</f>
        <v>Côte d'Ivoire</v>
      </c>
    </row>
    <row r="114" spans="1:1" x14ac:dyDescent="0.25">
      <c r="A114" s="21" t="str">
        <f>Translations!$B$372</f>
        <v>Croatia</v>
      </c>
    </row>
    <row r="115" spans="1:1" x14ac:dyDescent="0.25">
      <c r="A115" s="21" t="str">
        <f>Translations!$B$448</f>
        <v>Cuba</v>
      </c>
    </row>
    <row r="116" spans="1:1" ht="14.5" x14ac:dyDescent="0.25">
      <c r="A116" s="219" t="str">
        <f>Translations!$B$824</f>
        <v>Curaçao</v>
      </c>
    </row>
    <row r="117" spans="1:1" x14ac:dyDescent="0.25">
      <c r="A117" s="21" t="str">
        <f>Translations!$B$373</f>
        <v>Cyprus</v>
      </c>
    </row>
    <row r="118" spans="1:1" x14ac:dyDescent="0.25">
      <c r="A118" s="21" t="str">
        <f>Translations!$B$374</f>
        <v>Czechia</v>
      </c>
    </row>
    <row r="119" spans="1:1" x14ac:dyDescent="0.25">
      <c r="A119" s="21" t="str">
        <f>Translations!$B$375</f>
        <v>Denmark</v>
      </c>
    </row>
    <row r="120" spans="1:1" x14ac:dyDescent="0.25">
      <c r="A120" s="21" t="str">
        <f>Translations!$B$451</f>
        <v>Djibouti</v>
      </c>
    </row>
    <row r="121" spans="1:1" x14ac:dyDescent="0.25">
      <c r="A121" s="21" t="str">
        <f>Translations!$B$452</f>
        <v>Dominica</v>
      </c>
    </row>
    <row r="122" spans="1:1" x14ac:dyDescent="0.25">
      <c r="A122" s="21" t="str">
        <f>Translations!$B$453</f>
        <v>Dominican Republic</v>
      </c>
    </row>
    <row r="123" spans="1:1" x14ac:dyDescent="0.25">
      <c r="A123" s="21" t="str">
        <f>Translations!$B$454</f>
        <v>Ecuador</v>
      </c>
    </row>
    <row r="124" spans="1:1" x14ac:dyDescent="0.25">
      <c r="A124" s="21" t="str">
        <f>Translations!$B$455</f>
        <v>Egypt</v>
      </c>
    </row>
    <row r="125" spans="1:1" x14ac:dyDescent="0.25">
      <c r="A125" s="21" t="str">
        <f>Translations!$B$456</f>
        <v>El Salvador</v>
      </c>
    </row>
    <row r="126" spans="1:1" x14ac:dyDescent="0.25">
      <c r="A126" s="21" t="str">
        <f>Translations!$B$457</f>
        <v>Equatorial Guinea</v>
      </c>
    </row>
    <row r="127" spans="1:1" x14ac:dyDescent="0.25">
      <c r="A127" s="21" t="str">
        <f>Translations!$B$458</f>
        <v>Eritrea</v>
      </c>
    </row>
    <row r="128" spans="1:1" x14ac:dyDescent="0.25">
      <c r="A128" s="21" t="str">
        <f>Translations!$B$376</f>
        <v>Estonia</v>
      </c>
    </row>
    <row r="129" spans="1:1" x14ac:dyDescent="0.25">
      <c r="A129" s="21" t="str">
        <f>Translations!$B$459</f>
        <v>Ethiopia</v>
      </c>
    </row>
    <row r="130" spans="1:1" x14ac:dyDescent="0.25">
      <c r="A130" s="21" t="str">
        <f>Translations!$B$461</f>
        <v>Falkland Islands (Malvinas)</v>
      </c>
    </row>
    <row r="131" spans="1:1" x14ac:dyDescent="0.25">
      <c r="A131" s="21" t="str">
        <f>Translations!$B$460</f>
        <v>Faroe Islands</v>
      </c>
    </row>
    <row r="132" spans="1:1" x14ac:dyDescent="0.25">
      <c r="A132" s="21" t="str">
        <f>Translations!$B$462</f>
        <v>Fiji</v>
      </c>
    </row>
    <row r="133" spans="1:1" x14ac:dyDescent="0.25">
      <c r="A133" s="21" t="str">
        <f>Translations!$B$377</f>
        <v>Finland</v>
      </c>
    </row>
    <row r="134" spans="1:1" x14ac:dyDescent="0.25">
      <c r="A134" s="21" t="str">
        <f>Translations!$B$378</f>
        <v>France</v>
      </c>
    </row>
    <row r="135" spans="1:1" x14ac:dyDescent="0.25">
      <c r="A135" s="21" t="str">
        <f>Translations!$B$464</f>
        <v>French Polynesia</v>
      </c>
    </row>
    <row r="136" spans="1:1" x14ac:dyDescent="0.25">
      <c r="A136" s="21" t="str">
        <f>Translations!$B$465</f>
        <v>Gabon</v>
      </c>
    </row>
    <row r="137" spans="1:1" x14ac:dyDescent="0.25">
      <c r="A137" s="21" t="str">
        <f>Translations!$B$466</f>
        <v>Gambia</v>
      </c>
    </row>
    <row r="138" spans="1:1" x14ac:dyDescent="0.25">
      <c r="A138" s="21" t="str">
        <f>Translations!$B$467</f>
        <v>Georgia</v>
      </c>
    </row>
    <row r="139" spans="1:1" x14ac:dyDescent="0.25">
      <c r="A139" s="21" t="str">
        <f>Translations!$B$379</f>
        <v>Germany</v>
      </c>
    </row>
    <row r="140" spans="1:1" x14ac:dyDescent="0.25">
      <c r="A140" s="21" t="str">
        <f>Translations!$B$468</f>
        <v>Ghana</v>
      </c>
    </row>
    <row r="141" spans="1:1" x14ac:dyDescent="0.25">
      <c r="A141" s="21" t="str">
        <f>Translations!$B$469</f>
        <v>Gibraltar</v>
      </c>
    </row>
    <row r="142" spans="1:1" x14ac:dyDescent="0.25">
      <c r="A142" s="21" t="str">
        <f>Translations!$B$380</f>
        <v>Greece</v>
      </c>
    </row>
    <row r="143" spans="1:1" x14ac:dyDescent="0.25">
      <c r="A143" s="21" t="str">
        <f>Translations!$B$470</f>
        <v>Greenland</v>
      </c>
    </row>
    <row r="144" spans="1:1" x14ac:dyDescent="0.25">
      <c r="A144" s="21" t="str">
        <f>Translations!$B$471</f>
        <v>Grenada</v>
      </c>
    </row>
    <row r="145" spans="1:1" x14ac:dyDescent="0.25">
      <c r="A145" s="21" t="str">
        <f>Translations!$B$473</f>
        <v>Guam</v>
      </c>
    </row>
    <row r="146" spans="1:1" x14ac:dyDescent="0.25">
      <c r="A146" s="21" t="str">
        <f>Translations!$B$474</f>
        <v>Guatemala</v>
      </c>
    </row>
    <row r="147" spans="1:1" x14ac:dyDescent="0.25">
      <c r="A147" s="21" t="str">
        <f>Translations!$B$475</f>
        <v>Guernsey</v>
      </c>
    </row>
    <row r="148" spans="1:1" x14ac:dyDescent="0.25">
      <c r="A148" s="21" t="str">
        <f>Translations!$B$476</f>
        <v>Guinea</v>
      </c>
    </row>
    <row r="149" spans="1:1" x14ac:dyDescent="0.25">
      <c r="A149" s="21" t="str">
        <f>Translations!$B$477</f>
        <v>Guinea-Bissau</v>
      </c>
    </row>
    <row r="150" spans="1:1" x14ac:dyDescent="0.25">
      <c r="A150" s="21" t="str">
        <f>Translations!$B$478</f>
        <v>Guyana</v>
      </c>
    </row>
    <row r="151" spans="1:1" x14ac:dyDescent="0.25">
      <c r="A151" s="21" t="str">
        <f>Translations!$B$479</f>
        <v>Haiti</v>
      </c>
    </row>
    <row r="152" spans="1:1" x14ac:dyDescent="0.25">
      <c r="A152" s="21" t="str">
        <f>Translations!$B$480</f>
        <v>Holy See (Vatican City State)</v>
      </c>
    </row>
    <row r="153" spans="1:1" x14ac:dyDescent="0.25">
      <c r="A153" s="21" t="str">
        <f>Translations!$B$481</f>
        <v>Honduras</v>
      </c>
    </row>
    <row r="154" spans="1:1" x14ac:dyDescent="0.25">
      <c r="A154" s="21" t="str">
        <f>Translations!$B$440</f>
        <v>Hong Kong SAR</v>
      </c>
    </row>
    <row r="155" spans="1:1" x14ac:dyDescent="0.25">
      <c r="A155" s="21" t="str">
        <f>Translations!$B$381</f>
        <v>Hungary</v>
      </c>
    </row>
    <row r="156" spans="1:1" x14ac:dyDescent="0.25">
      <c r="A156" s="21" t="str">
        <f>Translations!$B$382</f>
        <v>Iceland</v>
      </c>
    </row>
    <row r="157" spans="1:1" x14ac:dyDescent="0.25">
      <c r="A157" s="21" t="str">
        <f>Translations!$B$482</f>
        <v>India</v>
      </c>
    </row>
    <row r="158" spans="1:1" x14ac:dyDescent="0.25">
      <c r="A158" s="21" t="str">
        <f>Translations!$B$483</f>
        <v>Indonesia</v>
      </c>
    </row>
    <row r="159" spans="1:1" x14ac:dyDescent="0.25">
      <c r="A159" s="21" t="str">
        <f>Translations!$B$484</f>
        <v>Iran, Islamic Republic of</v>
      </c>
    </row>
    <row r="160" spans="1:1" x14ac:dyDescent="0.25">
      <c r="A160" s="21" t="str">
        <f>Translations!$B$485</f>
        <v>Iraq</v>
      </c>
    </row>
    <row r="161" spans="1:1" x14ac:dyDescent="0.25">
      <c r="A161" s="21" t="str">
        <f>Translations!$B$383</f>
        <v>Ireland</v>
      </c>
    </row>
    <row r="162" spans="1:1" x14ac:dyDescent="0.25">
      <c r="A162" s="21" t="str">
        <f>Translations!$B$486</f>
        <v>Isle of Man</v>
      </c>
    </row>
    <row r="163" spans="1:1" x14ac:dyDescent="0.25">
      <c r="A163" s="21" t="str">
        <f>Translations!$B$487</f>
        <v>Israel</v>
      </c>
    </row>
    <row r="164" spans="1:1" x14ac:dyDescent="0.25">
      <c r="A164" s="21" t="str">
        <f>Translations!$B$384</f>
        <v>Italy</v>
      </c>
    </row>
    <row r="165" spans="1:1" x14ac:dyDescent="0.25">
      <c r="A165" s="21" t="str">
        <f>Translations!$B$488</f>
        <v>Jamaica</v>
      </c>
    </row>
    <row r="166" spans="1:1" x14ac:dyDescent="0.25">
      <c r="A166" s="21" t="str">
        <f>Translations!$B$489</f>
        <v>Japan</v>
      </c>
    </row>
    <row r="167" spans="1:1" x14ac:dyDescent="0.25">
      <c r="A167" s="21" t="str">
        <f>Translations!$B$490</f>
        <v>Jersey</v>
      </c>
    </row>
    <row r="168" spans="1:1" x14ac:dyDescent="0.25">
      <c r="A168" s="21" t="str">
        <f>Translations!$B$491</f>
        <v>Jordan</v>
      </c>
    </row>
    <row r="169" spans="1:1" x14ac:dyDescent="0.25">
      <c r="A169" s="21" t="str">
        <f>Translations!$B$492</f>
        <v>Kazakhstan</v>
      </c>
    </row>
    <row r="170" spans="1:1" x14ac:dyDescent="0.25">
      <c r="A170" s="21" t="str">
        <f>Translations!$B$493</f>
        <v>Kenya</v>
      </c>
    </row>
    <row r="171" spans="1:1" x14ac:dyDescent="0.25">
      <c r="A171" s="21" t="str">
        <f>Translations!$B$494</f>
        <v>Kiribati</v>
      </c>
    </row>
    <row r="172" spans="1:1" x14ac:dyDescent="0.25">
      <c r="A172" s="21" t="str">
        <f>Translations!$B$449</f>
        <v>Korea, Democratic People's Republic of</v>
      </c>
    </row>
    <row r="173" spans="1:1" x14ac:dyDescent="0.25">
      <c r="A173" s="21" t="str">
        <f>Translations!$B$545</f>
        <v>Korea, Republic of</v>
      </c>
    </row>
    <row r="174" spans="1:1" ht="14.5" x14ac:dyDescent="0.25">
      <c r="A174" s="219" t="str">
        <f>Translations!$B$825</f>
        <v>Kosovo, United Nations Interim Administration Mission</v>
      </c>
    </row>
    <row r="175" spans="1:1" x14ac:dyDescent="0.25">
      <c r="A175" s="21" t="str">
        <f>Translations!$B$495</f>
        <v>Kuwait</v>
      </c>
    </row>
    <row r="176" spans="1:1" x14ac:dyDescent="0.25">
      <c r="A176" s="21" t="str">
        <f>Translations!$B$496</f>
        <v>Kyrgyzstan</v>
      </c>
    </row>
    <row r="177" spans="1:1" x14ac:dyDescent="0.25">
      <c r="A177" s="21" t="str">
        <f>Translations!$B$497</f>
        <v>Lao People's Democratic Republic</v>
      </c>
    </row>
    <row r="178" spans="1:1" x14ac:dyDescent="0.25">
      <c r="A178" s="21" t="str">
        <f>Translations!$B$385</f>
        <v>Latvia</v>
      </c>
    </row>
    <row r="179" spans="1:1" x14ac:dyDescent="0.25">
      <c r="A179" s="21" t="str">
        <f>Translations!$B$498</f>
        <v>Lebanon</v>
      </c>
    </row>
    <row r="180" spans="1:1" x14ac:dyDescent="0.25">
      <c r="A180" s="21" t="str">
        <f>Translations!$B$499</f>
        <v>Lesotho</v>
      </c>
    </row>
    <row r="181" spans="1:1" x14ac:dyDescent="0.25">
      <c r="A181" s="21" t="str">
        <f>Translations!$B$500</f>
        <v>Liberia</v>
      </c>
    </row>
    <row r="182" spans="1:1" x14ac:dyDescent="0.25">
      <c r="A182" s="21" t="str">
        <f>Translations!$B$501</f>
        <v>Libya</v>
      </c>
    </row>
    <row r="183" spans="1:1" x14ac:dyDescent="0.25">
      <c r="A183" s="21" t="str">
        <f>Translations!$B$386</f>
        <v>Liechtenstein</v>
      </c>
    </row>
    <row r="184" spans="1:1" x14ac:dyDescent="0.25">
      <c r="A184" s="21" t="str">
        <f>Translations!$B$387</f>
        <v>Lithuania</v>
      </c>
    </row>
    <row r="185" spans="1:1" x14ac:dyDescent="0.25">
      <c r="A185" s="21" t="str">
        <f>Translations!$B$388</f>
        <v>Luxembourg</v>
      </c>
    </row>
    <row r="186" spans="1:1" x14ac:dyDescent="0.25">
      <c r="A186" s="21" t="str">
        <f>Translations!$B$441</f>
        <v>Macao SAR</v>
      </c>
    </row>
    <row r="187" spans="1:1" x14ac:dyDescent="0.25">
      <c r="A187" s="366" t="str">
        <f>Translations!$B$1194</f>
        <v>North Macedonia</v>
      </c>
    </row>
    <row r="188" spans="1:1" x14ac:dyDescent="0.25">
      <c r="A188" s="21" t="str">
        <f>Translations!$B$502</f>
        <v>Madagascar</v>
      </c>
    </row>
    <row r="189" spans="1:1" x14ac:dyDescent="0.25">
      <c r="A189" s="21" t="str">
        <f>Translations!$B$503</f>
        <v>Malawi</v>
      </c>
    </row>
    <row r="190" spans="1:1" x14ac:dyDescent="0.25">
      <c r="A190" s="21" t="str">
        <f>Translations!$B$504</f>
        <v>Malaysia</v>
      </c>
    </row>
    <row r="191" spans="1:1" x14ac:dyDescent="0.25">
      <c r="A191" s="21" t="str">
        <f>Translations!$B$505</f>
        <v>Maldives</v>
      </c>
    </row>
    <row r="192" spans="1:1" x14ac:dyDescent="0.25">
      <c r="A192" s="21" t="str">
        <f>Translations!$B$506</f>
        <v>Mali</v>
      </c>
    </row>
    <row r="193" spans="1:1" x14ac:dyDescent="0.25">
      <c r="A193" s="21" t="str">
        <f>Translations!$B$389</f>
        <v>Malta</v>
      </c>
    </row>
    <row r="194" spans="1:1" x14ac:dyDescent="0.25">
      <c r="A194" s="21" t="str">
        <f>Translations!$B$507</f>
        <v>Marshall Islands</v>
      </c>
    </row>
    <row r="195" spans="1:1" x14ac:dyDescent="0.25">
      <c r="A195" s="21" t="str">
        <f>Translations!$B$509</f>
        <v>Mauritania</v>
      </c>
    </row>
    <row r="196" spans="1:1" x14ac:dyDescent="0.25">
      <c r="A196" s="21" t="str">
        <f>Translations!$B$510</f>
        <v>Mauritius</v>
      </c>
    </row>
    <row r="197" spans="1:1" x14ac:dyDescent="0.25">
      <c r="A197" s="21" t="str">
        <f>Translations!$B$511</f>
        <v>Mayotte</v>
      </c>
    </row>
    <row r="198" spans="1:1" x14ac:dyDescent="0.25">
      <c r="A198" s="21" t="str">
        <f>Translations!$B$512</f>
        <v>Mexico</v>
      </c>
    </row>
    <row r="199" spans="1:1" x14ac:dyDescent="0.25">
      <c r="A199" s="21" t="str">
        <f>Translations!$B$513</f>
        <v>Micronesia, Federated States of</v>
      </c>
    </row>
    <row r="200" spans="1:1" x14ac:dyDescent="0.25">
      <c r="A200" s="21" t="str">
        <f>Translations!$B$546</f>
        <v>Moldova, Republic of</v>
      </c>
    </row>
    <row r="201" spans="1:1" x14ac:dyDescent="0.25">
      <c r="A201" s="21" t="str">
        <f>Translations!$B$514</f>
        <v>Monaco</v>
      </c>
    </row>
    <row r="202" spans="1:1" x14ac:dyDescent="0.25">
      <c r="A202" s="21" t="str">
        <f>Translations!$B$515</f>
        <v>Mongolia</v>
      </c>
    </row>
    <row r="203" spans="1:1" x14ac:dyDescent="0.25">
      <c r="A203" s="21" t="str">
        <f>Translations!$B$516</f>
        <v>Montenegro</v>
      </c>
    </row>
    <row r="204" spans="1:1" x14ac:dyDescent="0.25">
      <c r="A204" s="21" t="str">
        <f>Translations!$B$517</f>
        <v>Montserrat</v>
      </c>
    </row>
    <row r="205" spans="1:1" x14ac:dyDescent="0.25">
      <c r="A205" s="21" t="str">
        <f>Translations!$B$518</f>
        <v>Morocco</v>
      </c>
    </row>
    <row r="206" spans="1:1" x14ac:dyDescent="0.25">
      <c r="A206" s="21" t="str">
        <f>Translations!$B$519</f>
        <v>Mozambique</v>
      </c>
    </row>
    <row r="207" spans="1:1" x14ac:dyDescent="0.25">
      <c r="A207" s="21" t="str">
        <f>Translations!$B$520</f>
        <v>Myanmar</v>
      </c>
    </row>
    <row r="208" spans="1:1" x14ac:dyDescent="0.25">
      <c r="A208" s="21" t="str">
        <f>Translations!$B$521</f>
        <v>Namibia</v>
      </c>
    </row>
    <row r="209" spans="1:1" x14ac:dyDescent="0.25">
      <c r="A209" s="21" t="str">
        <f>Translations!$B$522</f>
        <v>Nauru</v>
      </c>
    </row>
    <row r="210" spans="1:1" x14ac:dyDescent="0.25">
      <c r="A210" s="21" t="str">
        <f>Translations!$B$523</f>
        <v>Nepal</v>
      </c>
    </row>
    <row r="211" spans="1:1" x14ac:dyDescent="0.25">
      <c r="A211" s="21" t="str">
        <f>Translations!$B$390</f>
        <v>Netherlands</v>
      </c>
    </row>
    <row r="212" spans="1:1" x14ac:dyDescent="0.25">
      <c r="A212" s="21" t="str">
        <f>Translations!$B$525</f>
        <v>New Caledonia</v>
      </c>
    </row>
    <row r="213" spans="1:1" x14ac:dyDescent="0.25">
      <c r="A213" s="21" t="str">
        <f>Translations!$B$526</f>
        <v>New Zealand</v>
      </c>
    </row>
    <row r="214" spans="1:1" x14ac:dyDescent="0.25">
      <c r="A214" s="21" t="str">
        <f>Translations!$B$527</f>
        <v>Nicaragua</v>
      </c>
    </row>
    <row r="215" spans="1:1" x14ac:dyDescent="0.25">
      <c r="A215" s="21" t="str">
        <f>Translations!$B$528</f>
        <v>Niger</v>
      </c>
    </row>
    <row r="216" spans="1:1" x14ac:dyDescent="0.25">
      <c r="A216" s="21" t="str">
        <f>Translations!$B$529</f>
        <v>Nigeria</v>
      </c>
    </row>
    <row r="217" spans="1:1" x14ac:dyDescent="0.25">
      <c r="A217" s="21" t="str">
        <f>Translations!$B$530</f>
        <v>Niue</v>
      </c>
    </row>
    <row r="218" spans="1:1" x14ac:dyDescent="0.25">
      <c r="A218" s="21" t="str">
        <f>Translations!$B$531</f>
        <v>Norfolk Island</v>
      </c>
    </row>
    <row r="219" spans="1:1" x14ac:dyDescent="0.25">
      <c r="A219" s="21" t="str">
        <f>Translations!$B$532</f>
        <v>Northern Mariana Islands</v>
      </c>
    </row>
    <row r="220" spans="1:1" x14ac:dyDescent="0.25">
      <c r="A220" s="21" t="str">
        <f>Translations!$B$391</f>
        <v>Norway</v>
      </c>
    </row>
    <row r="221" spans="1:1" x14ac:dyDescent="0.25">
      <c r="A221" s="21" t="str">
        <f>Translations!$B$534</f>
        <v>Oman</v>
      </c>
    </row>
    <row r="222" spans="1:1" x14ac:dyDescent="0.25">
      <c r="A222" s="21" t="str">
        <f>Translations!$B$535</f>
        <v>Pakistan</v>
      </c>
    </row>
    <row r="223" spans="1:1" x14ac:dyDescent="0.25">
      <c r="A223" s="21" t="str">
        <f>Translations!$B$536</f>
        <v>Palau</v>
      </c>
    </row>
    <row r="224" spans="1:1" x14ac:dyDescent="0.25">
      <c r="A224" s="21" t="str">
        <f>Translations!$B$533</f>
        <v>Palestinian Territory, Occupied</v>
      </c>
    </row>
    <row r="225" spans="1:1" x14ac:dyDescent="0.25">
      <c r="A225" s="21" t="str">
        <f>Translations!$B$537</f>
        <v>Panama</v>
      </c>
    </row>
    <row r="226" spans="1:1" x14ac:dyDescent="0.25">
      <c r="A226" s="21" t="str">
        <f>Translations!$B$538</f>
        <v>Papua New Guinea</v>
      </c>
    </row>
    <row r="227" spans="1:1" x14ac:dyDescent="0.25">
      <c r="A227" s="21" t="str">
        <f>Translations!$B$539</f>
        <v>Paraguay</v>
      </c>
    </row>
    <row r="228" spans="1:1" x14ac:dyDescent="0.25">
      <c r="A228" s="21" t="str">
        <f>Translations!$B$540</f>
        <v>Peru</v>
      </c>
    </row>
    <row r="229" spans="1:1" x14ac:dyDescent="0.25">
      <c r="A229" s="21" t="str">
        <f>Translations!$B$541</f>
        <v>Philippines</v>
      </c>
    </row>
    <row r="230" spans="1:1" x14ac:dyDescent="0.25">
      <c r="A230" s="21" t="str">
        <f>Translations!$B$542</f>
        <v>Pitcairn</v>
      </c>
    </row>
    <row r="231" spans="1:1" x14ac:dyDescent="0.25">
      <c r="A231" s="21" t="str">
        <f>Translations!$B$392</f>
        <v>Poland</v>
      </c>
    </row>
    <row r="232" spans="1:1" x14ac:dyDescent="0.25">
      <c r="A232" s="21" t="str">
        <f>Translations!$B$393</f>
        <v>Portugal</v>
      </c>
    </row>
    <row r="233" spans="1:1" x14ac:dyDescent="0.25">
      <c r="A233" s="21" t="str">
        <f>Translations!$B$543</f>
        <v>Puerto Rico</v>
      </c>
    </row>
    <row r="234" spans="1:1" x14ac:dyDescent="0.25">
      <c r="A234" s="21" t="str">
        <f>Translations!$B$544</f>
        <v>Qatar</v>
      </c>
    </row>
    <row r="235" spans="1:1" x14ac:dyDescent="0.25">
      <c r="A235" s="21" t="str">
        <f>Translations!$B$394</f>
        <v>Romania</v>
      </c>
    </row>
    <row r="236" spans="1:1" x14ac:dyDescent="0.25">
      <c r="A236" s="21" t="str">
        <f>Translations!$B$548</f>
        <v>Russian Federation</v>
      </c>
    </row>
    <row r="237" spans="1:1" x14ac:dyDescent="0.25">
      <c r="A237" s="21" t="str">
        <f>Translations!$B$549</f>
        <v>Rwanda</v>
      </c>
    </row>
    <row r="238" spans="1:1" x14ac:dyDescent="0.25">
      <c r="A238" s="21" t="str">
        <f>Translations!$B$550</f>
        <v>Saint Barthélemy</v>
      </c>
    </row>
    <row r="239" spans="1:1" ht="14.5" x14ac:dyDescent="0.25">
      <c r="A239" s="219" t="str">
        <f>Translations!$B$826</f>
        <v>Saint Helena, Ascension and Tristan da Cunha</v>
      </c>
    </row>
    <row r="240" spans="1:1" x14ac:dyDescent="0.25">
      <c r="A240" s="21" t="str">
        <f>Translations!$B$552</f>
        <v>Saint Kitts and Nevis</v>
      </c>
    </row>
    <row r="241" spans="1:1" x14ac:dyDescent="0.25">
      <c r="A241" s="21" t="str">
        <f>Translations!$B$553</f>
        <v>Saint Lucia</v>
      </c>
    </row>
    <row r="242" spans="1:1" x14ac:dyDescent="0.25">
      <c r="A242" s="21" t="str">
        <f>Translations!$B$555</f>
        <v>Saint Pierre and Miquelon</v>
      </c>
    </row>
    <row r="243" spans="1:1" x14ac:dyDescent="0.25">
      <c r="A243" s="21" t="str">
        <f>Translations!$B$556</f>
        <v>Saint Vincent and the Grenadines</v>
      </c>
    </row>
    <row r="244" spans="1:1" x14ac:dyDescent="0.25">
      <c r="A244" s="21" t="str">
        <f>Translations!$B$554</f>
        <v>Saint-Martin (French part)</v>
      </c>
    </row>
    <row r="245" spans="1:1" x14ac:dyDescent="0.25">
      <c r="A245" s="21" t="str">
        <f>Translations!$B$557</f>
        <v>Samoa</v>
      </c>
    </row>
    <row r="246" spans="1:1" x14ac:dyDescent="0.25">
      <c r="A246" s="21" t="str">
        <f>Translations!$B$558</f>
        <v>San Marino</v>
      </c>
    </row>
    <row r="247" spans="1:1" x14ac:dyDescent="0.25">
      <c r="A247" s="21" t="str">
        <f>Translations!$B$559</f>
        <v>Sao Tome and Principe</v>
      </c>
    </row>
    <row r="248" spans="1:1" x14ac:dyDescent="0.25">
      <c r="A248" s="21" t="str">
        <f>Translations!$B$560</f>
        <v>Saudi Arabia</v>
      </c>
    </row>
    <row r="249" spans="1:1" x14ac:dyDescent="0.25">
      <c r="A249" s="21" t="str">
        <f>Translations!$B$561</f>
        <v>Senegal</v>
      </c>
    </row>
    <row r="250" spans="1:1" x14ac:dyDescent="0.25">
      <c r="A250" s="21" t="str">
        <f>Translations!$B$562</f>
        <v>Serbia</v>
      </c>
    </row>
    <row r="251" spans="1:1" x14ac:dyDescent="0.25">
      <c r="A251" s="21" t="str">
        <f>Translations!$B$563</f>
        <v>Seychelles</v>
      </c>
    </row>
    <row r="252" spans="1:1" x14ac:dyDescent="0.25">
      <c r="A252" s="21" t="str">
        <f>Translations!$B$564</f>
        <v>Sierra Leone</v>
      </c>
    </row>
    <row r="253" spans="1:1" x14ac:dyDescent="0.25">
      <c r="A253" s="21" t="str">
        <f>Translations!$B$565</f>
        <v>Singapore</v>
      </c>
    </row>
    <row r="254" spans="1:1" ht="14.5" x14ac:dyDescent="0.25">
      <c r="A254" s="219" t="str">
        <f>Translations!$B$827</f>
        <v>Sint Maarten (Dutch Part)</v>
      </c>
    </row>
    <row r="255" spans="1:1" x14ac:dyDescent="0.25">
      <c r="A255" s="21" t="str">
        <f>Translations!$B$395</f>
        <v>Slovakia</v>
      </c>
    </row>
    <row r="256" spans="1:1" x14ac:dyDescent="0.25">
      <c r="A256" s="21" t="str">
        <f>Translations!$B$396</f>
        <v>Slovenia</v>
      </c>
    </row>
    <row r="257" spans="1:1" x14ac:dyDescent="0.25">
      <c r="A257" s="21" t="str">
        <f>Translations!$B$566</f>
        <v>Solomon Islands</v>
      </c>
    </row>
    <row r="258" spans="1:1" x14ac:dyDescent="0.25">
      <c r="A258" s="21" t="str">
        <f>Translations!$B$567</f>
        <v>Somalia</v>
      </c>
    </row>
    <row r="259" spans="1:1" x14ac:dyDescent="0.25">
      <c r="A259" s="21" t="str">
        <f>Translations!$B$568</f>
        <v>South Africa</v>
      </c>
    </row>
    <row r="260" spans="1:1" ht="14.5" x14ac:dyDescent="0.25">
      <c r="A260" s="219" t="str">
        <f>Translations!$B$828</f>
        <v>South Georgia and the South Sandwich Islands</v>
      </c>
    </row>
    <row r="261" spans="1:1" ht="14.5" x14ac:dyDescent="0.25">
      <c r="A261" s="219" t="str">
        <f>Translations!$B$829</f>
        <v>South Sudan</v>
      </c>
    </row>
    <row r="262" spans="1:1" x14ac:dyDescent="0.25">
      <c r="A262" s="21" t="str">
        <f>Translations!$B$397</f>
        <v>Spain</v>
      </c>
    </row>
    <row r="263" spans="1:1" x14ac:dyDescent="0.25">
      <c r="A263" s="21" t="str">
        <f>Translations!$B$569</f>
        <v>Sri Lanka</v>
      </c>
    </row>
    <row r="264" spans="1:1" x14ac:dyDescent="0.25">
      <c r="A264" s="21" t="str">
        <f>Translations!$B$570</f>
        <v>Sudan</v>
      </c>
    </row>
    <row r="265" spans="1:1" x14ac:dyDescent="0.25">
      <c r="A265" s="21" t="str">
        <f>Translations!$B$571</f>
        <v>Suriname</v>
      </c>
    </row>
    <row r="266" spans="1:1" x14ac:dyDescent="0.25">
      <c r="A266" s="21" t="str">
        <f>Translations!$B$572</f>
        <v>Svalbard and Jan Mayen Islands</v>
      </c>
    </row>
    <row r="267" spans="1:1" x14ac:dyDescent="0.25">
      <c r="A267" s="21" t="str">
        <f>Translations!$B$573</f>
        <v>Swaziland</v>
      </c>
    </row>
    <row r="268" spans="1:1" x14ac:dyDescent="0.25">
      <c r="A268" s="21" t="str">
        <f>Translations!$B$398</f>
        <v>Sweden</v>
      </c>
    </row>
    <row r="269" spans="1:1" x14ac:dyDescent="0.25">
      <c r="A269" s="21" t="str">
        <f>Translations!$B$574</f>
        <v>Switzerland</v>
      </c>
    </row>
    <row r="270" spans="1:1" x14ac:dyDescent="0.25">
      <c r="A270" s="21" t="str">
        <f>Translations!$B$575</f>
        <v>Syrian Arab Republic</v>
      </c>
    </row>
    <row r="271" spans="1:1" ht="14.5" x14ac:dyDescent="0.25">
      <c r="A271" s="219" t="str">
        <f>Translations!$B$830</f>
        <v>Taiwan</v>
      </c>
    </row>
    <row r="272" spans="1:1" x14ac:dyDescent="0.25">
      <c r="A272" s="21" t="str">
        <f>Translations!$B$576</f>
        <v>Tajikistan</v>
      </c>
    </row>
    <row r="273" spans="1:1" x14ac:dyDescent="0.25">
      <c r="A273" s="21" t="str">
        <f>Translations!$B$592</f>
        <v>Tanzania, United Republic of</v>
      </c>
    </row>
    <row r="274" spans="1:1" x14ac:dyDescent="0.25">
      <c r="A274" s="21" t="str">
        <f>Translations!$B$577</f>
        <v>Thailand</v>
      </c>
    </row>
    <row r="275" spans="1:1" x14ac:dyDescent="0.25">
      <c r="A275" s="21" t="str">
        <f>Translations!$B$579</f>
        <v>Timor-Leste</v>
      </c>
    </row>
    <row r="276" spans="1:1" x14ac:dyDescent="0.25">
      <c r="A276" s="21" t="str">
        <f>Translations!$B$580</f>
        <v>Togo</v>
      </c>
    </row>
    <row r="277" spans="1:1" x14ac:dyDescent="0.25">
      <c r="A277" s="21" t="str">
        <f>Translations!$B$581</f>
        <v>Tokelau</v>
      </c>
    </row>
    <row r="278" spans="1:1" x14ac:dyDescent="0.25">
      <c r="A278" s="21" t="str">
        <f>Translations!$B$582</f>
        <v>Tonga</v>
      </c>
    </row>
    <row r="279" spans="1:1" x14ac:dyDescent="0.25">
      <c r="A279" s="21" t="str">
        <f>Translations!$B$583</f>
        <v>Trinidad and Tobago</v>
      </c>
    </row>
    <row r="280" spans="1:1" x14ac:dyDescent="0.25">
      <c r="A280" s="21" t="str">
        <f>Translations!$B$584</f>
        <v>Tunisia</v>
      </c>
    </row>
    <row r="281" spans="1:1" x14ac:dyDescent="0.25">
      <c r="A281" s="21" t="str">
        <f>Translations!$B$1323</f>
        <v>Türkiye</v>
      </c>
    </row>
    <row r="282" spans="1:1" x14ac:dyDescent="0.25">
      <c r="A282" s="21" t="str">
        <f>Translations!$B$586</f>
        <v>Turkmenistan</v>
      </c>
    </row>
    <row r="283" spans="1:1" x14ac:dyDescent="0.25">
      <c r="A283" s="21" t="str">
        <f>Translations!$B$587</f>
        <v>Turks and Caicos Islands</v>
      </c>
    </row>
    <row r="284" spans="1:1" x14ac:dyDescent="0.25">
      <c r="A284" s="21" t="str">
        <f>Translations!$B$588</f>
        <v>Tuvalu</v>
      </c>
    </row>
    <row r="285" spans="1:1" x14ac:dyDescent="0.25">
      <c r="A285" s="21" t="str">
        <f>Translations!$B$589</f>
        <v>Uganda</v>
      </c>
    </row>
    <row r="286" spans="1:1" x14ac:dyDescent="0.25">
      <c r="A286" s="21" t="str">
        <f>Translations!$B$590</f>
        <v>Ukraine</v>
      </c>
    </row>
    <row r="287" spans="1:1" x14ac:dyDescent="0.25">
      <c r="A287" s="21" t="str">
        <f>Translations!$B$591</f>
        <v>United Arab Emirates</v>
      </c>
    </row>
    <row r="288" spans="1:1" x14ac:dyDescent="0.25">
      <c r="A288" s="21" t="str">
        <f>Translations!$B$399</f>
        <v>United Kingdom</v>
      </c>
    </row>
    <row r="289" spans="1:1" x14ac:dyDescent="0.25">
      <c r="A289" s="21" t="str">
        <f>Translations!$B$593</f>
        <v>United States</v>
      </c>
    </row>
    <row r="290" spans="1:1" x14ac:dyDescent="0.25">
      <c r="A290" s="21" t="str">
        <f>Translations!$B$595</f>
        <v>Uruguay</v>
      </c>
    </row>
    <row r="291" spans="1:1" x14ac:dyDescent="0.25">
      <c r="A291" s="21" t="str">
        <f>Translations!$B$596</f>
        <v>Uzbekistan</v>
      </c>
    </row>
    <row r="292" spans="1:1" x14ac:dyDescent="0.25">
      <c r="A292" s="21" t="str">
        <f>Translations!$B$597</f>
        <v>Vanuatu</v>
      </c>
    </row>
    <row r="293" spans="1:1" x14ac:dyDescent="0.25">
      <c r="A293" s="21" t="str">
        <f>Translations!$B$598</f>
        <v>Venezuela, Bolivarian Republic of</v>
      </c>
    </row>
    <row r="294" spans="1:1" x14ac:dyDescent="0.25">
      <c r="A294" s="21" t="str">
        <f>Translations!$B$599</f>
        <v>Viet Nam</v>
      </c>
    </row>
    <row r="295" spans="1:1" x14ac:dyDescent="0.25">
      <c r="A295" s="21" t="str">
        <f>Translations!$B$426</f>
        <v>Virgin Islands, British</v>
      </c>
    </row>
    <row r="296" spans="1:1" x14ac:dyDescent="0.25">
      <c r="A296" s="21" t="str">
        <f>Translations!$B$594</f>
        <v>Virgin Islands, U.S.</v>
      </c>
    </row>
    <row r="297" spans="1:1" x14ac:dyDescent="0.25">
      <c r="A297" s="21" t="str">
        <f>Translations!$B$600</f>
        <v>Wallis and Futuna Islands</v>
      </c>
    </row>
    <row r="298" spans="1:1" x14ac:dyDescent="0.25">
      <c r="A298" s="21" t="str">
        <f>Translations!$B$601</f>
        <v>Western Sahara</v>
      </c>
    </row>
    <row r="299" spans="1:1" x14ac:dyDescent="0.25">
      <c r="A299" s="21" t="str">
        <f>Translations!$B$602</f>
        <v>Yemen</v>
      </c>
    </row>
    <row r="300" spans="1:1" x14ac:dyDescent="0.25">
      <c r="A300" s="21" t="str">
        <f>Translations!$B$603</f>
        <v>Zambia</v>
      </c>
    </row>
    <row r="301" spans="1:1" x14ac:dyDescent="0.25">
      <c r="A301" s="21" t="str">
        <f>Translations!$B$604</f>
        <v>Zimbabwe</v>
      </c>
    </row>
    <row r="305" spans="1:1" x14ac:dyDescent="0.25">
      <c r="A305" s="9" t="s">
        <v>256</v>
      </c>
    </row>
    <row r="306" spans="1:1" x14ac:dyDescent="0.25">
      <c r="A306" s="8" t="str">
        <f>Translations!$B$605</f>
        <v>submitted to competent authority</v>
      </c>
    </row>
    <row r="307" spans="1:1" x14ac:dyDescent="0.25">
      <c r="A307" s="8" t="str">
        <f>Translations!$B$606</f>
        <v>approved by competent authority</v>
      </c>
    </row>
    <row r="308" spans="1:1" x14ac:dyDescent="0.25">
      <c r="A308" s="8" t="str">
        <f>Translations!$B$607</f>
        <v>rejected by competent authority</v>
      </c>
    </row>
    <row r="309" spans="1:1" x14ac:dyDescent="0.25">
      <c r="A309" s="8" t="str">
        <f>Translations!$B$608</f>
        <v>returned with remarks</v>
      </c>
    </row>
    <row r="310" spans="1:1" x14ac:dyDescent="0.25">
      <c r="A310" s="8" t="str">
        <f>Translations!$B$609</f>
        <v>working draft</v>
      </c>
    </row>
    <row r="311" spans="1:1" x14ac:dyDescent="0.25">
      <c r="A311" s="8"/>
    </row>
    <row r="318" spans="1:1" ht="13" x14ac:dyDescent="0.3">
      <c r="A318" s="20" t="s">
        <v>257</v>
      </c>
    </row>
    <row r="319" spans="1:1" x14ac:dyDescent="0.25">
      <c r="A319" s="21" t="str">
        <f>Translations!$B$368</f>
        <v>Please select</v>
      </c>
    </row>
    <row r="320" spans="1:1" x14ac:dyDescent="0.25">
      <c r="A320" s="21" t="str">
        <f>Translations!$B$610</f>
        <v>Commercial</v>
      </c>
    </row>
    <row r="321" spans="1:1" x14ac:dyDescent="0.25">
      <c r="A321" s="21" t="str">
        <f>Translations!$B$611</f>
        <v>Non-commercial</v>
      </c>
    </row>
    <row r="324" spans="1:1" ht="13" x14ac:dyDescent="0.3">
      <c r="A324" s="20" t="s">
        <v>258</v>
      </c>
    </row>
    <row r="325" spans="1:1" x14ac:dyDescent="0.25">
      <c r="A325" s="21" t="str">
        <f>Translations!$B$368</f>
        <v>Please select</v>
      </c>
    </row>
    <row r="326" spans="1:1" x14ac:dyDescent="0.25">
      <c r="A326" s="21" t="str">
        <f>Translations!$B$612</f>
        <v>Scheduled flights</v>
      </c>
    </row>
    <row r="327" spans="1:1" x14ac:dyDescent="0.25">
      <c r="A327" s="21" t="str">
        <f>Translations!$B$613</f>
        <v>Non-scheduled flights</v>
      </c>
    </row>
    <row r="328" spans="1:1" x14ac:dyDescent="0.25">
      <c r="A328" s="21" t="str">
        <f>Translations!$B$614</f>
        <v>Scheduled and non-scheduled flights</v>
      </c>
    </row>
    <row r="331" spans="1:1" ht="13" x14ac:dyDescent="0.3">
      <c r="A331" s="20" t="s">
        <v>259</v>
      </c>
    </row>
    <row r="332" spans="1:1" x14ac:dyDescent="0.25">
      <c r="A332" s="21" t="str">
        <f>Translations!$B$368</f>
        <v>Please select</v>
      </c>
    </row>
    <row r="333" spans="1:1" x14ac:dyDescent="0.25">
      <c r="A333" s="22" t="str">
        <f>Translations!$B$615</f>
        <v>Only intra-EEA flights</v>
      </c>
    </row>
    <row r="334" spans="1:1" x14ac:dyDescent="0.25">
      <c r="A334" s="22" t="str">
        <f>Translations!$B$616</f>
        <v>Flights inside and outside the EEA</v>
      </c>
    </row>
    <row r="337" spans="1:1" ht="13" x14ac:dyDescent="0.3">
      <c r="A337" s="20" t="s">
        <v>260</v>
      </c>
    </row>
    <row r="338" spans="1:1" x14ac:dyDescent="0.25">
      <c r="A338" s="21" t="str">
        <f>Translations!$B$368</f>
        <v>Please select</v>
      </c>
    </row>
    <row r="339" spans="1:1" x14ac:dyDescent="0.25">
      <c r="A339" s="21"/>
    </row>
    <row r="340" spans="1:1" x14ac:dyDescent="0.25">
      <c r="A340" s="21" t="str">
        <f>Translations!$B$617</f>
        <v>Captain</v>
      </c>
    </row>
    <row r="341" spans="1:1" x14ac:dyDescent="0.25">
      <c r="A341" s="21" t="str">
        <f>Translations!$B$618</f>
        <v>Mr</v>
      </c>
    </row>
    <row r="342" spans="1:1" x14ac:dyDescent="0.25">
      <c r="A342" s="21" t="str">
        <f>Translations!$B$619</f>
        <v>Mrs</v>
      </c>
    </row>
    <row r="343" spans="1:1" x14ac:dyDescent="0.25">
      <c r="A343" s="21" t="str">
        <f>Translations!$B$620</f>
        <v>Ms</v>
      </c>
    </row>
    <row r="344" spans="1:1" x14ac:dyDescent="0.25">
      <c r="A344" s="21" t="str">
        <f>Translations!$B$621</f>
        <v>Miss</v>
      </c>
    </row>
    <row r="345" spans="1:1" x14ac:dyDescent="0.25">
      <c r="A345" s="21" t="str">
        <f>Translations!$B$622</f>
        <v>Dr</v>
      </c>
    </row>
    <row r="347" spans="1:1" ht="13" x14ac:dyDescent="0.3">
      <c r="A347" s="20" t="s">
        <v>261</v>
      </c>
    </row>
    <row r="348" spans="1:1" x14ac:dyDescent="0.25">
      <c r="A348" s="22" t="str">
        <f>Translations!$B$368</f>
        <v>Please select</v>
      </c>
    </row>
    <row r="349" spans="1:1" x14ac:dyDescent="0.25">
      <c r="A349" s="22"/>
    </row>
    <row r="350" spans="1:1" x14ac:dyDescent="0.25">
      <c r="A350" s="21" t="str">
        <f>Translations!$B$623</f>
        <v>Company / Limited Liability Partnership</v>
      </c>
    </row>
    <row r="351" spans="1:1" x14ac:dyDescent="0.25">
      <c r="A351" s="21" t="str">
        <f>Translations!$B$624</f>
        <v>Partnership</v>
      </c>
    </row>
    <row r="352" spans="1:1" x14ac:dyDescent="0.25">
      <c r="A352" s="21" t="str">
        <f>Translations!$B$625</f>
        <v>Individual / Sole Trader</v>
      </c>
    </row>
    <row r="354" spans="1:1" ht="13" x14ac:dyDescent="0.3">
      <c r="A354" s="20" t="s">
        <v>262</v>
      </c>
    </row>
    <row r="355" spans="1:1" x14ac:dyDescent="0.25">
      <c r="A355" s="21" t="str">
        <f>Translations!$B$368</f>
        <v>Please select</v>
      </c>
    </row>
    <row r="356" spans="1:1" x14ac:dyDescent="0.25">
      <c r="A356" s="21" t="str">
        <f>Translations!$B$626</f>
        <v>Actual/standard mass from Mass &amp; Balance documentation</v>
      </c>
    </row>
    <row r="357" spans="1:1" x14ac:dyDescent="0.25">
      <c r="A357" s="21" t="str">
        <f>Translations!$B$627</f>
        <v>Alternative methodology</v>
      </c>
    </row>
    <row r="359" spans="1:1" ht="13" x14ac:dyDescent="0.3">
      <c r="A359" s="20" t="s">
        <v>263</v>
      </c>
    </row>
    <row r="360" spans="1:1" x14ac:dyDescent="0.25">
      <c r="A360" s="21" t="str">
        <f>Translations!$B$368</f>
        <v>Please select</v>
      </c>
    </row>
    <row r="361" spans="1:1" x14ac:dyDescent="0.25">
      <c r="A361" s="21" t="str">
        <f>Translations!$B$628</f>
        <v>100 kg default</v>
      </c>
    </row>
    <row r="362" spans="1:1" x14ac:dyDescent="0.25">
      <c r="A362" s="21" t="str">
        <f>Translations!$B$629</f>
        <v>Mass contained in Mass &amp; Balance documentation</v>
      </c>
    </row>
    <row r="364" spans="1:1" ht="13" x14ac:dyDescent="0.3">
      <c r="A364" s="20" t="s">
        <v>264</v>
      </c>
    </row>
    <row r="365" spans="1:1" x14ac:dyDescent="0.25">
      <c r="A365" s="21"/>
    </row>
    <row r="366" spans="1:1" x14ac:dyDescent="0.25">
      <c r="A366" s="23" t="s">
        <v>265</v>
      </c>
    </row>
    <row r="367" spans="1:1" x14ac:dyDescent="0.25">
      <c r="A367" s="23" t="s">
        <v>266</v>
      </c>
    </row>
    <row r="368" spans="1:1" x14ac:dyDescent="0.25">
      <c r="A368" s="23" t="s">
        <v>267</v>
      </c>
    </row>
    <row r="369" spans="1:1" x14ac:dyDescent="0.25">
      <c r="A369" s="23" t="s">
        <v>268</v>
      </c>
    </row>
    <row r="370" spans="1:1" x14ac:dyDescent="0.25">
      <c r="A370" s="23" t="s">
        <v>269</v>
      </c>
    </row>
    <row r="371" spans="1:1" x14ac:dyDescent="0.25">
      <c r="A371" s="23" t="s">
        <v>270</v>
      </c>
    </row>
    <row r="372" spans="1:1" x14ac:dyDescent="0.25">
      <c r="A372" s="23" t="s">
        <v>271</v>
      </c>
    </row>
    <row r="373" spans="1:1" x14ac:dyDescent="0.25">
      <c r="A373" s="23" t="s">
        <v>272</v>
      </c>
    </row>
    <row r="375" spans="1:1" ht="13" x14ac:dyDescent="0.3">
      <c r="A375" s="20" t="s">
        <v>273</v>
      </c>
    </row>
    <row r="376" spans="1:1" x14ac:dyDescent="0.25">
      <c r="A376" s="21" t="str">
        <f>Translations!$B$368</f>
        <v>Please select</v>
      </c>
    </row>
    <row r="377" spans="1:1" x14ac:dyDescent="0.25">
      <c r="A377" s="21" t="str">
        <f>Translations!$B$630</f>
        <v>No documented environmental management system in place</v>
      </c>
    </row>
    <row r="378" spans="1:1" x14ac:dyDescent="0.25">
      <c r="A378" s="21" t="str">
        <f>Translations!$B$631</f>
        <v>Documented environmental management system in place</v>
      </c>
    </row>
    <row r="379" spans="1:1" x14ac:dyDescent="0.25">
      <c r="A379" s="21" t="str">
        <f>Translations!$B$632</f>
        <v>Certified environmental management system in place</v>
      </c>
    </row>
    <row r="382" spans="1:1" ht="13" x14ac:dyDescent="0.3">
      <c r="A382" s="20" t="s">
        <v>274</v>
      </c>
    </row>
    <row r="383" spans="1:1" x14ac:dyDescent="0.25">
      <c r="A383" s="21" t="str">
        <f>Translations!$B$368</f>
        <v>Please select</v>
      </c>
    </row>
    <row r="384" spans="1:1" x14ac:dyDescent="0.25">
      <c r="A384" s="21" t="b">
        <v>1</v>
      </c>
    </row>
    <row r="385" spans="1:1" x14ac:dyDescent="0.25">
      <c r="A385" s="21" t="b">
        <v>0</v>
      </c>
    </row>
    <row r="387" spans="1:1" ht="13" x14ac:dyDescent="0.3">
      <c r="A387" s="20" t="s">
        <v>275</v>
      </c>
    </row>
    <row r="388" spans="1:1" x14ac:dyDescent="0.25">
      <c r="A388" s="21" t="b">
        <v>1</v>
      </c>
    </row>
    <row r="389" spans="1:1" x14ac:dyDescent="0.25">
      <c r="A389" s="21" t="b">
        <v>0</v>
      </c>
    </row>
    <row r="391" spans="1:1" ht="13" x14ac:dyDescent="0.3">
      <c r="A391" s="20" t="s">
        <v>276</v>
      </c>
    </row>
    <row r="392" spans="1:1" x14ac:dyDescent="0.25">
      <c r="A392" s="21" t="str">
        <f>Translations!$B$633</f>
        <v>Use by Competent Authority only</v>
      </c>
    </row>
    <row r="393" spans="1:1" x14ac:dyDescent="0.25">
      <c r="A393" s="21" t="str">
        <f>Translations!$B$634</f>
        <v>To be filled in by aircraft operator</v>
      </c>
    </row>
    <row r="396" spans="1:1" ht="13" x14ac:dyDescent="0.3">
      <c r="A396" s="20" t="s">
        <v>277</v>
      </c>
    </row>
    <row r="397" spans="1:1" x14ac:dyDescent="0.25">
      <c r="A397" s="21" t="str">
        <f>Translations!$B$635</f>
        <v>Monitoring Plan for Annual Emissions</v>
      </c>
    </row>
    <row r="398" spans="1:1" x14ac:dyDescent="0.25">
      <c r="A398" s="21" t="str">
        <f>Translations!$B$636</f>
        <v>Monitoring Plan for  Tonne-Kilometre Data</v>
      </c>
    </row>
    <row r="401" spans="1:1" ht="13" x14ac:dyDescent="0.3">
      <c r="A401" s="20" t="s">
        <v>278</v>
      </c>
    </row>
    <row r="402" spans="1:1" x14ac:dyDescent="0.25">
      <c r="A402" s="21"/>
    </row>
    <row r="403" spans="1:1" x14ac:dyDescent="0.25">
      <c r="A403" s="21" t="str">
        <f>Translations!$B$637</f>
        <v>n.a.</v>
      </c>
    </row>
    <row r="405" spans="1:1" ht="13" x14ac:dyDescent="0.3">
      <c r="A405" s="20" t="s">
        <v>279</v>
      </c>
    </row>
    <row r="406" spans="1:1" x14ac:dyDescent="0.25">
      <c r="A406" s="21" t="str">
        <f>Translations!$B$638</f>
        <v>New monitoring plan</v>
      </c>
    </row>
    <row r="407" spans="1:1" x14ac:dyDescent="0.25">
      <c r="A407" s="21" t="str">
        <f>Translations!$B$639</f>
        <v>Updated monitoring plan</v>
      </c>
    </row>
    <row r="410" spans="1:1" ht="13" x14ac:dyDescent="0.3">
      <c r="A410" s="20" t="s">
        <v>280</v>
      </c>
    </row>
    <row r="411" spans="1:1" x14ac:dyDescent="0.25">
      <c r="A411" s="24" t="b">
        <v>1</v>
      </c>
    </row>
    <row r="412" spans="1:1" x14ac:dyDescent="0.25">
      <c r="A412" s="24" t="b">
        <v>0</v>
      </c>
    </row>
    <row r="413" spans="1:1" x14ac:dyDescent="0.25">
      <c r="A413" s="24">
        <v>1</v>
      </c>
    </row>
    <row r="414" spans="1:1" x14ac:dyDescent="0.25">
      <c r="A414" s="24">
        <v>0</v>
      </c>
    </row>
    <row r="417" spans="1:1" ht="13" x14ac:dyDescent="0.3">
      <c r="A417" s="20" t="s">
        <v>281</v>
      </c>
    </row>
    <row r="418" spans="1:1" x14ac:dyDescent="0.25">
      <c r="A418" s="22" t="str">
        <f>Translations!$B$368</f>
        <v>Please select</v>
      </c>
    </row>
    <row r="419" spans="1:1" x14ac:dyDescent="0.25">
      <c r="A419" s="22" t="str">
        <f>Translations!$B$640</f>
        <v>As measured by fuel supplier</v>
      </c>
    </row>
    <row r="420" spans="1:1" x14ac:dyDescent="0.25">
      <c r="A420" s="22" t="str">
        <f>Translations!$B$641</f>
        <v>On-board measuring equipment</v>
      </c>
    </row>
    <row r="422" spans="1:1" ht="13" x14ac:dyDescent="0.3">
      <c r="A422" s="20" t="s">
        <v>282</v>
      </c>
    </row>
    <row r="423" spans="1:1" x14ac:dyDescent="0.25">
      <c r="A423" s="22" t="str">
        <f>Translations!$B$368</f>
        <v>Please select</v>
      </c>
    </row>
    <row r="424" spans="1:1" x14ac:dyDescent="0.25">
      <c r="A424" s="22"/>
    </row>
    <row r="425" spans="1:1" x14ac:dyDescent="0.25">
      <c r="A425" s="22" t="str">
        <f>Translations!$B$642</f>
        <v>Taken from fuel supplier (delivery notes or invoices)</v>
      </c>
    </row>
    <row r="426" spans="1:1" x14ac:dyDescent="0.25">
      <c r="A426" s="22" t="str">
        <f>Translations!$B$643</f>
        <v>Recorded in Mass &amp; Balance documentation</v>
      </c>
    </row>
    <row r="427" spans="1:1" x14ac:dyDescent="0.25">
      <c r="A427" s="22" t="str">
        <f>Translations!$B$644</f>
        <v>Recorded in aircraft technical log</v>
      </c>
    </row>
    <row r="428" spans="1:1" x14ac:dyDescent="0.25">
      <c r="A428" s="22" t="str">
        <f>Translations!$B$645</f>
        <v>Transmitted electronically from aircraft to operator</v>
      </c>
    </row>
    <row r="430" spans="1:1" ht="13" x14ac:dyDescent="0.3">
      <c r="A430" s="20" t="s">
        <v>283</v>
      </c>
    </row>
    <row r="431" spans="1:1" x14ac:dyDescent="0.25">
      <c r="A431" s="21" t="str">
        <f>Translations!$B$368</f>
        <v>Please select</v>
      </c>
    </row>
    <row r="432" spans="1:1" x14ac:dyDescent="0.25">
      <c r="A432" s="21"/>
    </row>
    <row r="433" spans="1:1" x14ac:dyDescent="0.25">
      <c r="A433" s="21" t="str">
        <f>Translations!$B$646</f>
        <v>Daily</v>
      </c>
    </row>
    <row r="434" spans="1:1" x14ac:dyDescent="0.25">
      <c r="A434" s="21" t="str">
        <f>Translations!$B$647</f>
        <v>Weekly</v>
      </c>
    </row>
    <row r="435" spans="1:1" x14ac:dyDescent="0.25">
      <c r="A435" s="21" t="str">
        <f>Translations!$B$648</f>
        <v>Monthly</v>
      </c>
    </row>
    <row r="436" spans="1:1" x14ac:dyDescent="0.25">
      <c r="A436" s="21" t="str">
        <f>Translations!$B$649</f>
        <v>Annual</v>
      </c>
    </row>
    <row r="438" spans="1:1" ht="13" x14ac:dyDescent="0.3">
      <c r="A438" s="20" t="s">
        <v>284</v>
      </c>
    </row>
    <row r="439" spans="1:1" x14ac:dyDescent="0.25">
      <c r="A439" s="21" t="str">
        <f>Translations!$B$368</f>
        <v>Please select</v>
      </c>
    </row>
    <row r="440" spans="1:1" x14ac:dyDescent="0.25">
      <c r="A440" s="21" t="str">
        <f>Translations!$B$650</f>
        <v>EF</v>
      </c>
    </row>
    <row r="441" spans="1:1" x14ac:dyDescent="0.25">
      <c r="A441" s="21" t="str">
        <f>Translations!$B$651</f>
        <v>NCV</v>
      </c>
    </row>
    <row r="442" spans="1:1" x14ac:dyDescent="0.25">
      <c r="A442" s="21" t="str">
        <f>Translations!$B$652</f>
        <v>NCV &amp; EF</v>
      </c>
    </row>
    <row r="443" spans="1:1" x14ac:dyDescent="0.25">
      <c r="A443" s="21" t="str">
        <f>Translations!$B$653</f>
        <v>Biogenic content</v>
      </c>
    </row>
    <row r="444" spans="1:1" x14ac:dyDescent="0.25">
      <c r="A444" s="21" t="str">
        <f>Translations!$B$654</f>
        <v>NCV, EF &amp; bio</v>
      </c>
    </row>
    <row r="446" spans="1:1" ht="13" x14ac:dyDescent="0.3">
      <c r="A446" s="20" t="s">
        <v>285</v>
      </c>
    </row>
    <row r="447" spans="1:1" x14ac:dyDescent="0.25">
      <c r="A447" s="21" t="str">
        <f>Translations!$B$368</f>
        <v>Please select</v>
      </c>
    </row>
    <row r="448" spans="1:1" x14ac:dyDescent="0.25">
      <c r="A448" s="21" t="s">
        <v>286</v>
      </c>
    </row>
    <row r="449" spans="1:1" x14ac:dyDescent="0.25">
      <c r="A449" s="21" t="s">
        <v>287</v>
      </c>
    </row>
    <row r="450" spans="1:1" x14ac:dyDescent="0.25">
      <c r="A450" s="21" t="str">
        <f>Translations!$B$637</f>
        <v>n.a.</v>
      </c>
    </row>
    <row r="452" spans="1:1" ht="13" x14ac:dyDescent="0.3">
      <c r="A452" s="20" t="s">
        <v>288</v>
      </c>
    </row>
    <row r="453" spans="1:1" x14ac:dyDescent="0.25">
      <c r="A453" s="25" t="str">
        <f>""</f>
        <v/>
      </c>
    </row>
    <row r="454" spans="1:1" x14ac:dyDescent="0.25">
      <c r="A454" s="25">
        <v>2</v>
      </c>
    </row>
    <row r="455" spans="1:1" x14ac:dyDescent="0.25">
      <c r="A455" s="25">
        <v>1</v>
      </c>
    </row>
    <row r="456" spans="1:1" x14ac:dyDescent="0.25">
      <c r="A456" s="25" t="str">
        <f>Translations!$B$637</f>
        <v>n.a.</v>
      </c>
    </row>
    <row r="461" spans="1:1" ht="13" x14ac:dyDescent="0.3">
      <c r="A461" s="20" t="s">
        <v>289</v>
      </c>
    </row>
    <row r="462" spans="1:1" x14ac:dyDescent="0.25">
      <c r="A462" s="21" t="str">
        <f>Translations!$B$368</f>
        <v>Please select</v>
      </c>
    </row>
    <row r="463" spans="1:1" x14ac:dyDescent="0.25">
      <c r="A463" s="21" t="str">
        <f>Translations!$B$655</f>
        <v>Major</v>
      </c>
    </row>
    <row r="464" spans="1:1" x14ac:dyDescent="0.25">
      <c r="A464" s="21" t="str">
        <f>Translations!$B$656</f>
        <v>Minor</v>
      </c>
    </row>
    <row r="465" spans="1:1" x14ac:dyDescent="0.25">
      <c r="A465" s="21" t="str">
        <f>Translations!$B$657</f>
        <v>De minimis</v>
      </c>
    </row>
    <row r="467" spans="1:1" ht="13" x14ac:dyDescent="0.3">
      <c r="A467" s="20" t="s">
        <v>290</v>
      </c>
    </row>
    <row r="468" spans="1:1" x14ac:dyDescent="0.25">
      <c r="A468" s="21" t="str">
        <f>Translations!$B$368</f>
        <v>Please select</v>
      </c>
    </row>
    <row r="469" spans="1:1" x14ac:dyDescent="0.25">
      <c r="A469" s="21" t="str">
        <f>Translations!$B$220</f>
        <v>Method A</v>
      </c>
    </row>
    <row r="470" spans="1:1" x14ac:dyDescent="0.25">
      <c r="A470" s="21" t="str">
        <f>Translations!$B$222</f>
        <v>Method B</v>
      </c>
    </row>
    <row r="473" spans="1:1" ht="13" x14ac:dyDescent="0.3">
      <c r="A473" s="20" t="s">
        <v>291</v>
      </c>
    </row>
    <row r="474" spans="1:1" x14ac:dyDescent="0.25">
      <c r="A474" s="21" t="str">
        <f>Translations!$B$368</f>
        <v>Please select</v>
      </c>
    </row>
    <row r="475" spans="1:1" x14ac:dyDescent="0.25">
      <c r="A475" s="21" t="str">
        <f>Translations!$B$658</f>
        <v>Actual density in aircraft tanks</v>
      </c>
    </row>
    <row r="476" spans="1:1" x14ac:dyDescent="0.25">
      <c r="A476" s="21" t="str">
        <f>Translations!$B$659</f>
        <v>Actual density of uplift</v>
      </c>
    </row>
    <row r="477" spans="1:1" x14ac:dyDescent="0.25">
      <c r="A477" s="21" t="str">
        <f>Translations!$B$660</f>
        <v>Standard value (0.8kg/litre)</v>
      </c>
    </row>
    <row r="480" spans="1:1" ht="13" x14ac:dyDescent="0.3">
      <c r="A480" s="20" t="s">
        <v>292</v>
      </c>
    </row>
    <row r="481" spans="1:1" x14ac:dyDescent="0.25">
      <c r="A481" s="21" t="str">
        <f>Translations!$B$661</f>
        <v>Jet kerosene</v>
      </c>
    </row>
    <row r="482" spans="1:1" x14ac:dyDescent="0.25">
      <c r="A482" s="21" t="str">
        <f>Translations!$B$662</f>
        <v>Jet gasoline</v>
      </c>
    </row>
    <row r="483" spans="1:1" x14ac:dyDescent="0.25">
      <c r="A483" s="21" t="str">
        <f>Translations!$B$663</f>
        <v>Aviation gasoline</v>
      </c>
    </row>
    <row r="484" spans="1:1" x14ac:dyDescent="0.25">
      <c r="A484" s="21" t="str">
        <f>Translations!$B$664</f>
        <v>Alternative</v>
      </c>
    </row>
    <row r="485" spans="1:1" x14ac:dyDescent="0.25">
      <c r="A485" s="21" t="str">
        <f>Translations!$B$184</f>
        <v>Biofuel</v>
      </c>
    </row>
    <row r="487" spans="1:1" ht="13" x14ac:dyDescent="0.3">
      <c r="A487" s="20" t="s">
        <v>293</v>
      </c>
    </row>
    <row r="488" spans="1:1" x14ac:dyDescent="0.25">
      <c r="A488" s="21"/>
    </row>
    <row r="489" spans="1:1" x14ac:dyDescent="0.25">
      <c r="A489" s="21" t="s">
        <v>286</v>
      </c>
    </row>
    <row r="490" spans="1:1" x14ac:dyDescent="0.25">
      <c r="A490" s="21" t="s">
        <v>287</v>
      </c>
    </row>
    <row r="491" spans="1:1" x14ac:dyDescent="0.25">
      <c r="A491" s="21" t="str">
        <f>Translations!$B$665</f>
        <v>unknown</v>
      </c>
    </row>
    <row r="494" spans="1:1" ht="13" x14ac:dyDescent="0.3">
      <c r="A494" s="20" t="s">
        <v>294</v>
      </c>
    </row>
    <row r="495" spans="1:1" x14ac:dyDescent="0.25">
      <c r="A495" s="21" t="str">
        <f>Translations!$B$368</f>
        <v>Please select</v>
      </c>
    </row>
    <row r="496" spans="1:1" x14ac:dyDescent="0.25">
      <c r="A496" s="22" t="str">
        <f>Translations!$B$1195</f>
        <v>Small Emitters Tool (SET) - Eurocontrol's fuel consumption estimation tool</v>
      </c>
    </row>
    <row r="497" spans="1:1" x14ac:dyDescent="0.25">
      <c r="A497" s="22" t="str">
        <f>Translations!$B$1196</f>
        <v>ESF (Eurocontrol EU ETS Support Facility) populated by the SET</v>
      </c>
    </row>
    <row r="498" spans="1:1" x14ac:dyDescent="0.25">
      <c r="A498" s="22" t="str">
        <f>Translations!$B$1197</f>
        <v>Other</v>
      </c>
    </row>
    <row r="504" spans="1:1" ht="13" x14ac:dyDescent="0.3">
      <c r="A504" s="20" t="s">
        <v>295</v>
      </c>
    </row>
    <row r="505" spans="1:1" x14ac:dyDescent="0.25">
      <c r="A505" s="22" t="str">
        <f>Translations!$B$1293</f>
        <v>Please select or enter name, as appropriate</v>
      </c>
    </row>
    <row r="506" spans="1:1" x14ac:dyDescent="0.25">
      <c r="A506" s="22" t="s">
        <v>2032</v>
      </c>
    </row>
    <row r="507" spans="1:1" x14ac:dyDescent="0.25">
      <c r="A507" s="21"/>
    </row>
    <row r="508" spans="1:1" x14ac:dyDescent="0.25">
      <c r="A508" s="21"/>
    </row>
    <row r="509" spans="1:1" x14ac:dyDescent="0.25">
      <c r="A509" s="21"/>
    </row>
    <row r="510" spans="1:1" x14ac:dyDescent="0.25">
      <c r="A510" s="21"/>
    </row>
    <row r="511" spans="1:1" x14ac:dyDescent="0.25">
      <c r="A511" s="21"/>
    </row>
    <row r="512" spans="1:1" x14ac:dyDescent="0.25">
      <c r="A512" s="22"/>
    </row>
    <row r="513" spans="1:1" x14ac:dyDescent="0.25">
      <c r="A513" s="21"/>
    </row>
    <row r="514" spans="1:1" x14ac:dyDescent="0.25">
      <c r="A514" s="21"/>
    </row>
    <row r="515" spans="1:1" x14ac:dyDescent="0.25">
      <c r="A515" s="21"/>
    </row>
    <row r="516" spans="1:1" x14ac:dyDescent="0.25">
      <c r="A516" s="21"/>
    </row>
    <row r="517" spans="1:1" x14ac:dyDescent="0.25">
      <c r="A517" s="21"/>
    </row>
    <row r="518" spans="1:1" x14ac:dyDescent="0.25">
      <c r="A518" s="21"/>
    </row>
    <row r="519" spans="1:1" x14ac:dyDescent="0.25">
      <c r="A519" s="21"/>
    </row>
    <row r="520" spans="1:1" x14ac:dyDescent="0.25">
      <c r="A520" s="21"/>
    </row>
    <row r="521" spans="1:1" x14ac:dyDescent="0.25">
      <c r="A521" s="21"/>
    </row>
    <row r="522" spans="1:1" x14ac:dyDescent="0.25">
      <c r="A522" s="21"/>
    </row>
    <row r="525" spans="1:1" ht="13" x14ac:dyDescent="0.3">
      <c r="A525" s="20" t="s">
        <v>296</v>
      </c>
    </row>
    <row r="526" spans="1:1" x14ac:dyDescent="0.25">
      <c r="A526" s="21" t="str">
        <f>Translations!$B$368</f>
        <v>Please select</v>
      </c>
    </row>
    <row r="527" spans="1:1" x14ac:dyDescent="0.25">
      <c r="A527" s="21"/>
    </row>
    <row r="528" spans="1:1" x14ac:dyDescent="0.25">
      <c r="A528" s="21" t="str">
        <f>Translations!$B$672</f>
        <v>Afghanistan - Ministry of Transport and Civil Aviation</v>
      </c>
    </row>
    <row r="529" spans="1:1" x14ac:dyDescent="0.25">
      <c r="A529" s="21" t="str">
        <f>Translations!$B$673</f>
        <v>Algeria - Établissement Nationale de la Navigation Aérienne (ENNA)</v>
      </c>
    </row>
    <row r="530" spans="1:1" x14ac:dyDescent="0.25">
      <c r="A530" s="21" t="str">
        <f>Translations!$B$674</f>
        <v>Angola - Instituto Nacional da Aviação Civil</v>
      </c>
    </row>
    <row r="531" spans="1:1" x14ac:dyDescent="0.25">
      <c r="A531" s="21" t="str">
        <f>Translations!$B$675</f>
        <v>Argentina - Comando de Regiones Aéreas</v>
      </c>
    </row>
    <row r="532" spans="1:1" x14ac:dyDescent="0.25">
      <c r="A532" s="21" t="str">
        <f>Translations!$B$676</f>
        <v>Armenia - General Department of Civil Aviation</v>
      </c>
    </row>
    <row r="533" spans="1:1" x14ac:dyDescent="0.25">
      <c r="A533" s="21" t="str">
        <f>Translations!$B$677</f>
        <v>Australia - Civil Aviation Safety Authority</v>
      </c>
    </row>
    <row r="534" spans="1:1" x14ac:dyDescent="0.25">
      <c r="A534" s="21" t="str">
        <f>Translations!$B$678</f>
        <v>Austria - Ministry of Transport, Innovation and Technology</v>
      </c>
    </row>
    <row r="535" spans="1:1" x14ac:dyDescent="0.25">
      <c r="A535" s="21" t="str">
        <f>Translations!$B$679</f>
        <v>Bahrain - Civil Aviation Affairs</v>
      </c>
    </row>
    <row r="536" spans="1:1" x14ac:dyDescent="0.25">
      <c r="A536" s="21" t="str">
        <f>Translations!$B$680</f>
        <v>Belgium - Service public fédéral Mobilité et Transports</v>
      </c>
    </row>
    <row r="537" spans="1:1" x14ac:dyDescent="0.25">
      <c r="A537" s="21" t="str">
        <f>Translations!$B$681</f>
        <v>Bermuda - Bermuda Department of Civil Aviation (DCA)</v>
      </c>
    </row>
    <row r="538" spans="1:1" x14ac:dyDescent="0.25">
      <c r="A538" s="21" t="str">
        <f>Translations!$B$682</f>
        <v>Bolivia - Dirección General de Aeronáutica Civil</v>
      </c>
    </row>
    <row r="539" spans="1:1" x14ac:dyDescent="0.25">
      <c r="A539" s="21" t="str">
        <f>Translations!$B$683</f>
        <v>Bosnia and Herzegovina - Department of Civil Aviation</v>
      </c>
    </row>
    <row r="540" spans="1:1" x14ac:dyDescent="0.25">
      <c r="A540" s="21" t="str">
        <f>Translations!$B$684</f>
        <v>Botswana - Ministry of Works &amp; Transport — Department of Civil Aviation</v>
      </c>
    </row>
    <row r="541" spans="1:1" x14ac:dyDescent="0.25">
      <c r="A541" s="21" t="str">
        <f>Translations!$B$685</f>
        <v>Brazil - Agência Nacional de Aviação Civil (ANAC)</v>
      </c>
    </row>
    <row r="542" spans="1:1" x14ac:dyDescent="0.25">
      <c r="A542" s="21" t="str">
        <f>Translations!$B$686</f>
        <v>Brunei Darussalam - Department of Civil Aviation</v>
      </c>
    </row>
    <row r="543" spans="1:1" x14ac:dyDescent="0.25">
      <c r="A543" s="21" t="str">
        <f>Translations!$B$687</f>
        <v>Bulgaria - Civil Aviation Administration</v>
      </c>
    </row>
    <row r="544" spans="1:1" x14ac:dyDescent="0.25">
      <c r="A544" s="21" t="str">
        <f>Translations!$B$688</f>
        <v>Cambodia - Ministry of Public Works and Transport</v>
      </c>
    </row>
    <row r="545" spans="1:1" x14ac:dyDescent="0.25">
      <c r="A545" s="21" t="str">
        <f>Translations!$B$689</f>
        <v>Canada - Canadian Transportation Agency</v>
      </c>
    </row>
    <row r="546" spans="1:1" x14ac:dyDescent="0.25">
      <c r="A546" s="21" t="str">
        <f>Translations!$B$690</f>
        <v>Cape Verde - Agência de Aviação Civil (AAC)</v>
      </c>
    </row>
    <row r="547" spans="1:1" x14ac:dyDescent="0.25">
      <c r="A547" s="21" t="str">
        <f>Translations!$B$691</f>
        <v>Cayman - Civil Aviation Authority (CAA) of the Cayman Islands</v>
      </c>
    </row>
    <row r="548" spans="1:1" x14ac:dyDescent="0.25">
      <c r="A548" s="21" t="str">
        <f>Translations!$B$692</f>
        <v>Chile - Dirección General de Aeronáutica Civil</v>
      </c>
    </row>
    <row r="549" spans="1:1" x14ac:dyDescent="0.25">
      <c r="A549" s="21" t="str">
        <f>Translations!$B$693</f>
        <v>China - Air Traffic Management Bureau (ATMB), General Administration of Civil Aviation of China</v>
      </c>
    </row>
    <row r="550" spans="1:1" x14ac:dyDescent="0.25">
      <c r="A550" s="21" t="str">
        <f>Translations!$B$694</f>
        <v>Colombia - República de Colombia Aeronáutica Civil</v>
      </c>
    </row>
    <row r="551" spans="1:1" x14ac:dyDescent="0.25">
      <c r="A551" s="21" t="str">
        <f>Translations!$B$695</f>
        <v>Costa Rica - Dirección General de Aviación Civil</v>
      </c>
    </row>
    <row r="552" spans="1:1" x14ac:dyDescent="0.25">
      <c r="A552" s="21" t="str">
        <f>Translations!$B$696</f>
        <v>Croatia - Civil Aviation Authority</v>
      </c>
    </row>
    <row r="553" spans="1:1" x14ac:dyDescent="0.25">
      <c r="A553" s="21" t="str">
        <f>Translations!$B$697</f>
        <v>Cuba - Instituto de Aeronáutica Civil de Cuba</v>
      </c>
    </row>
    <row r="554" spans="1:1" x14ac:dyDescent="0.25">
      <c r="A554" s="21" t="str">
        <f>Translations!$B$698</f>
        <v>Cyprus - Department of Civil Aviation of Cyprus</v>
      </c>
    </row>
    <row r="555" spans="1:1" x14ac:dyDescent="0.25">
      <c r="A555" s="21" t="str">
        <f>Translations!$B$699</f>
        <v>Czechia - Civil Aviation Authority</v>
      </c>
    </row>
    <row r="556" spans="1:1" x14ac:dyDescent="0.25">
      <c r="A556" s="21" t="str">
        <f>Translations!$B$700</f>
        <v>Denmark - Civil Aviation Administration</v>
      </c>
    </row>
    <row r="557" spans="1:1" x14ac:dyDescent="0.25">
      <c r="A557" s="21" t="str">
        <f>Translations!$B$701</f>
        <v>Dominican Republic - Instituto Dominicano de Aviación Civil</v>
      </c>
    </row>
    <row r="558" spans="1:1" x14ac:dyDescent="0.25">
      <c r="A558" s="21" t="str">
        <f>Translations!$B$702</f>
        <v>Ecuador - Dirección General de Aviación Civil del Ecuador</v>
      </c>
    </row>
    <row r="559" spans="1:1" x14ac:dyDescent="0.25">
      <c r="A559" s="21" t="str">
        <f>Translations!$B$703</f>
        <v>Egypt - Ministry of Civil Aviation</v>
      </c>
    </row>
    <row r="560" spans="1:1" x14ac:dyDescent="0.25">
      <c r="A560" s="21" t="str">
        <f>Translations!$B$704</f>
        <v>El Salvador - Autoridad de Aviación Civil – El Salvador</v>
      </c>
    </row>
    <row r="561" spans="1:1" x14ac:dyDescent="0.25">
      <c r="A561" s="21" t="str">
        <f>Translations!$B$705</f>
        <v>Estonia - Estonian Civil Aviation Administration</v>
      </c>
    </row>
    <row r="562" spans="1:1" x14ac:dyDescent="0.25">
      <c r="A562" s="21" t="str">
        <f>Translations!$B$706</f>
        <v>Fiji - Civil Aviation Authority</v>
      </c>
    </row>
    <row r="563" spans="1:1" x14ac:dyDescent="0.25">
      <c r="A563" s="21" t="str">
        <f>Translations!$B$707</f>
        <v>Finland - Civil Aviation Authority</v>
      </c>
    </row>
    <row r="564" spans="1:1" x14ac:dyDescent="0.25">
      <c r="A564" s="21" t="str">
        <f>Translations!$B$708</f>
        <v>France - Direction Générale de I' Aviation Civile (DGAC)</v>
      </c>
    </row>
    <row r="565" spans="1:1" x14ac:dyDescent="0.25">
      <c r="A565" s="21" t="str">
        <f>Translations!$B$709</f>
        <v>Gambia - Gambia Civil Aviation Authority</v>
      </c>
    </row>
    <row r="566" spans="1:1" x14ac:dyDescent="0.25">
      <c r="A566" s="21" t="str">
        <f>Translations!$B$710</f>
        <v>Germany - Air Navigation Services</v>
      </c>
    </row>
    <row r="567" spans="1:1" x14ac:dyDescent="0.25">
      <c r="A567" s="21" t="str">
        <f>Translations!$B$711</f>
        <v>Ghana - Ghana Civil Aviation Authority</v>
      </c>
    </row>
    <row r="568" spans="1:1" x14ac:dyDescent="0.25">
      <c r="A568" s="21" t="str">
        <f>Translations!$B$712</f>
        <v>Greece - Hellenic Civil Aviation Authority</v>
      </c>
    </row>
    <row r="569" spans="1:1" x14ac:dyDescent="0.25">
      <c r="A569" s="21" t="str">
        <f>Translations!$B$713</f>
        <v>Hungary - Directorate for Air Transport</v>
      </c>
    </row>
    <row r="570" spans="1:1" x14ac:dyDescent="0.25">
      <c r="A570" s="21" t="str">
        <f>Translations!$B$714</f>
        <v>Iceland - Civil Aviation Administration</v>
      </c>
    </row>
    <row r="571" spans="1:1" x14ac:dyDescent="0.25">
      <c r="A571" s="21" t="str">
        <f>Translations!$B$715</f>
        <v>India - Directorate General of Civil Aviation</v>
      </c>
    </row>
    <row r="572" spans="1:1" x14ac:dyDescent="0.25">
      <c r="A572" s="21" t="str">
        <f>Translations!$B$716</f>
        <v>Indonesia - Direktorat Jenderal Perhubungan Udara</v>
      </c>
    </row>
    <row r="573" spans="1:1" x14ac:dyDescent="0.25">
      <c r="A573" s="21" t="str">
        <f>Translations!$B$717</f>
        <v>Iran, Islamic Republic of - Civil Aviation Organization of Iran</v>
      </c>
    </row>
    <row r="574" spans="1:1" x14ac:dyDescent="0.25">
      <c r="A574" s="21" t="str">
        <f>Translations!$B$718</f>
        <v>Ireland - Irish Aviation Authority</v>
      </c>
    </row>
    <row r="575" spans="1:1" x14ac:dyDescent="0.25">
      <c r="A575" s="22" t="str">
        <f>Translations!$B$831</f>
        <v>Ireland - Commission for Aviation Regulation</v>
      </c>
    </row>
    <row r="576" spans="1:1" x14ac:dyDescent="0.25">
      <c r="A576" s="21" t="str">
        <f>Translations!$B$719</f>
        <v>Israel - Civil Aviation Authority</v>
      </c>
    </row>
    <row r="577" spans="1:1" x14ac:dyDescent="0.25">
      <c r="A577" s="22" t="str">
        <f>Translations!$B$1032</f>
        <v>Italy - ENAC - Ente Nazionale per l'Aviazione Civile</v>
      </c>
    </row>
    <row r="578" spans="1:1" x14ac:dyDescent="0.25">
      <c r="A578" s="21" t="str">
        <f>Translations!$B$721</f>
        <v>Jamaica - Civil Aviation Authority</v>
      </c>
    </row>
    <row r="579" spans="1:1" x14ac:dyDescent="0.25">
      <c r="A579" s="21" t="str">
        <f>Translations!$B$722</f>
        <v>Japan - Ministry of Land, Infrastructure and Transport</v>
      </c>
    </row>
    <row r="580" spans="1:1" x14ac:dyDescent="0.25">
      <c r="A580" s="21" t="str">
        <f>Translations!$B$723</f>
        <v>Jordan - Civil Aviation Regulatory Commission (CARC) (formerly called "Jordan Civil Aviation Authority (JCAA)")</v>
      </c>
    </row>
    <row r="581" spans="1:1" x14ac:dyDescent="0.25">
      <c r="A581" s="21" t="str">
        <f>Translations!$B$1198</f>
        <v>Kazakhstan - Civil Aviation Committee</v>
      </c>
    </row>
    <row r="582" spans="1:1" x14ac:dyDescent="0.25">
      <c r="A582" s="21" t="str">
        <f>Translations!$B$724</f>
        <v>Kenya - Kenya Civil Aviation Authority</v>
      </c>
    </row>
    <row r="583" spans="1:1" x14ac:dyDescent="0.25">
      <c r="A583" s="21" t="str">
        <f>Translations!$B$725</f>
        <v>Kuwait - Directorate General of Civil Aviation</v>
      </c>
    </row>
    <row r="584" spans="1:1" x14ac:dyDescent="0.25">
      <c r="A584" s="21" t="str">
        <f>Translations!$B$726</f>
        <v>Latvia - Civil Aviation Agency</v>
      </c>
    </row>
    <row r="585" spans="1:1" x14ac:dyDescent="0.25">
      <c r="A585" s="21" t="str">
        <f>Translations!$B$727</f>
        <v>Lebanon - Lebanese Civil Aviation Authority</v>
      </c>
    </row>
    <row r="586" spans="1:1" x14ac:dyDescent="0.25">
      <c r="A586" s="21" t="str">
        <f>Translations!$B$728</f>
        <v>Libyan Arab Jamahiriya - Libyan Civil Aviation Authority</v>
      </c>
    </row>
    <row r="587" spans="1:1" x14ac:dyDescent="0.25">
      <c r="A587" s="21" t="str">
        <f>Translations!$B$729</f>
        <v>Lithuania - Directorate of Civil Aviation</v>
      </c>
    </row>
    <row r="588" spans="1:1" x14ac:dyDescent="0.25">
      <c r="A588" s="21" t="str">
        <f>Translations!$B$730</f>
        <v>Malaysia - Department of Civil Aviation</v>
      </c>
    </row>
    <row r="589" spans="1:1" x14ac:dyDescent="0.25">
      <c r="A589" s="21" t="str">
        <f>Translations!$B$731</f>
        <v>Maldives - Civil Aviation Department</v>
      </c>
    </row>
    <row r="590" spans="1:1" x14ac:dyDescent="0.25">
      <c r="A590" s="21" t="str">
        <f>Translations!$B$1199</f>
        <v>Malta - Transport Malta - Civil Aviation Directorate</v>
      </c>
    </row>
    <row r="591" spans="1:1" x14ac:dyDescent="0.25">
      <c r="A591" s="21" t="str">
        <f>Translations!$B$733</f>
        <v>Mexico - Secretaría de Comunicaciones y Transportes</v>
      </c>
    </row>
    <row r="592" spans="1:1" x14ac:dyDescent="0.25">
      <c r="A592" s="21" t="str">
        <f>Translations!$B$734</f>
        <v>Mongolia - Civil Aviation Authority</v>
      </c>
    </row>
    <row r="593" spans="1:1" x14ac:dyDescent="0.25">
      <c r="A593" s="21" t="str">
        <f>Translations!$B$735</f>
        <v>Montenegro - Ministry Maritime Affairs, Transportation and Telecommunications</v>
      </c>
    </row>
    <row r="594" spans="1:1" x14ac:dyDescent="0.25">
      <c r="A594" s="21" t="str">
        <f>Translations!$B$736</f>
        <v>Morocco - Ministère des Transports</v>
      </c>
    </row>
    <row r="595" spans="1:1" x14ac:dyDescent="0.25">
      <c r="A595" s="21" t="str">
        <f>Translations!$B$737</f>
        <v>Namibia - Directorate of Civil Aviation (DCA Namibia)</v>
      </c>
    </row>
    <row r="596" spans="1:1" x14ac:dyDescent="0.25">
      <c r="A596" s="21" t="str">
        <f>Translations!$B$738</f>
        <v>Nepal - Civil Aviation Authority of Nepal</v>
      </c>
    </row>
    <row r="597" spans="1:1" x14ac:dyDescent="0.25">
      <c r="A597" s="21" t="str">
        <f>Translations!$B$739</f>
        <v>Netherlands - Directorate General of Civil Aviation and Freight Transport (DGTL)</v>
      </c>
    </row>
    <row r="598" spans="1:1" x14ac:dyDescent="0.25">
      <c r="A598" s="21" t="str">
        <f>Translations!$B$740</f>
        <v>New Zealand - Airways Corporation of New Zealand</v>
      </c>
    </row>
    <row r="599" spans="1:1" x14ac:dyDescent="0.25">
      <c r="A599" s="21" t="str">
        <f>Translations!$B$741</f>
        <v>Nicaragua - Instituto Nicaragüense de Aeronáutica Civíl</v>
      </c>
    </row>
    <row r="600" spans="1:1" x14ac:dyDescent="0.25">
      <c r="A600" s="21" t="str">
        <f>Translations!$B$742</f>
        <v>Nigeria - Nigerian Civil Aviation Authority (NCAA)</v>
      </c>
    </row>
    <row r="601" spans="1:1" x14ac:dyDescent="0.25">
      <c r="A601" s="21" t="str">
        <f>Translations!$B$743</f>
        <v>Norway - Civil Aviation Authority</v>
      </c>
    </row>
    <row r="602" spans="1:1" x14ac:dyDescent="0.25">
      <c r="A602" s="21" t="str">
        <f>Translations!$B$744</f>
        <v>Oman - Directorate General of Civil Aviation and Meteorology</v>
      </c>
    </row>
    <row r="603" spans="1:1" x14ac:dyDescent="0.25">
      <c r="A603" s="21" t="str">
        <f>Translations!$B$745</f>
        <v>Pakistan - Civil Aviation Authority</v>
      </c>
    </row>
    <row r="604" spans="1:1" x14ac:dyDescent="0.25">
      <c r="A604" s="21" t="str">
        <f>Translations!$B$746</f>
        <v>Paraguay - Dirección Nacional de Aeronáutica Civil (DINAC)</v>
      </c>
    </row>
    <row r="605" spans="1:1" x14ac:dyDescent="0.25">
      <c r="A605" s="21" t="str">
        <f>Translations!$B$747</f>
        <v>Peru - Dirección General de Aeronáutica Civil</v>
      </c>
    </row>
    <row r="606" spans="1:1" x14ac:dyDescent="0.25">
      <c r="A606" s="21" t="str">
        <f>Translations!$B$748</f>
        <v>Philippines - Air Transportation Office (ATO)</v>
      </c>
    </row>
    <row r="607" spans="1:1" x14ac:dyDescent="0.25">
      <c r="A607" s="21" t="str">
        <f>Translations!$B$749</f>
        <v>Poland - Civil Aviation Office</v>
      </c>
    </row>
    <row r="608" spans="1:1" x14ac:dyDescent="0.25">
      <c r="A608" s="21" t="str">
        <f>Translations!$B$750</f>
        <v>Portugal - Instituto Nacional de Aviação Civil</v>
      </c>
    </row>
    <row r="609" spans="1:1" x14ac:dyDescent="0.25">
      <c r="A609" s="21" t="str">
        <f>Translations!$B$751</f>
        <v>Republic of Korea - Ministry of Construction and Transportation</v>
      </c>
    </row>
    <row r="610" spans="1:1" x14ac:dyDescent="0.25">
      <c r="A610" s="21" t="str">
        <f>Translations!$B$752</f>
        <v>Republic of Moldova - Civil Aviation Administration</v>
      </c>
    </row>
    <row r="611" spans="1:1" x14ac:dyDescent="0.25">
      <c r="A611" s="21" t="str">
        <f>Translations!$B$753</f>
        <v>Romania - Romanian Civil Aeronautical Authority</v>
      </c>
    </row>
    <row r="612" spans="1:1" x14ac:dyDescent="0.25">
      <c r="A612" s="21" t="str">
        <f>Translations!$B$754</f>
        <v>Russian Federation - State Civil Aviation Authority</v>
      </c>
    </row>
    <row r="613" spans="1:1" x14ac:dyDescent="0.25">
      <c r="A613" s="21" t="str">
        <f>Translations!$B$755</f>
        <v>Saudi Arabia - Ministry of Defense and Aviation Presidency of Civil Aviation</v>
      </c>
    </row>
    <row r="614" spans="1:1" x14ac:dyDescent="0.25">
      <c r="A614" s="21" t="str">
        <f>Translations!$B$756</f>
        <v>Serbia - Civil Aviation Directorate</v>
      </c>
    </row>
    <row r="615" spans="1:1" x14ac:dyDescent="0.25">
      <c r="A615" s="21" t="str">
        <f>Translations!$B$757</f>
        <v>Seychelles - Directorate of Civil Aviation, Ministry of Tourism</v>
      </c>
    </row>
    <row r="616" spans="1:1" x14ac:dyDescent="0.25">
      <c r="A616" s="21" t="str">
        <f>Translations!$B$758</f>
        <v>Singapore - Civil Aviation Authority of Singapore</v>
      </c>
    </row>
    <row r="617" spans="1:1" x14ac:dyDescent="0.25">
      <c r="A617" s="21" t="str">
        <f>Translations!$B$759</f>
        <v>Slovakia - Civil Aviation Authority</v>
      </c>
    </row>
    <row r="618" spans="1:1" x14ac:dyDescent="0.25">
      <c r="A618" s="21" t="str">
        <f>Translations!$B$760</f>
        <v>Slovenia - Civil Aviation Authority</v>
      </c>
    </row>
    <row r="619" spans="1:1" x14ac:dyDescent="0.25">
      <c r="A619" s="21" t="str">
        <f>Translations!$B$761</f>
        <v>Somalia - Civil Aviation Caretaker Authority for Somalia</v>
      </c>
    </row>
    <row r="620" spans="1:1" x14ac:dyDescent="0.25">
      <c r="A620" s="21" t="str">
        <f>Translations!$B$762</f>
        <v>South Africa - Civil Aviation Authority</v>
      </c>
    </row>
    <row r="621" spans="1:1" x14ac:dyDescent="0.25">
      <c r="A621" s="21" t="str">
        <f>Translations!$B$763</f>
        <v>Spain - Ministerio de Fomento, Civil Aviation</v>
      </c>
    </row>
    <row r="622" spans="1:1" x14ac:dyDescent="0.25">
      <c r="A622" s="21" t="str">
        <f>Translations!$B$764</f>
        <v>Sri Lanka - Civil Aviation Authority</v>
      </c>
    </row>
    <row r="623" spans="1:1" x14ac:dyDescent="0.25">
      <c r="A623" s="21" t="str">
        <f>Translations!$B$765</f>
        <v>Sudan - Civil Aviation Authority</v>
      </c>
    </row>
    <row r="624" spans="1:1" x14ac:dyDescent="0.25">
      <c r="A624" s="21" t="str">
        <f>Translations!$B$766</f>
        <v>Suriname - Civil Aviation Department of Suriname</v>
      </c>
    </row>
    <row r="625" spans="1:1" x14ac:dyDescent="0.25">
      <c r="A625" s="21" t="str">
        <f>Translations!$B$767</f>
        <v>Sweden - Swedish Civil Aviation Authority</v>
      </c>
    </row>
    <row r="626" spans="1:1" x14ac:dyDescent="0.25">
      <c r="A626" s="21" t="str">
        <f>Translations!$B$768</f>
        <v>Switzerland - Federal Office for Civil Aviation (FOCA)</v>
      </c>
    </row>
    <row r="627" spans="1:1" x14ac:dyDescent="0.25">
      <c r="A627" s="21" t="str">
        <f>Translations!$B$769</f>
        <v>Thailand - Department of Civil Aviation</v>
      </c>
    </row>
    <row r="628" spans="1:1" x14ac:dyDescent="0.25">
      <c r="A628" s="21" t="str">
        <f>Translations!$B$770</f>
        <v>North Macedonia - Civil Aviation Administration</v>
      </c>
    </row>
    <row r="629" spans="1:1" x14ac:dyDescent="0.25">
      <c r="A629" s="21" t="str">
        <f>Translations!$B$771</f>
        <v>Tonga - Ministry of Civil Aviation</v>
      </c>
    </row>
    <row r="630" spans="1:1" x14ac:dyDescent="0.25">
      <c r="A630" s="21" t="str">
        <f>Translations!$B$772</f>
        <v>Trinidad and Tobago - Civil Aviation Authority</v>
      </c>
    </row>
    <row r="631" spans="1:1" x14ac:dyDescent="0.25">
      <c r="A631" s="21" t="str">
        <f>Translations!$B$773</f>
        <v>Tunisia - Office de l'aviation civile et des aéroports</v>
      </c>
    </row>
    <row r="632" spans="1:1" x14ac:dyDescent="0.25">
      <c r="A632" s="21" t="str">
        <f>Translations!$B$1324</f>
        <v>Türkiye - Directorate General of Civil Aviation</v>
      </c>
    </row>
    <row r="633" spans="1:1" x14ac:dyDescent="0.25">
      <c r="A633" s="21" t="str">
        <f>Translations!$B$775</f>
        <v>Uganda - Civil Aviation Authority</v>
      </c>
    </row>
    <row r="634" spans="1:1" x14ac:dyDescent="0.25">
      <c r="A634" s="21" t="str">
        <f>Translations!$B$776</f>
        <v>Ukraine - Civil Aviation Authority</v>
      </c>
    </row>
    <row r="635" spans="1:1" x14ac:dyDescent="0.25">
      <c r="A635" s="21" t="str">
        <f>Translations!$B$777</f>
        <v>United Kingdom Civil Aviation Authority</v>
      </c>
    </row>
    <row r="636" spans="1:1" x14ac:dyDescent="0.25">
      <c r="A636" s="21" t="str">
        <f>Translations!$B$778</f>
        <v>United Arab Emirates - General Civil Aviation Authority (GCAA)</v>
      </c>
    </row>
    <row r="637" spans="1:1" x14ac:dyDescent="0.25">
      <c r="A637" s="21" t="str">
        <f>Translations!$B$779</f>
        <v>United Republic of Tanzania - Tanzania Civil Aviation Authority (TCAA)</v>
      </c>
    </row>
    <row r="638" spans="1:1" x14ac:dyDescent="0.25">
      <c r="A638" s="21" t="str">
        <f>Translations!$B$780</f>
        <v>United States - Federal Aviation Administration</v>
      </c>
    </row>
    <row r="639" spans="1:1" x14ac:dyDescent="0.25">
      <c r="A639" s="21" t="str">
        <f>Translations!$B$781</f>
        <v>Uruguay - Dirección Nacional de Aviación Civil e Infraestructura Aeronáutica (DINACIA)</v>
      </c>
    </row>
    <row r="640" spans="1:1" x14ac:dyDescent="0.25">
      <c r="A640" s="21" t="str">
        <f>Translations!$B$782</f>
        <v>Vanuatu - Vanuatu Civil Aviation Authority</v>
      </c>
    </row>
    <row r="641" spans="1:5" x14ac:dyDescent="0.25">
      <c r="A641" s="21" t="str">
        <f>Translations!$B$783</f>
        <v>Yemen - Civil Aviation and Meteorological Authority (CAMA)</v>
      </c>
    </row>
    <row r="642" spans="1:5" x14ac:dyDescent="0.25">
      <c r="A642" s="21" t="str">
        <f>Translations!$B$784</f>
        <v>Zambia - Department of Civil Aviation</v>
      </c>
    </row>
    <row r="643" spans="1:5" ht="13" thickBot="1" x14ac:dyDescent="0.3"/>
    <row r="644" spans="1:5" ht="13.5" thickBot="1" x14ac:dyDescent="0.35">
      <c r="A644" s="20" t="s">
        <v>297</v>
      </c>
      <c r="B644" s="673" t="s">
        <v>298</v>
      </c>
      <c r="C644" s="673"/>
      <c r="D644" s="351" t="s">
        <v>299</v>
      </c>
    </row>
    <row r="645" spans="1:5" ht="13" x14ac:dyDescent="0.3">
      <c r="A645" s="318" t="str">
        <f>Translations!$B$1151</f>
        <v>Jet-A</v>
      </c>
      <c r="B645" s="674">
        <v>3.15</v>
      </c>
      <c r="C645" s="674">
        <v>3.16</v>
      </c>
      <c r="D645" s="669">
        <v>3.16</v>
      </c>
      <c r="E645" s="672"/>
    </row>
    <row r="646" spans="1:5" ht="13" x14ac:dyDescent="0.3">
      <c r="A646" s="318" t="str">
        <f>Translations!$B$1152</f>
        <v>Jet-A1</v>
      </c>
      <c r="B646" s="674">
        <v>3.15</v>
      </c>
      <c r="C646" s="674">
        <v>3.16</v>
      </c>
      <c r="D646" s="670">
        <v>3.16</v>
      </c>
      <c r="E646" s="289"/>
    </row>
    <row r="647" spans="1:5" ht="13" x14ac:dyDescent="0.3">
      <c r="A647" s="318" t="str">
        <f>Translations!$B$1153</f>
        <v>Jet-B</v>
      </c>
      <c r="B647" s="674">
        <v>3.1</v>
      </c>
      <c r="C647" s="674">
        <v>3.1</v>
      </c>
      <c r="D647" s="670">
        <v>3.1</v>
      </c>
    </row>
    <row r="648" spans="1:5" ht="13.5" thickBot="1" x14ac:dyDescent="0.35">
      <c r="A648" s="318" t="str">
        <f>Translations!$B$1154</f>
        <v>AvGas</v>
      </c>
      <c r="B648" s="674">
        <v>3.1</v>
      </c>
      <c r="C648" s="674">
        <v>3.1</v>
      </c>
      <c r="D648" s="671">
        <v>3.1</v>
      </c>
    </row>
    <row r="650" spans="1:5" ht="13" x14ac:dyDescent="0.3">
      <c r="A650" s="20" t="s">
        <v>300</v>
      </c>
      <c r="D650" t="s">
        <v>301</v>
      </c>
    </row>
    <row r="651" spans="1:5" x14ac:dyDescent="0.25">
      <c r="A651" s="318" t="str">
        <f>Translations!$B$1200</f>
        <v>EU ETS</v>
      </c>
    </row>
    <row r="652" spans="1:5" x14ac:dyDescent="0.25">
      <c r="A652" s="318" t="str">
        <f>Translations!$B$1201</f>
        <v>CORSIA</v>
      </c>
    </row>
    <row r="655" spans="1:5" ht="13" x14ac:dyDescent="0.3">
      <c r="A655" s="20" t="s">
        <v>302</v>
      </c>
    </row>
    <row r="656" spans="1:5" x14ac:dyDescent="0.25">
      <c r="A656" s="22" t="str">
        <f>Translations!$B$1202</f>
        <v>&lt;Please select&gt;</v>
      </c>
    </row>
    <row r="657" spans="1:1" x14ac:dyDescent="0.25">
      <c r="A657" s="21" t="str">
        <f>Translations!$B$1203</f>
        <v>Bulgarian</v>
      </c>
    </row>
    <row r="658" spans="1:1" x14ac:dyDescent="0.25">
      <c r="A658" s="21" t="str">
        <f>Translations!$B$1204</f>
        <v>Spanish</v>
      </c>
    </row>
    <row r="659" spans="1:1" x14ac:dyDescent="0.25">
      <c r="A659" s="21" t="str">
        <f>Translations!$B$1205</f>
        <v>Croatian</v>
      </c>
    </row>
    <row r="660" spans="1:1" x14ac:dyDescent="0.25">
      <c r="A660" s="21" t="str">
        <f>Translations!$B$1206</f>
        <v>Czech</v>
      </c>
    </row>
    <row r="661" spans="1:1" x14ac:dyDescent="0.25">
      <c r="A661" s="21" t="str">
        <f>Translations!$B$1207</f>
        <v>Danish</v>
      </c>
    </row>
    <row r="662" spans="1:1" x14ac:dyDescent="0.25">
      <c r="A662" s="21" t="str">
        <f>Translations!$B$1208</f>
        <v>German</v>
      </c>
    </row>
    <row r="663" spans="1:1" x14ac:dyDescent="0.25">
      <c r="A663" s="21" t="str">
        <f>Translations!$B$1209</f>
        <v>Estonian</v>
      </c>
    </row>
    <row r="664" spans="1:1" x14ac:dyDescent="0.25">
      <c r="A664" s="21" t="str">
        <f>Translations!$B$1210</f>
        <v>Greek</v>
      </c>
    </row>
    <row r="665" spans="1:1" x14ac:dyDescent="0.25">
      <c r="A665" s="21" t="str">
        <f>Translations!$B$1211</f>
        <v>English</v>
      </c>
    </row>
    <row r="666" spans="1:1" x14ac:dyDescent="0.25">
      <c r="A666" s="21" t="str">
        <f>Translations!$B$1212</f>
        <v>French</v>
      </c>
    </row>
    <row r="667" spans="1:1" x14ac:dyDescent="0.25">
      <c r="A667" s="21" t="str">
        <f>Translations!$B$1213</f>
        <v>Icelandic</v>
      </c>
    </row>
    <row r="668" spans="1:1" x14ac:dyDescent="0.25">
      <c r="A668" s="21" t="str">
        <f>Translations!$B$1214</f>
        <v>Italian</v>
      </c>
    </row>
    <row r="669" spans="1:1" x14ac:dyDescent="0.25">
      <c r="A669" s="21" t="str">
        <f>Translations!$B$1215</f>
        <v>Latvian</v>
      </c>
    </row>
    <row r="670" spans="1:1" x14ac:dyDescent="0.25">
      <c r="A670" s="21" t="str">
        <f>Translations!$B$1216</f>
        <v>Lithuanian</v>
      </c>
    </row>
    <row r="671" spans="1:1" x14ac:dyDescent="0.25">
      <c r="A671" s="21" t="str">
        <f>Translations!$B$1217</f>
        <v>Hungarian</v>
      </c>
    </row>
    <row r="672" spans="1:1" x14ac:dyDescent="0.25">
      <c r="A672" s="21" t="str">
        <f>Translations!$B$1218</f>
        <v>Maltese</v>
      </c>
    </row>
    <row r="673" spans="1:1" x14ac:dyDescent="0.25">
      <c r="A673" s="21" t="str">
        <f>Translations!$B$1219</f>
        <v>Norwegian</v>
      </c>
    </row>
    <row r="674" spans="1:1" x14ac:dyDescent="0.25">
      <c r="A674" s="21" t="str">
        <f>Translations!$B$1220</f>
        <v>Dutch</v>
      </c>
    </row>
    <row r="675" spans="1:1" x14ac:dyDescent="0.25">
      <c r="A675" s="21" t="str">
        <f>Translations!$B$1221</f>
        <v>Polish</v>
      </c>
    </row>
    <row r="676" spans="1:1" x14ac:dyDescent="0.25">
      <c r="A676" s="21" t="str">
        <f>Translations!$B$1222</f>
        <v>Portuguese</v>
      </c>
    </row>
    <row r="677" spans="1:1" x14ac:dyDescent="0.25">
      <c r="A677" s="21" t="str">
        <f>Translations!$B$1223</f>
        <v>Romanian</v>
      </c>
    </row>
    <row r="678" spans="1:1" x14ac:dyDescent="0.25">
      <c r="A678" s="21" t="str">
        <f>Translations!$B$1224</f>
        <v>Slovak</v>
      </c>
    </row>
    <row r="679" spans="1:1" x14ac:dyDescent="0.25">
      <c r="A679" s="21" t="str">
        <f>Translations!$B$1225</f>
        <v>Slovenian</v>
      </c>
    </row>
    <row r="680" spans="1:1" x14ac:dyDescent="0.25">
      <c r="A680" s="21" t="str">
        <f>Translations!$B$1226</f>
        <v>Finnish</v>
      </c>
    </row>
    <row r="681" spans="1:1" x14ac:dyDescent="0.25">
      <c r="A681" s="21" t="str">
        <f>Translations!$B$1227</f>
        <v>Swedish</v>
      </c>
    </row>
    <row r="685" spans="1:1" x14ac:dyDescent="0.25">
      <c r="A685" s="9" t="str">
        <f>Translations!$B$1231</f>
        <v>ICAO Member State List</v>
      </c>
    </row>
    <row r="686" spans="1:1" x14ac:dyDescent="0.25">
      <c r="A686" s="429" t="str">
        <f>Translations!$B$400</f>
        <v>Afghanistan</v>
      </c>
    </row>
    <row r="687" spans="1:1" x14ac:dyDescent="0.25">
      <c r="A687" s="429" t="str">
        <f>Translations!$B$401</f>
        <v>Albania</v>
      </c>
    </row>
    <row r="688" spans="1:1" x14ac:dyDescent="0.25">
      <c r="A688" s="429" t="str">
        <f>Translations!$B$402</f>
        <v>Algeria</v>
      </c>
    </row>
    <row r="689" spans="1:1" x14ac:dyDescent="0.25">
      <c r="A689" s="429" t="str">
        <f>Translations!$B$404</f>
        <v>Andorra</v>
      </c>
    </row>
    <row r="690" spans="1:1" x14ac:dyDescent="0.25">
      <c r="A690" s="429" t="str">
        <f>Translations!$B$405</f>
        <v>Angola</v>
      </c>
    </row>
    <row r="691" spans="1:1" x14ac:dyDescent="0.25">
      <c r="A691" s="429" t="str">
        <f>Translations!$B$407</f>
        <v>Antigua and Barbuda</v>
      </c>
    </row>
    <row r="692" spans="1:1" x14ac:dyDescent="0.25">
      <c r="A692" s="429" t="str">
        <f>Translations!$B$408</f>
        <v>Argentina</v>
      </c>
    </row>
    <row r="693" spans="1:1" x14ac:dyDescent="0.25">
      <c r="A693" s="429" t="str">
        <f>Translations!$B$409</f>
        <v>Armenia</v>
      </c>
    </row>
    <row r="694" spans="1:1" x14ac:dyDescent="0.25">
      <c r="A694" s="429" t="str">
        <f>Translations!$B$411</f>
        <v>Australia</v>
      </c>
    </row>
    <row r="695" spans="1:1" x14ac:dyDescent="0.25">
      <c r="A695" s="429" t="str">
        <f>Translations!$B$369</f>
        <v>Austria</v>
      </c>
    </row>
    <row r="696" spans="1:1" x14ac:dyDescent="0.25">
      <c r="A696" s="429" t="str">
        <f>Translations!$B$412</f>
        <v>Azerbaijan</v>
      </c>
    </row>
    <row r="697" spans="1:1" x14ac:dyDescent="0.25">
      <c r="A697" s="429" t="str">
        <f>Translations!$B$413</f>
        <v>Bahamas</v>
      </c>
    </row>
    <row r="698" spans="1:1" x14ac:dyDescent="0.25">
      <c r="A698" s="429" t="str">
        <f>Translations!$B$414</f>
        <v>Bahrain</v>
      </c>
    </row>
    <row r="699" spans="1:1" x14ac:dyDescent="0.25">
      <c r="A699" s="429" t="str">
        <f>Translations!$B$415</f>
        <v>Bangladesh</v>
      </c>
    </row>
    <row r="700" spans="1:1" x14ac:dyDescent="0.25">
      <c r="A700" s="429" t="str">
        <f>Translations!$B$416</f>
        <v>Barbados</v>
      </c>
    </row>
    <row r="701" spans="1:1" x14ac:dyDescent="0.25">
      <c r="A701" s="429" t="str">
        <f>Translations!$B$417</f>
        <v>Belarus</v>
      </c>
    </row>
    <row r="702" spans="1:1" x14ac:dyDescent="0.25">
      <c r="A702" s="429" t="str">
        <f>Translations!$B$370</f>
        <v>Belgium</v>
      </c>
    </row>
    <row r="703" spans="1:1" x14ac:dyDescent="0.25">
      <c r="A703" s="429" t="str">
        <f>Translations!$B$418</f>
        <v>Belize</v>
      </c>
    </row>
    <row r="704" spans="1:1" x14ac:dyDescent="0.25">
      <c r="A704" s="429" t="str">
        <f>Translations!$B$419</f>
        <v>Benin</v>
      </c>
    </row>
    <row r="705" spans="1:1" x14ac:dyDescent="0.25">
      <c r="A705" s="429" t="str">
        <f>Translations!$B$421</f>
        <v>Bhutan</v>
      </c>
    </row>
    <row r="706" spans="1:1" x14ac:dyDescent="0.25">
      <c r="A706" s="429" t="str">
        <f>Translations!$B$1232</f>
        <v>Bolivia (Plurinational State of)</v>
      </c>
    </row>
    <row r="707" spans="1:1" x14ac:dyDescent="0.25">
      <c r="A707" s="429" t="str">
        <f>Translations!$B$423</f>
        <v>Bosnia and Herzegovina</v>
      </c>
    </row>
    <row r="708" spans="1:1" x14ac:dyDescent="0.25">
      <c r="A708" s="429" t="str">
        <f>Translations!$B$424</f>
        <v>Botswana</v>
      </c>
    </row>
    <row r="709" spans="1:1" x14ac:dyDescent="0.25">
      <c r="A709" s="429" t="str">
        <f>Translations!$B$425</f>
        <v>Brazil</v>
      </c>
    </row>
    <row r="710" spans="1:1" x14ac:dyDescent="0.25">
      <c r="A710" s="429" t="str">
        <f>Translations!$B$427</f>
        <v>Brunei Darussalam</v>
      </c>
    </row>
    <row r="711" spans="1:1" x14ac:dyDescent="0.25">
      <c r="A711" s="429" t="str">
        <f>Translations!$B$371</f>
        <v>Bulgaria</v>
      </c>
    </row>
    <row r="712" spans="1:1" x14ac:dyDescent="0.25">
      <c r="A712" s="429" t="str">
        <f>Translations!$B$428</f>
        <v>Burkina Faso</v>
      </c>
    </row>
    <row r="713" spans="1:1" x14ac:dyDescent="0.25">
      <c r="A713" s="429" t="str">
        <f>Translations!$B$429</f>
        <v>Burundi</v>
      </c>
    </row>
    <row r="714" spans="1:1" x14ac:dyDescent="0.25">
      <c r="A714" s="429" t="str">
        <f>Translations!$B$1233</f>
        <v>Cabo Verde</v>
      </c>
    </row>
    <row r="715" spans="1:1" x14ac:dyDescent="0.25">
      <c r="A715" s="429" t="str">
        <f>Translations!$B$430</f>
        <v>Cambodia</v>
      </c>
    </row>
    <row r="716" spans="1:1" x14ac:dyDescent="0.25">
      <c r="A716" s="429" t="str">
        <f>Translations!$B$431</f>
        <v>Cameroon</v>
      </c>
    </row>
    <row r="717" spans="1:1" x14ac:dyDescent="0.25">
      <c r="A717" s="429" t="str">
        <f>Translations!$B$432</f>
        <v>Canada</v>
      </c>
    </row>
    <row r="718" spans="1:1" x14ac:dyDescent="0.25">
      <c r="A718" s="429" t="str">
        <f>Translations!$B$435</f>
        <v>Central African Republic</v>
      </c>
    </row>
    <row r="719" spans="1:1" x14ac:dyDescent="0.25">
      <c r="A719" s="429" t="str">
        <f>Translations!$B$436</f>
        <v>Chad</v>
      </c>
    </row>
    <row r="720" spans="1:1" x14ac:dyDescent="0.25">
      <c r="A720" s="429" t="str">
        <f>Translations!$B$438</f>
        <v>Chile</v>
      </c>
    </row>
    <row r="721" spans="1:1" x14ac:dyDescent="0.25">
      <c r="A721" s="429" t="str">
        <f>Translations!$B$439</f>
        <v>China</v>
      </c>
    </row>
    <row r="722" spans="1:1" x14ac:dyDescent="0.25">
      <c r="A722" s="429" t="str">
        <f>Translations!$B$442</f>
        <v>Colombia</v>
      </c>
    </row>
    <row r="723" spans="1:1" x14ac:dyDescent="0.25">
      <c r="A723" s="429" t="str">
        <f>Translations!$B$443</f>
        <v>Comoros</v>
      </c>
    </row>
    <row r="724" spans="1:1" x14ac:dyDescent="0.25">
      <c r="A724" s="429" t="str">
        <f>Translations!$B$444</f>
        <v>Congo</v>
      </c>
    </row>
    <row r="725" spans="1:1" x14ac:dyDescent="0.25">
      <c r="A725" s="429" t="str">
        <f>Translations!$B$445</f>
        <v>Cook Islands</v>
      </c>
    </row>
    <row r="726" spans="1:1" x14ac:dyDescent="0.25">
      <c r="A726" s="429" t="str">
        <f>Translations!$B$446</f>
        <v>Costa Rica</v>
      </c>
    </row>
    <row r="727" spans="1:1" x14ac:dyDescent="0.25">
      <c r="A727" s="429" t="str">
        <f>Translations!$B$447</f>
        <v>Côte d'Ivoire</v>
      </c>
    </row>
    <row r="728" spans="1:1" x14ac:dyDescent="0.25">
      <c r="A728" s="429" t="str">
        <f>Translations!$B$372</f>
        <v>Croatia</v>
      </c>
    </row>
    <row r="729" spans="1:1" x14ac:dyDescent="0.25">
      <c r="A729" s="429" t="str">
        <f>Translations!$B$448</f>
        <v>Cuba</v>
      </c>
    </row>
    <row r="730" spans="1:1" x14ac:dyDescent="0.25">
      <c r="A730" s="429" t="str">
        <f>Translations!$B$373</f>
        <v>Cyprus</v>
      </c>
    </row>
    <row r="731" spans="1:1" x14ac:dyDescent="0.25">
      <c r="A731" s="429" t="str">
        <f>Translations!$B$374</f>
        <v>Czechia</v>
      </c>
    </row>
    <row r="732" spans="1:1" x14ac:dyDescent="0.25">
      <c r="A732" s="429" t="str">
        <f>Translations!$B$1234</f>
        <v>Democratic People's Republic of Korea</v>
      </c>
    </row>
    <row r="733" spans="1:1" x14ac:dyDescent="0.25">
      <c r="A733" s="429" t="str">
        <f>Translations!$B$1235</f>
        <v>Democratic Republic of the Congo</v>
      </c>
    </row>
    <row r="734" spans="1:1" x14ac:dyDescent="0.25">
      <c r="A734" s="429" t="str">
        <f>Translations!$B$375</f>
        <v>Denmark</v>
      </c>
    </row>
    <row r="735" spans="1:1" x14ac:dyDescent="0.25">
      <c r="A735" s="429" t="str">
        <f>Translations!$B$451</f>
        <v>Djibouti</v>
      </c>
    </row>
    <row r="736" spans="1:1" x14ac:dyDescent="0.25">
      <c r="A736" s="429" t="str">
        <f>Translations!$B$452</f>
        <v>Dominica</v>
      </c>
    </row>
    <row r="737" spans="1:1" x14ac:dyDescent="0.25">
      <c r="A737" s="429" t="str">
        <f>Translations!$B$453</f>
        <v>Dominican Republic</v>
      </c>
    </row>
    <row r="738" spans="1:1" x14ac:dyDescent="0.25">
      <c r="A738" s="429" t="str">
        <f>Translations!$B$454</f>
        <v>Ecuador</v>
      </c>
    </row>
    <row r="739" spans="1:1" x14ac:dyDescent="0.25">
      <c r="A739" s="429" t="str">
        <f>Translations!$B$455</f>
        <v>Egypt</v>
      </c>
    </row>
    <row r="740" spans="1:1" x14ac:dyDescent="0.25">
      <c r="A740" s="429" t="str">
        <f>Translations!$B$456</f>
        <v>El Salvador</v>
      </c>
    </row>
    <row r="741" spans="1:1" x14ac:dyDescent="0.25">
      <c r="A741" s="429" t="str">
        <f>Translations!$B$457</f>
        <v>Equatorial Guinea</v>
      </c>
    </row>
    <row r="742" spans="1:1" x14ac:dyDescent="0.25">
      <c r="A742" s="429" t="str">
        <f>Translations!$B$458</f>
        <v>Eritrea</v>
      </c>
    </row>
    <row r="743" spans="1:1" x14ac:dyDescent="0.25">
      <c r="A743" s="429" t="str">
        <f>Translations!$B$376</f>
        <v>Estonia</v>
      </c>
    </row>
    <row r="744" spans="1:1" x14ac:dyDescent="0.25">
      <c r="A744" s="429" t="str">
        <f>Translations!$B$1236</f>
        <v>Eswatini</v>
      </c>
    </row>
    <row r="745" spans="1:1" x14ac:dyDescent="0.25">
      <c r="A745" s="429" t="str">
        <f>Translations!$B$459</f>
        <v>Ethiopia</v>
      </c>
    </row>
    <row r="746" spans="1:1" x14ac:dyDescent="0.25">
      <c r="A746" s="429" t="str">
        <f>Translations!$B$462</f>
        <v>Fiji</v>
      </c>
    </row>
    <row r="747" spans="1:1" x14ac:dyDescent="0.25">
      <c r="A747" s="429" t="str">
        <f>Translations!$B$377</f>
        <v>Finland</v>
      </c>
    </row>
    <row r="748" spans="1:1" x14ac:dyDescent="0.25">
      <c r="A748" s="429" t="str">
        <f>Translations!$B$378</f>
        <v>France</v>
      </c>
    </row>
    <row r="749" spans="1:1" x14ac:dyDescent="0.25">
      <c r="A749" s="429" t="str">
        <f>Translations!$B$465</f>
        <v>Gabon</v>
      </c>
    </row>
    <row r="750" spans="1:1" x14ac:dyDescent="0.25">
      <c r="A750" s="429" t="str">
        <f>Translations!$B$466</f>
        <v>Gambia</v>
      </c>
    </row>
    <row r="751" spans="1:1" x14ac:dyDescent="0.25">
      <c r="A751" s="429" t="str">
        <f>Translations!$B$467</f>
        <v>Georgia</v>
      </c>
    </row>
    <row r="752" spans="1:1" x14ac:dyDescent="0.25">
      <c r="A752" s="429" t="str">
        <f>Translations!$B$379</f>
        <v>Germany</v>
      </c>
    </row>
    <row r="753" spans="1:1" x14ac:dyDescent="0.25">
      <c r="A753" s="429" t="str">
        <f>Translations!$B$468</f>
        <v>Ghana</v>
      </c>
    </row>
    <row r="754" spans="1:1" x14ac:dyDescent="0.25">
      <c r="A754" s="429" t="str">
        <f>Translations!$B$380</f>
        <v>Greece</v>
      </c>
    </row>
    <row r="755" spans="1:1" x14ac:dyDescent="0.25">
      <c r="A755" s="429" t="str">
        <f>Translations!$B$471</f>
        <v>Grenada</v>
      </c>
    </row>
    <row r="756" spans="1:1" x14ac:dyDescent="0.25">
      <c r="A756" s="429" t="str">
        <f>Translations!$B$474</f>
        <v>Guatemala</v>
      </c>
    </row>
    <row r="757" spans="1:1" x14ac:dyDescent="0.25">
      <c r="A757" s="429" t="str">
        <f>Translations!$B$476</f>
        <v>Guinea</v>
      </c>
    </row>
    <row r="758" spans="1:1" x14ac:dyDescent="0.25">
      <c r="A758" s="429" t="str">
        <f>Translations!$B$477</f>
        <v>Guinea-Bissau</v>
      </c>
    </row>
    <row r="759" spans="1:1" x14ac:dyDescent="0.25">
      <c r="A759" s="429" t="str">
        <f>Translations!$B$478</f>
        <v>Guyana</v>
      </c>
    </row>
    <row r="760" spans="1:1" x14ac:dyDescent="0.25">
      <c r="A760" s="429" t="str">
        <f>Translations!$B$479</f>
        <v>Haiti</v>
      </c>
    </row>
    <row r="761" spans="1:1" x14ac:dyDescent="0.25">
      <c r="A761" s="429" t="str">
        <f>Translations!$B$481</f>
        <v>Honduras</v>
      </c>
    </row>
    <row r="762" spans="1:1" x14ac:dyDescent="0.25">
      <c r="A762" s="429" t="str">
        <f>Translations!$B$381</f>
        <v>Hungary</v>
      </c>
    </row>
    <row r="763" spans="1:1" x14ac:dyDescent="0.25">
      <c r="A763" s="429" t="str">
        <f>Translations!$B$382</f>
        <v>Iceland</v>
      </c>
    </row>
    <row r="764" spans="1:1" x14ac:dyDescent="0.25">
      <c r="A764" s="429" t="str">
        <f>Translations!$B$482</f>
        <v>India</v>
      </c>
    </row>
    <row r="765" spans="1:1" x14ac:dyDescent="0.25">
      <c r="A765" s="429" t="str">
        <f>Translations!$B$483</f>
        <v>Indonesia</v>
      </c>
    </row>
    <row r="766" spans="1:1" x14ac:dyDescent="0.25">
      <c r="A766" s="429" t="str">
        <f>Translations!$B$1237</f>
        <v>Iran (Islamic Republic of)</v>
      </c>
    </row>
    <row r="767" spans="1:1" x14ac:dyDescent="0.25">
      <c r="A767" s="429" t="str">
        <f>Translations!$B$485</f>
        <v>Iraq</v>
      </c>
    </row>
    <row r="768" spans="1:1" x14ac:dyDescent="0.25">
      <c r="A768" s="429" t="str">
        <f>Translations!$B$383</f>
        <v>Ireland</v>
      </c>
    </row>
    <row r="769" spans="1:1" x14ac:dyDescent="0.25">
      <c r="A769" s="429" t="str">
        <f>Translations!$B$487</f>
        <v>Israel</v>
      </c>
    </row>
    <row r="770" spans="1:1" x14ac:dyDescent="0.25">
      <c r="A770" s="429" t="str">
        <f>Translations!$B$384</f>
        <v>Italy</v>
      </c>
    </row>
    <row r="771" spans="1:1" x14ac:dyDescent="0.25">
      <c r="A771" s="429" t="str">
        <f>Translations!$B$488</f>
        <v>Jamaica</v>
      </c>
    </row>
    <row r="772" spans="1:1" x14ac:dyDescent="0.25">
      <c r="A772" s="429" t="str">
        <f>Translations!$B$489</f>
        <v>Japan</v>
      </c>
    </row>
    <row r="773" spans="1:1" x14ac:dyDescent="0.25">
      <c r="A773" s="429" t="str">
        <f>Translations!$B$491</f>
        <v>Jordan</v>
      </c>
    </row>
    <row r="774" spans="1:1" x14ac:dyDescent="0.25">
      <c r="A774" s="429" t="str">
        <f>Translations!$B$492</f>
        <v>Kazakhstan</v>
      </c>
    </row>
    <row r="775" spans="1:1" x14ac:dyDescent="0.25">
      <c r="A775" s="429" t="str">
        <f>Translations!$B$493</f>
        <v>Kenya</v>
      </c>
    </row>
    <row r="776" spans="1:1" x14ac:dyDescent="0.25">
      <c r="A776" s="429" t="str">
        <f>Translations!$B$494</f>
        <v>Kiribati</v>
      </c>
    </row>
    <row r="777" spans="1:1" x14ac:dyDescent="0.25">
      <c r="A777" s="429" t="str">
        <f>Translations!$B$495</f>
        <v>Kuwait</v>
      </c>
    </row>
    <row r="778" spans="1:1" x14ac:dyDescent="0.25">
      <c r="A778" s="429" t="str">
        <f>Translations!$B$496</f>
        <v>Kyrgyzstan</v>
      </c>
    </row>
    <row r="779" spans="1:1" x14ac:dyDescent="0.25">
      <c r="A779" s="429" t="str">
        <f>Translations!$B$497</f>
        <v>Lao People's Democratic Republic</v>
      </c>
    </row>
    <row r="780" spans="1:1" x14ac:dyDescent="0.25">
      <c r="A780" s="429" t="str">
        <f>Translations!$B$385</f>
        <v>Latvia</v>
      </c>
    </row>
    <row r="781" spans="1:1" x14ac:dyDescent="0.25">
      <c r="A781" s="429" t="str">
        <f>Translations!$B$498</f>
        <v>Lebanon</v>
      </c>
    </row>
    <row r="782" spans="1:1" x14ac:dyDescent="0.25">
      <c r="A782" s="429" t="str">
        <f>Translations!$B$499</f>
        <v>Lesotho</v>
      </c>
    </row>
    <row r="783" spans="1:1" x14ac:dyDescent="0.25">
      <c r="A783" s="429" t="str">
        <f>Translations!$B$500</f>
        <v>Liberia</v>
      </c>
    </row>
    <row r="784" spans="1:1" x14ac:dyDescent="0.25">
      <c r="A784" s="429" t="str">
        <f>Translations!$B$501</f>
        <v>Libya</v>
      </c>
    </row>
    <row r="785" spans="1:1" x14ac:dyDescent="0.25">
      <c r="A785" s="429" t="str">
        <f>Translations!$B$387</f>
        <v>Lithuania</v>
      </c>
    </row>
    <row r="786" spans="1:1" x14ac:dyDescent="0.25">
      <c r="A786" s="429" t="str">
        <f>Translations!$B$388</f>
        <v>Luxembourg</v>
      </c>
    </row>
    <row r="787" spans="1:1" x14ac:dyDescent="0.25">
      <c r="A787" s="429" t="str">
        <f>Translations!$B$502</f>
        <v>Madagascar</v>
      </c>
    </row>
    <row r="788" spans="1:1" x14ac:dyDescent="0.25">
      <c r="A788" s="429" t="str">
        <f>Translations!$B$503</f>
        <v>Malawi</v>
      </c>
    </row>
    <row r="789" spans="1:1" x14ac:dyDescent="0.25">
      <c r="A789" s="429" t="str">
        <f>Translations!$B$504</f>
        <v>Malaysia</v>
      </c>
    </row>
    <row r="790" spans="1:1" x14ac:dyDescent="0.25">
      <c r="A790" s="429" t="str">
        <f>Translations!$B$505</f>
        <v>Maldives</v>
      </c>
    </row>
    <row r="791" spans="1:1" x14ac:dyDescent="0.25">
      <c r="A791" s="429" t="str">
        <f>Translations!$B$506</f>
        <v>Mali</v>
      </c>
    </row>
    <row r="792" spans="1:1" x14ac:dyDescent="0.25">
      <c r="A792" s="429" t="str">
        <f>Translations!$B$389</f>
        <v>Malta</v>
      </c>
    </row>
    <row r="793" spans="1:1" x14ac:dyDescent="0.25">
      <c r="A793" s="429" t="str">
        <f>Translations!$B$507</f>
        <v>Marshall Islands</v>
      </c>
    </row>
    <row r="794" spans="1:1" x14ac:dyDescent="0.25">
      <c r="A794" s="429" t="str">
        <f>Translations!$B$509</f>
        <v>Mauritania</v>
      </c>
    </row>
    <row r="795" spans="1:1" x14ac:dyDescent="0.25">
      <c r="A795" s="429" t="str">
        <f>Translations!$B$510</f>
        <v>Mauritius</v>
      </c>
    </row>
    <row r="796" spans="1:1" x14ac:dyDescent="0.25">
      <c r="A796" s="429" t="str">
        <f>Translations!$B$512</f>
        <v>Mexico</v>
      </c>
    </row>
    <row r="797" spans="1:1" x14ac:dyDescent="0.25">
      <c r="A797" s="429" t="str">
        <f>Translations!$B$1238</f>
        <v>Micronesia (Federated States of)</v>
      </c>
    </row>
    <row r="798" spans="1:1" x14ac:dyDescent="0.25">
      <c r="A798" s="429" t="str">
        <f>Translations!$B$514</f>
        <v>Monaco</v>
      </c>
    </row>
    <row r="799" spans="1:1" x14ac:dyDescent="0.25">
      <c r="A799" s="429" t="str">
        <f>Translations!$B$515</f>
        <v>Mongolia</v>
      </c>
    </row>
    <row r="800" spans="1:1" x14ac:dyDescent="0.25">
      <c r="A800" s="429" t="str">
        <f>Translations!$B$516</f>
        <v>Montenegro</v>
      </c>
    </row>
    <row r="801" spans="1:1" x14ac:dyDescent="0.25">
      <c r="A801" s="429" t="str">
        <f>Translations!$B$518</f>
        <v>Morocco</v>
      </c>
    </row>
    <row r="802" spans="1:1" x14ac:dyDescent="0.25">
      <c r="A802" s="429" t="str">
        <f>Translations!$B$519</f>
        <v>Mozambique</v>
      </c>
    </row>
    <row r="803" spans="1:1" x14ac:dyDescent="0.25">
      <c r="A803" s="429" t="str">
        <f>Translations!$B$520</f>
        <v>Myanmar</v>
      </c>
    </row>
    <row r="804" spans="1:1" x14ac:dyDescent="0.25">
      <c r="A804" s="429" t="str">
        <f>Translations!$B$521</f>
        <v>Namibia</v>
      </c>
    </row>
    <row r="805" spans="1:1" x14ac:dyDescent="0.25">
      <c r="A805" s="429" t="str">
        <f>Translations!$B$522</f>
        <v>Nauru</v>
      </c>
    </row>
    <row r="806" spans="1:1" x14ac:dyDescent="0.25">
      <c r="A806" s="429" t="str">
        <f>Translations!$B$523</f>
        <v>Nepal</v>
      </c>
    </row>
    <row r="807" spans="1:1" x14ac:dyDescent="0.25">
      <c r="A807" s="429" t="str">
        <f>Translations!$B$390</f>
        <v>Netherlands</v>
      </c>
    </row>
    <row r="808" spans="1:1" x14ac:dyDescent="0.25">
      <c r="A808" s="429" t="str">
        <f>Translations!$B$526</f>
        <v>New Zealand</v>
      </c>
    </row>
    <row r="809" spans="1:1" x14ac:dyDescent="0.25">
      <c r="A809" s="429" t="str">
        <f>Translations!$B$527</f>
        <v>Nicaragua</v>
      </c>
    </row>
    <row r="810" spans="1:1" x14ac:dyDescent="0.25">
      <c r="A810" s="429" t="str">
        <f>Translations!$B$528</f>
        <v>Niger</v>
      </c>
    </row>
    <row r="811" spans="1:1" x14ac:dyDescent="0.25">
      <c r="A811" s="429" t="str">
        <f>Translations!$B$529</f>
        <v>Nigeria</v>
      </c>
    </row>
    <row r="812" spans="1:1" x14ac:dyDescent="0.25">
      <c r="A812" s="429" t="str">
        <f>Translations!$B$1194</f>
        <v>North Macedonia</v>
      </c>
    </row>
    <row r="813" spans="1:1" x14ac:dyDescent="0.25">
      <c r="A813" s="429" t="str">
        <f>Translations!$B$391</f>
        <v>Norway</v>
      </c>
    </row>
    <row r="814" spans="1:1" x14ac:dyDescent="0.25">
      <c r="A814" s="429" t="str">
        <f>Translations!$B$534</f>
        <v>Oman</v>
      </c>
    </row>
    <row r="815" spans="1:1" x14ac:dyDescent="0.25">
      <c r="A815" s="429" t="str">
        <f>Translations!$B$535</f>
        <v>Pakistan</v>
      </c>
    </row>
    <row r="816" spans="1:1" x14ac:dyDescent="0.25">
      <c r="A816" s="429" t="str">
        <f>Translations!$B$536</f>
        <v>Palau</v>
      </c>
    </row>
    <row r="817" spans="1:1" x14ac:dyDescent="0.25">
      <c r="A817" s="429" t="str">
        <f>Translations!$B$537</f>
        <v>Panama</v>
      </c>
    </row>
    <row r="818" spans="1:1" x14ac:dyDescent="0.25">
      <c r="A818" s="429" t="str">
        <f>Translations!$B$538</f>
        <v>Papua New Guinea</v>
      </c>
    </row>
    <row r="819" spans="1:1" x14ac:dyDescent="0.25">
      <c r="A819" s="429" t="str">
        <f>Translations!$B$539</f>
        <v>Paraguay</v>
      </c>
    </row>
    <row r="820" spans="1:1" x14ac:dyDescent="0.25">
      <c r="A820" s="429" t="str">
        <f>Translations!$B$540</f>
        <v>Peru</v>
      </c>
    </row>
    <row r="821" spans="1:1" x14ac:dyDescent="0.25">
      <c r="A821" s="429" t="str">
        <f>Translations!$B$541</f>
        <v>Philippines</v>
      </c>
    </row>
    <row r="822" spans="1:1" x14ac:dyDescent="0.25">
      <c r="A822" s="429" t="str">
        <f>Translations!$B$392</f>
        <v>Poland</v>
      </c>
    </row>
    <row r="823" spans="1:1" x14ac:dyDescent="0.25">
      <c r="A823" s="429" t="str">
        <f>Translations!$B$393</f>
        <v>Portugal</v>
      </c>
    </row>
    <row r="824" spans="1:1" x14ac:dyDescent="0.25">
      <c r="A824" s="429" t="str">
        <f>Translations!$B$544</f>
        <v>Qatar</v>
      </c>
    </row>
    <row r="825" spans="1:1" x14ac:dyDescent="0.25">
      <c r="A825" s="429" t="str">
        <f>Translations!$B$1239</f>
        <v>Republic of Korea</v>
      </c>
    </row>
    <row r="826" spans="1:1" x14ac:dyDescent="0.25">
      <c r="A826" s="429" t="str">
        <f>Translations!$B$1240</f>
        <v>Republic of Moldova</v>
      </c>
    </row>
    <row r="827" spans="1:1" x14ac:dyDescent="0.25">
      <c r="A827" s="429" t="str">
        <f>Translations!$B$394</f>
        <v>Romania</v>
      </c>
    </row>
    <row r="828" spans="1:1" x14ac:dyDescent="0.25">
      <c r="A828" s="429" t="str">
        <f>Translations!$B$548</f>
        <v>Russian Federation</v>
      </c>
    </row>
    <row r="829" spans="1:1" x14ac:dyDescent="0.25">
      <c r="A829" s="429" t="str">
        <f>Translations!$B$549</f>
        <v>Rwanda</v>
      </c>
    </row>
    <row r="830" spans="1:1" x14ac:dyDescent="0.25">
      <c r="A830" s="429" t="str">
        <f>Translations!$B$552</f>
        <v>Saint Kitts and Nevis</v>
      </c>
    </row>
    <row r="831" spans="1:1" x14ac:dyDescent="0.25">
      <c r="A831" s="429" t="str">
        <f>Translations!$B$553</f>
        <v>Saint Lucia</v>
      </c>
    </row>
    <row r="832" spans="1:1" x14ac:dyDescent="0.25">
      <c r="A832" s="429" t="str">
        <f>Translations!$B$556</f>
        <v>Saint Vincent and the Grenadines</v>
      </c>
    </row>
    <row r="833" spans="1:1" x14ac:dyDescent="0.25">
      <c r="A833" s="429" t="str">
        <f>Translations!$B$557</f>
        <v>Samoa</v>
      </c>
    </row>
    <row r="834" spans="1:1" x14ac:dyDescent="0.25">
      <c r="A834" s="429" t="str">
        <f>Translations!$B$558</f>
        <v>San Marino</v>
      </c>
    </row>
    <row r="835" spans="1:1" x14ac:dyDescent="0.25">
      <c r="A835" s="429" t="str">
        <f>Translations!$B$559</f>
        <v>Sao Tome and Principe</v>
      </c>
    </row>
    <row r="836" spans="1:1" x14ac:dyDescent="0.25">
      <c r="A836" s="429" t="str">
        <f>Translations!$B$560</f>
        <v>Saudi Arabia</v>
      </c>
    </row>
    <row r="837" spans="1:1" x14ac:dyDescent="0.25">
      <c r="A837" s="429" t="str">
        <f>Translations!$B$561</f>
        <v>Senegal</v>
      </c>
    </row>
    <row r="838" spans="1:1" x14ac:dyDescent="0.25">
      <c r="A838" s="429" t="str">
        <f>Translations!$B$562</f>
        <v>Serbia</v>
      </c>
    </row>
    <row r="839" spans="1:1" x14ac:dyDescent="0.25">
      <c r="A839" s="429" t="str">
        <f>Translations!$B$563</f>
        <v>Seychelles</v>
      </c>
    </row>
    <row r="840" spans="1:1" x14ac:dyDescent="0.25">
      <c r="A840" s="429" t="str">
        <f>Translations!$B$564</f>
        <v>Sierra Leone</v>
      </c>
    </row>
    <row r="841" spans="1:1" x14ac:dyDescent="0.25">
      <c r="A841" s="429" t="str">
        <f>Translations!$B$565</f>
        <v>Singapore</v>
      </c>
    </row>
    <row r="842" spans="1:1" x14ac:dyDescent="0.25">
      <c r="A842" s="429" t="str">
        <f>Translations!$B$395</f>
        <v>Slovakia</v>
      </c>
    </row>
    <row r="843" spans="1:1" x14ac:dyDescent="0.25">
      <c r="A843" s="429" t="str">
        <f>Translations!$B$396</f>
        <v>Slovenia</v>
      </c>
    </row>
    <row r="844" spans="1:1" x14ac:dyDescent="0.25">
      <c r="A844" s="429" t="str">
        <f>Translations!$B$566</f>
        <v>Solomon Islands</v>
      </c>
    </row>
    <row r="845" spans="1:1" x14ac:dyDescent="0.25">
      <c r="A845" s="429" t="str">
        <f>Translations!$B$567</f>
        <v>Somalia</v>
      </c>
    </row>
    <row r="846" spans="1:1" x14ac:dyDescent="0.25">
      <c r="A846" s="429" t="str">
        <f>Translations!$B$568</f>
        <v>South Africa</v>
      </c>
    </row>
    <row r="847" spans="1:1" x14ac:dyDescent="0.25">
      <c r="A847" s="429" t="str">
        <f>Translations!$B$829</f>
        <v>South Sudan</v>
      </c>
    </row>
    <row r="848" spans="1:1" x14ac:dyDescent="0.25">
      <c r="A848" s="429" t="str">
        <f>Translations!$B$397</f>
        <v>Spain</v>
      </c>
    </row>
    <row r="849" spans="1:1" x14ac:dyDescent="0.25">
      <c r="A849" s="429" t="str">
        <f>Translations!$B$569</f>
        <v>Sri Lanka</v>
      </c>
    </row>
    <row r="850" spans="1:1" x14ac:dyDescent="0.25">
      <c r="A850" s="429" t="str">
        <f>Translations!$B$570</f>
        <v>Sudan</v>
      </c>
    </row>
    <row r="851" spans="1:1" x14ac:dyDescent="0.25">
      <c r="A851" s="429" t="str">
        <f>Translations!$B$571</f>
        <v>Suriname</v>
      </c>
    </row>
    <row r="852" spans="1:1" x14ac:dyDescent="0.25">
      <c r="A852" s="429" t="str">
        <f>Translations!$B$398</f>
        <v>Sweden</v>
      </c>
    </row>
    <row r="853" spans="1:1" x14ac:dyDescent="0.25">
      <c r="A853" s="429" t="str">
        <f>Translations!$B$574</f>
        <v>Switzerland</v>
      </c>
    </row>
    <row r="854" spans="1:1" x14ac:dyDescent="0.25">
      <c r="A854" s="429" t="str">
        <f>Translations!$B$575</f>
        <v>Syrian Arab Republic</v>
      </c>
    </row>
    <row r="855" spans="1:1" x14ac:dyDescent="0.25">
      <c r="A855" s="429" t="str">
        <f>Translations!$B$576</f>
        <v>Tajikistan</v>
      </c>
    </row>
    <row r="856" spans="1:1" x14ac:dyDescent="0.25">
      <c r="A856" s="429" t="str">
        <f>Translations!$B$577</f>
        <v>Thailand</v>
      </c>
    </row>
    <row r="857" spans="1:1" x14ac:dyDescent="0.25">
      <c r="A857" s="429" t="str">
        <f>Translations!$B$579</f>
        <v>Timor-Leste</v>
      </c>
    </row>
    <row r="858" spans="1:1" x14ac:dyDescent="0.25">
      <c r="A858" s="429" t="str">
        <f>Translations!$B$580</f>
        <v>Togo</v>
      </c>
    </row>
    <row r="859" spans="1:1" x14ac:dyDescent="0.25">
      <c r="A859" s="429" t="str">
        <f>Translations!$B$582</f>
        <v>Tonga</v>
      </c>
    </row>
    <row r="860" spans="1:1" x14ac:dyDescent="0.25">
      <c r="A860" s="429" t="str">
        <f>Translations!$B$583</f>
        <v>Trinidad and Tobago</v>
      </c>
    </row>
    <row r="861" spans="1:1" x14ac:dyDescent="0.25">
      <c r="A861" s="429" t="str">
        <f>Translations!$B$584</f>
        <v>Tunisia</v>
      </c>
    </row>
    <row r="862" spans="1:1" x14ac:dyDescent="0.25">
      <c r="A862" s="429" t="str">
        <f>Translations!$B$1323</f>
        <v>Türkiye</v>
      </c>
    </row>
    <row r="863" spans="1:1" x14ac:dyDescent="0.25">
      <c r="A863" s="429" t="str">
        <f>Translations!$B$586</f>
        <v>Turkmenistan</v>
      </c>
    </row>
    <row r="864" spans="1:1" x14ac:dyDescent="0.25">
      <c r="A864" s="429" t="str">
        <f>Translations!$B$588</f>
        <v>Tuvalu</v>
      </c>
    </row>
    <row r="865" spans="1:1" x14ac:dyDescent="0.25">
      <c r="A865" s="429" t="str">
        <f>Translations!$B$589</f>
        <v>Uganda</v>
      </c>
    </row>
    <row r="866" spans="1:1" x14ac:dyDescent="0.25">
      <c r="A866" s="429" t="str">
        <f>Translations!$B$590</f>
        <v>Ukraine</v>
      </c>
    </row>
    <row r="867" spans="1:1" x14ac:dyDescent="0.25">
      <c r="A867" s="429" t="str">
        <f>Translations!$B$591</f>
        <v>United Arab Emirates</v>
      </c>
    </row>
    <row r="868" spans="1:1" x14ac:dyDescent="0.25">
      <c r="A868" s="429" t="str">
        <f>Translations!$B$399</f>
        <v>United Kingdom</v>
      </c>
    </row>
    <row r="869" spans="1:1" x14ac:dyDescent="0.25">
      <c r="A869" s="429" t="str">
        <f>Translations!$B$1241</f>
        <v>United Republic of Tanzania</v>
      </c>
    </row>
    <row r="870" spans="1:1" x14ac:dyDescent="0.25">
      <c r="A870" s="429" t="str">
        <f>Translations!$B$593</f>
        <v>United States</v>
      </c>
    </row>
    <row r="871" spans="1:1" x14ac:dyDescent="0.25">
      <c r="A871" s="429" t="str">
        <f>Translations!$B$595</f>
        <v>Uruguay</v>
      </c>
    </row>
    <row r="872" spans="1:1" x14ac:dyDescent="0.25">
      <c r="A872" s="429" t="str">
        <f>Translations!$B$596</f>
        <v>Uzbekistan</v>
      </c>
    </row>
    <row r="873" spans="1:1" x14ac:dyDescent="0.25">
      <c r="A873" s="429" t="str">
        <f>Translations!$B$597</f>
        <v>Vanuatu</v>
      </c>
    </row>
    <row r="874" spans="1:1" x14ac:dyDescent="0.25">
      <c r="A874" s="429" t="str">
        <f>Translations!$B$1242</f>
        <v>Venezuela (Bolivarian Republic of)</v>
      </c>
    </row>
    <row r="875" spans="1:1" x14ac:dyDescent="0.25">
      <c r="A875" s="429" t="str">
        <f>Translations!$B$599</f>
        <v>Viet Nam</v>
      </c>
    </row>
    <row r="876" spans="1:1" x14ac:dyDescent="0.25">
      <c r="A876" s="429" t="str">
        <f>Translations!$B$602</f>
        <v>Yemen</v>
      </c>
    </row>
    <row r="877" spans="1:1" x14ac:dyDescent="0.25">
      <c r="A877" s="429" t="str">
        <f>Translations!$B$603</f>
        <v>Zambia</v>
      </c>
    </row>
    <row r="878" spans="1:1" x14ac:dyDescent="0.25">
      <c r="A878" s="429" t="str">
        <f>Translations!$B$604</f>
        <v>Zimbabwe</v>
      </c>
    </row>
    <row r="882" spans="1:1" ht="13" x14ac:dyDescent="0.3">
      <c r="A882" s="20" t="s">
        <v>303</v>
      </c>
    </row>
    <row r="883" spans="1:1" x14ac:dyDescent="0.25">
      <c r="A883" s="21" t="str">
        <f>Translations!$B$368</f>
        <v>Please select</v>
      </c>
    </row>
    <row r="884" spans="1:1" x14ac:dyDescent="0.25">
      <c r="A884" s="21" t="str">
        <f>Translations!$B$369</f>
        <v>Austria</v>
      </c>
    </row>
    <row r="885" spans="1:1" x14ac:dyDescent="0.25">
      <c r="A885" s="21" t="str">
        <f>Translations!$B$370</f>
        <v>Belgium</v>
      </c>
    </row>
    <row r="886" spans="1:1" x14ac:dyDescent="0.25">
      <c r="A886" s="21" t="str">
        <f>Translations!$B$371</f>
        <v>Bulgaria</v>
      </c>
    </row>
    <row r="887" spans="1:1" x14ac:dyDescent="0.25">
      <c r="A887" s="21" t="str">
        <f>Translations!$B$372</f>
        <v>Croatia</v>
      </c>
    </row>
    <row r="888" spans="1:1" x14ac:dyDescent="0.25">
      <c r="A888" s="21" t="str">
        <f>Translations!$B$373</f>
        <v>Cyprus</v>
      </c>
    </row>
    <row r="889" spans="1:1" x14ac:dyDescent="0.25">
      <c r="A889" s="21" t="str">
        <f>Translations!$B$374</f>
        <v>Czechia</v>
      </c>
    </row>
    <row r="890" spans="1:1" x14ac:dyDescent="0.25">
      <c r="A890" s="21" t="str">
        <f>Translations!$B$375</f>
        <v>Denmark</v>
      </c>
    </row>
    <row r="891" spans="1:1" x14ac:dyDescent="0.25">
      <c r="A891" s="21" t="str">
        <f>Translations!$B$376</f>
        <v>Estonia</v>
      </c>
    </row>
    <row r="892" spans="1:1" x14ac:dyDescent="0.25">
      <c r="A892" s="21" t="str">
        <f>Translations!$B$377</f>
        <v>Finland</v>
      </c>
    </row>
    <row r="893" spans="1:1" x14ac:dyDescent="0.25">
      <c r="A893" s="21" t="str">
        <f>Translations!$B$378</f>
        <v>France</v>
      </c>
    </row>
    <row r="894" spans="1:1" x14ac:dyDescent="0.25">
      <c r="A894" s="21" t="str">
        <f>Translations!$B$379</f>
        <v>Germany</v>
      </c>
    </row>
    <row r="895" spans="1:1" x14ac:dyDescent="0.25">
      <c r="A895" s="21" t="str">
        <f>Translations!$B$380</f>
        <v>Greece</v>
      </c>
    </row>
    <row r="896" spans="1:1" x14ac:dyDescent="0.25">
      <c r="A896" s="21" t="str">
        <f>Translations!$B$381</f>
        <v>Hungary</v>
      </c>
    </row>
    <row r="897" spans="1:1" x14ac:dyDescent="0.25">
      <c r="A897" s="22" t="str">
        <f>Translations!$B$382</f>
        <v>Iceland</v>
      </c>
    </row>
    <row r="898" spans="1:1" x14ac:dyDescent="0.25">
      <c r="A898" s="21" t="str">
        <f>Translations!$B$383</f>
        <v>Ireland</v>
      </c>
    </row>
    <row r="899" spans="1:1" x14ac:dyDescent="0.25">
      <c r="A899" s="21" t="str">
        <f>Translations!$B$384</f>
        <v>Italy</v>
      </c>
    </row>
    <row r="900" spans="1:1" x14ac:dyDescent="0.25">
      <c r="A900" s="21" t="str">
        <f>Translations!$B$385</f>
        <v>Latvia</v>
      </c>
    </row>
    <row r="901" spans="1:1" x14ac:dyDescent="0.25">
      <c r="A901" s="21" t="str">
        <f>Translations!$B$386</f>
        <v>Liechtenstein</v>
      </c>
    </row>
    <row r="902" spans="1:1" x14ac:dyDescent="0.25">
      <c r="A902" s="21" t="str">
        <f>Translations!$B$387</f>
        <v>Lithuania</v>
      </c>
    </row>
    <row r="903" spans="1:1" x14ac:dyDescent="0.25">
      <c r="A903" s="21" t="str">
        <f>Translations!$B$388</f>
        <v>Luxembourg</v>
      </c>
    </row>
    <row r="904" spans="1:1" x14ac:dyDescent="0.25">
      <c r="A904" s="21" t="str">
        <f>Translations!$B$389</f>
        <v>Malta</v>
      </c>
    </row>
    <row r="905" spans="1:1" x14ac:dyDescent="0.25">
      <c r="A905" s="21" t="str">
        <f>Translations!$B$390</f>
        <v>Netherlands</v>
      </c>
    </row>
    <row r="906" spans="1:1" x14ac:dyDescent="0.25">
      <c r="A906" s="22" t="str">
        <f>Translations!$B$391</f>
        <v>Norway</v>
      </c>
    </row>
    <row r="907" spans="1:1" x14ac:dyDescent="0.25">
      <c r="A907" s="21" t="str">
        <f>Translations!$B$392</f>
        <v>Poland</v>
      </c>
    </row>
    <row r="908" spans="1:1" x14ac:dyDescent="0.25">
      <c r="A908" s="21" t="str">
        <f>Translations!$B$393</f>
        <v>Portugal</v>
      </c>
    </row>
    <row r="909" spans="1:1" x14ac:dyDescent="0.25">
      <c r="A909" s="21" t="str">
        <f>Translations!$B$394</f>
        <v>Romania</v>
      </c>
    </row>
    <row r="910" spans="1:1" x14ac:dyDescent="0.25">
      <c r="A910" s="21" t="str">
        <f>Translations!$B$395</f>
        <v>Slovakia</v>
      </c>
    </row>
    <row r="911" spans="1:1" x14ac:dyDescent="0.25">
      <c r="A911" s="21" t="str">
        <f>Translations!$B$396</f>
        <v>Slovenia</v>
      </c>
    </row>
    <row r="912" spans="1:1" x14ac:dyDescent="0.25">
      <c r="A912" s="21" t="str">
        <f>Translations!$B$397</f>
        <v>Spain</v>
      </c>
    </row>
    <row r="913" spans="1:8" x14ac:dyDescent="0.25">
      <c r="A913" s="21" t="str">
        <f>Translations!$B$398</f>
        <v>Sweden</v>
      </c>
    </row>
    <row r="914" spans="1:8" x14ac:dyDescent="0.25">
      <c r="A914" s="22" t="str">
        <f>Translations!$B$574</f>
        <v>Switzerland</v>
      </c>
    </row>
    <row r="915" spans="1:8" x14ac:dyDescent="0.25">
      <c r="A915" s="22" t="str">
        <f>Translations!$B$399</f>
        <v>United Kingdom</v>
      </c>
    </row>
    <row r="917" spans="1:8" ht="13" x14ac:dyDescent="0.3">
      <c r="A917" s="20" t="s">
        <v>304</v>
      </c>
    </row>
    <row r="918" spans="1:8" x14ac:dyDescent="0.25">
      <c r="A918" s="22" t="str">
        <f>Translations!$B$184</f>
        <v>Biofuel</v>
      </c>
    </row>
    <row r="919" spans="1:8" x14ac:dyDescent="0.25">
      <c r="A919" s="22" t="str">
        <f>Translations!$B$1468</f>
        <v>RFNBO/RCF</v>
      </c>
    </row>
    <row r="920" spans="1:8" x14ac:dyDescent="0.25">
      <c r="A920" s="22" t="str">
        <f>Translations!$B$1480</f>
        <v>SLCF</v>
      </c>
    </row>
    <row r="921" spans="1:8" x14ac:dyDescent="0.25">
      <c r="A921" s="22" t="str">
        <f>Translations!$B$1643</f>
        <v>Fossil Alternative Fuel</v>
      </c>
    </row>
    <row r="923" spans="1:8" ht="13" x14ac:dyDescent="0.3">
      <c r="A923" s="20" t="s">
        <v>306</v>
      </c>
      <c r="B923" s="20" t="s">
        <v>307</v>
      </c>
      <c r="C923" s="20" t="s">
        <v>308</v>
      </c>
      <c r="D923" s="20" t="s">
        <v>309</v>
      </c>
      <c r="E923" s="20" t="s">
        <v>310</v>
      </c>
      <c r="F923" s="20" t="s">
        <v>311</v>
      </c>
      <c r="G923" s="20" t="s">
        <v>312</v>
      </c>
      <c r="H923" s="20" t="s">
        <v>313</v>
      </c>
    </row>
    <row r="924" spans="1:8" x14ac:dyDescent="0.25">
      <c r="A924" s="22" t="str">
        <f>Translations!$B$1446</f>
        <v>Advanced aviation biofuel</v>
      </c>
      <c r="B924" s="22" t="str">
        <f>Translations!$B$1447</f>
        <v>Adv. Biofuel</v>
      </c>
      <c r="C924" s="22" t="b">
        <v>1</v>
      </c>
      <c r="D924" s="318" t="b">
        <v>1</v>
      </c>
      <c r="E924" s="560">
        <v>0.7</v>
      </c>
      <c r="F924" s="318" t="b">
        <v>1</v>
      </c>
      <c r="G924" s="318" t="b">
        <v>0</v>
      </c>
      <c r="H924" s="318" t="b">
        <v>0</v>
      </c>
    </row>
    <row r="925" spans="1:8" x14ac:dyDescent="0.25">
      <c r="A925" s="22" t="str">
        <f>Translations!$B$1449</f>
        <v>Aviation Biofuel</v>
      </c>
      <c r="B925" s="22" t="str">
        <f>Translations!$B$184</f>
        <v>Biofuel</v>
      </c>
      <c r="C925" s="22" t="b">
        <v>1</v>
      </c>
      <c r="D925" s="318" t="b">
        <v>1</v>
      </c>
      <c r="E925" s="560">
        <v>0.5</v>
      </c>
      <c r="F925" s="318" t="b">
        <v>1</v>
      </c>
      <c r="G925" s="318" t="b">
        <v>0</v>
      </c>
      <c r="H925" s="318" t="b">
        <v>0</v>
      </c>
    </row>
    <row r="926" spans="1:8" x14ac:dyDescent="0.25">
      <c r="A926" s="22" t="str">
        <f>Translations!$B$1451</f>
        <v>Other aviation biofuel</v>
      </c>
      <c r="B926" s="22" t="str">
        <f>Translations!$B$1452</f>
        <v>Other Biofuel</v>
      </c>
      <c r="C926" s="22" t="b">
        <v>1</v>
      </c>
      <c r="D926" s="318" t="b">
        <v>1</v>
      </c>
      <c r="E926" s="560">
        <v>0.5</v>
      </c>
      <c r="F926" s="318" t="b">
        <v>1</v>
      </c>
      <c r="G926" s="318" t="b">
        <v>0</v>
      </c>
      <c r="H926" s="318" t="b">
        <v>0</v>
      </c>
    </row>
    <row r="927" spans="1:8" x14ac:dyDescent="0.25">
      <c r="A927" s="22" t="str">
        <f>Translations!$B$1454</f>
        <v>Co-processed advanced biofuel</v>
      </c>
      <c r="B927" s="22" t="str">
        <f>Translations!$B$1455</f>
        <v>Co-prod. Adv. Biofuel</v>
      </c>
      <c r="C927" s="22" t="b">
        <v>1</v>
      </c>
      <c r="D927" s="318" t="b">
        <v>1</v>
      </c>
      <c r="E927" s="560">
        <v>0.7</v>
      </c>
      <c r="F927" s="318" t="b">
        <v>1</v>
      </c>
      <c r="G927" s="318" t="b">
        <v>0</v>
      </c>
      <c r="H927" s="318" t="b">
        <v>0</v>
      </c>
    </row>
    <row r="928" spans="1:8" x14ac:dyDescent="0.25">
      <c r="A928" s="22" t="str">
        <f>Translations!$B$1457</f>
        <v>Co-processed biofuel</v>
      </c>
      <c r="B928" s="22" t="str">
        <f>Translations!$B$1458</f>
        <v>Co-prod. Biofuel</v>
      </c>
      <c r="C928" s="22" t="b">
        <v>1</v>
      </c>
      <c r="D928" s="318" t="b">
        <v>1</v>
      </c>
      <c r="E928" s="560">
        <v>0.5</v>
      </c>
      <c r="F928" s="318" t="b">
        <v>1</v>
      </c>
      <c r="G928" s="318" t="b">
        <v>0</v>
      </c>
      <c r="H928" s="318" t="b">
        <v>0</v>
      </c>
    </row>
    <row r="929" spans="1:8" x14ac:dyDescent="0.25">
      <c r="A929" s="22" t="str">
        <f>Translations!$B$1460</f>
        <v>Non-Eligible biofuels</v>
      </c>
      <c r="B929" s="22" t="str">
        <f>Translations!$B$1461</f>
        <v>Non-El. Biofuel</v>
      </c>
      <c r="C929" s="22" t="b">
        <v>1</v>
      </c>
      <c r="D929" s="318" t="b">
        <v>0</v>
      </c>
      <c r="E929" s="560" t="str">
        <f>Euconst_NA</f>
        <v>n.a.</v>
      </c>
      <c r="F929" s="318" t="b">
        <v>1</v>
      </c>
      <c r="G929" s="318" t="b">
        <v>0</v>
      </c>
      <c r="H929" s="318" t="b">
        <v>0</v>
      </c>
    </row>
    <row r="930" spans="1:8" x14ac:dyDescent="0.25">
      <c r="A930" s="22" t="str">
        <f>Translations!$B$1463</f>
        <v>Non-zero-rated biofuels</v>
      </c>
      <c r="B930" s="22" t="str">
        <f>Translations!$B$1464</f>
        <v>Non-zero Biofuel</v>
      </c>
      <c r="C930" s="318" t="b">
        <v>0</v>
      </c>
      <c r="D930" s="318" t="b">
        <v>0</v>
      </c>
      <c r="E930" s="560" t="str">
        <f>Euconst_NA</f>
        <v>n.a.</v>
      </c>
      <c r="F930" s="318" t="b">
        <v>1</v>
      </c>
      <c r="G930" s="318" t="b">
        <v>0</v>
      </c>
      <c r="H930" s="318" t="b">
        <v>0</v>
      </c>
    </row>
    <row r="931" spans="1:8" x14ac:dyDescent="0.25">
      <c r="A931" s="22" t="str">
        <f>Translations!$B$1466</f>
        <v>RFNBO</v>
      </c>
      <c r="B931" s="22" t="str">
        <f>Translations!$B$1466</f>
        <v>RFNBO</v>
      </c>
      <c r="C931" s="22" t="b">
        <v>1</v>
      </c>
      <c r="D931" s="318" t="b">
        <v>1</v>
      </c>
      <c r="E931" s="560">
        <v>0.95</v>
      </c>
      <c r="F931" s="318" t="b">
        <v>0</v>
      </c>
      <c r="G931" s="318" t="b">
        <v>1</v>
      </c>
      <c r="H931" s="318" t="b">
        <v>0</v>
      </c>
    </row>
    <row r="932" spans="1:8" x14ac:dyDescent="0.25">
      <c r="A932" s="22" t="str">
        <f>Translations!$B$1469</f>
        <v>RCF</v>
      </c>
      <c r="B932" s="22" t="str">
        <f>Translations!$B$1469</f>
        <v>RCF</v>
      </c>
      <c r="C932" s="22" t="b">
        <v>1</v>
      </c>
      <c r="D932" s="318" t="b">
        <v>0</v>
      </c>
      <c r="E932" s="560" t="str">
        <f>Euconst_NA</f>
        <v>n.a.</v>
      </c>
      <c r="F932" s="318" t="b">
        <v>0</v>
      </c>
      <c r="G932" s="318" t="b">
        <v>1</v>
      </c>
      <c r="H932" s="318" t="b">
        <v>0</v>
      </c>
    </row>
    <row r="933" spans="1:8" x14ac:dyDescent="0.25">
      <c r="A933" s="22" t="str">
        <f>Translations!$B$1644</f>
        <v>non-zero-rated RFNBO</v>
      </c>
      <c r="B933" s="22" t="str">
        <f>Translations!$B$1472</f>
        <v>Non-zero RFNBO</v>
      </c>
      <c r="C933" s="318" t="b">
        <v>0</v>
      </c>
      <c r="D933" s="318" t="b">
        <v>0</v>
      </c>
      <c r="E933" s="560" t="str">
        <f>Euconst_NA</f>
        <v>n.a.</v>
      </c>
      <c r="F933" s="318" t="b">
        <v>0</v>
      </c>
      <c r="G933" s="318" t="b">
        <v>1</v>
      </c>
      <c r="H933" s="318" t="b">
        <v>0</v>
      </c>
    </row>
    <row r="934" spans="1:8" x14ac:dyDescent="0.25">
      <c r="A934" s="22" t="str">
        <f>Translations!$B$1645</f>
        <v>non-zero-rated RCF</v>
      </c>
      <c r="B934" s="22" t="str">
        <f>Translations!$B$1475</f>
        <v>Non-zero RCF</v>
      </c>
      <c r="C934" s="318" t="b">
        <v>0</v>
      </c>
      <c r="D934" s="318" t="b">
        <v>0</v>
      </c>
      <c r="E934" s="560" t="str">
        <f>Euconst_NA</f>
        <v>n.a.</v>
      </c>
      <c r="F934" s="318" t="b">
        <v>0</v>
      </c>
      <c r="G934" s="318" t="b">
        <v>1</v>
      </c>
      <c r="H934" s="318" t="b">
        <v>0</v>
      </c>
    </row>
    <row r="935" spans="1:8" x14ac:dyDescent="0.25">
      <c r="A935" s="22" t="str">
        <f>Translations!$B$1477</f>
        <v>non-fossil SLCF</v>
      </c>
      <c r="B935" s="22" t="str">
        <f>Translations!$B$1478</f>
        <v>non-foss SLCF</v>
      </c>
      <c r="C935" s="22" t="b">
        <v>1</v>
      </c>
      <c r="D935" s="318" t="b">
        <v>1</v>
      </c>
      <c r="E935" s="560">
        <v>0.5</v>
      </c>
      <c r="F935" s="318" t="b">
        <v>0</v>
      </c>
      <c r="G935" s="318" t="b">
        <v>0</v>
      </c>
      <c r="H935" s="318" t="b">
        <v>1</v>
      </c>
    </row>
    <row r="936" spans="1:8" x14ac:dyDescent="0.25">
      <c r="A936" s="22" t="str">
        <f>Translations!$B$1480</f>
        <v>SLCF</v>
      </c>
      <c r="B936" s="22" t="str">
        <f>Translations!$B$1480</f>
        <v>SLCF</v>
      </c>
      <c r="C936" s="22" t="b">
        <v>1</v>
      </c>
      <c r="D936" s="318" t="b">
        <v>0</v>
      </c>
      <c r="E936" s="560" t="str">
        <f>Euconst_NA</f>
        <v>n.a.</v>
      </c>
      <c r="F936" s="318" t="b">
        <v>0</v>
      </c>
      <c r="G936" s="318" t="b">
        <v>0</v>
      </c>
      <c r="H936" s="318" t="b">
        <v>1</v>
      </c>
    </row>
    <row r="937" spans="1:8" x14ac:dyDescent="0.25">
      <c r="A937" s="22" t="str">
        <f>Translations!$B$1483</f>
        <v>non-zero-rated SLCF</v>
      </c>
      <c r="B937" s="22" t="str">
        <f>Translations!$B$1484</f>
        <v>Non-zero SLCF</v>
      </c>
      <c r="C937" s="318" t="b">
        <v>0</v>
      </c>
      <c r="D937" s="318" t="b">
        <v>0</v>
      </c>
      <c r="E937" s="560" t="str">
        <f>Euconst_NA</f>
        <v>n.a.</v>
      </c>
      <c r="F937" s="318" t="b">
        <v>0</v>
      </c>
      <c r="G937" s="318" t="b">
        <v>0</v>
      </c>
      <c r="H937" s="318" t="b">
        <v>1</v>
      </c>
    </row>
    <row r="938" spans="1:8" x14ac:dyDescent="0.25">
      <c r="A938" s="22" t="str">
        <f>Translations!$B$1646</f>
        <v>Other (Fossil)</v>
      </c>
      <c r="B938" s="22" t="str">
        <f>Translations!$B$1197</f>
        <v>Other</v>
      </c>
      <c r="C938" s="318" t="b">
        <v>0</v>
      </c>
      <c r="D938" s="318" t="b">
        <v>0</v>
      </c>
      <c r="E938" s="560" t="str">
        <f>Euconst_NA</f>
        <v>n.a.</v>
      </c>
      <c r="F938" s="318" t="b">
        <v>0</v>
      </c>
      <c r="G938" s="318" t="b">
        <v>0</v>
      </c>
      <c r="H938" s="318" t="b">
        <v>0</v>
      </c>
    </row>
    <row r="939" spans="1:8" x14ac:dyDescent="0.25">
      <c r="A939" s="22" t="str">
        <f>Translations!$B$1487</f>
        <v>Other Aviation fuel (Manual input)</v>
      </c>
      <c r="B939" s="22" t="str">
        <f>Translations!$B$1488</f>
        <v>Other (manual)</v>
      </c>
      <c r="C939" s="318" t="b">
        <v>0</v>
      </c>
      <c r="D939" s="318" t="str">
        <f>Translations!$B$1647</f>
        <v>manual input</v>
      </c>
      <c r="E939" s="318" t="str">
        <f>Translations!$B$1647</f>
        <v>manual input</v>
      </c>
      <c r="F939" s="318" t="str">
        <f>Translations!$B$1647</f>
        <v>manual input</v>
      </c>
      <c r="G939" s="318" t="str">
        <f>Translations!$B$1647</f>
        <v>manual input</v>
      </c>
      <c r="H939" s="318" t="str">
        <f>Translations!$B$1647</f>
        <v>manual input</v>
      </c>
    </row>
    <row r="941" spans="1:8" ht="13" x14ac:dyDescent="0.3">
      <c r="A941" s="20" t="s">
        <v>318</v>
      </c>
      <c r="B941" s="20" t="s">
        <v>319</v>
      </c>
      <c r="C941" s="20" t="s">
        <v>320</v>
      </c>
      <c r="D941" s="20" t="s">
        <v>321</v>
      </c>
      <c r="E941" s="20" t="s">
        <v>321</v>
      </c>
    </row>
    <row r="942" spans="1:8" x14ac:dyDescent="0.25">
      <c r="A942" s="9" t="str">
        <f>Translations!$B$184</f>
        <v>Biofuel</v>
      </c>
      <c r="B942" t="str">
        <f>Translations!$B$1468</f>
        <v>RFNBO/RCF</v>
      </c>
      <c r="C942" t="str">
        <f>Translations!$B$1480</f>
        <v>SLCF</v>
      </c>
      <c r="D942" t="str">
        <f>Translations!$B$1643</f>
        <v>Fossil Alternative Fuel</v>
      </c>
      <c r="E942" t="str">
        <f>Translations!$B$1643</f>
        <v>Fossil Alternative Fuel</v>
      </c>
    </row>
    <row r="943" spans="1:8" ht="13" x14ac:dyDescent="0.3">
      <c r="A943" s="20" t="str">
        <f ca="1">CONCATENATE(ADDRESS(ROW(A944),COLUMN(),,,$E$1),":",ADDRESS(MATCH("END",A944:A951,0)+ROW(A944)-2,COLUMN()))</f>
        <v>EUwideConstants!$A$944:$A$950</v>
      </c>
      <c r="B943" s="20" t="str">
        <f t="shared" ref="B943:D943" ca="1" si="0">CONCATENATE(ADDRESS(ROW(B944),COLUMN(),,,$E$1),":",ADDRESS(MATCH("END",B944:B951,0)+ROW(B944)-2,COLUMN()))</f>
        <v>EUwideConstants!$B$944:$B$947</v>
      </c>
      <c r="C943" s="20" t="str">
        <f t="shared" ca="1" si="0"/>
        <v>EUwideConstants!$C$944:$C$946</v>
      </c>
      <c r="D943" s="20" t="str">
        <f t="shared" ca="1" si="0"/>
        <v>EUwideConstants!$D$944:$D$944</v>
      </c>
      <c r="E943" s="20" t="str">
        <f t="shared" ref="E943" ca="1" si="1">CONCATENATE(ADDRESS(ROW(E944),COLUMN(),,,$E$1),":",ADDRESS(MATCH("END",E944:E951,0)+ROW(E944)-2,COLUMN()))</f>
        <v>EUwideConstants!$E$944:$E$944</v>
      </c>
    </row>
    <row r="944" spans="1:8" x14ac:dyDescent="0.25">
      <c r="A944" s="551" t="str">
        <f>B924</f>
        <v>Adv. Biofuel</v>
      </c>
      <c r="B944" s="551" t="str">
        <f>B931</f>
        <v>RFNBO</v>
      </c>
      <c r="C944" s="551" t="str">
        <f>B935</f>
        <v>non-foss SLCF</v>
      </c>
      <c r="D944" s="551" t="str">
        <f>B938</f>
        <v>Other</v>
      </c>
      <c r="E944" s="551" t="str">
        <f>B939</f>
        <v>Other (manual)</v>
      </c>
    </row>
    <row r="945" spans="1:5" x14ac:dyDescent="0.25">
      <c r="A945" s="551" t="str">
        <f t="shared" ref="A945:A950" si="2">B925</f>
        <v>Biofuel</v>
      </c>
      <c r="B945" s="551" t="str">
        <f t="shared" ref="B945:B947" si="3">B932</f>
        <v>RCF</v>
      </c>
      <c r="C945" s="551" t="str">
        <f t="shared" ref="C945:C946" si="4">B936</f>
        <v>SLCF</v>
      </c>
      <c r="D945" s="551" t="s">
        <v>322</v>
      </c>
      <c r="E945" s="551" t="s">
        <v>322</v>
      </c>
    </row>
    <row r="946" spans="1:5" x14ac:dyDescent="0.25">
      <c r="A946" s="551" t="str">
        <f t="shared" si="2"/>
        <v>Other Biofuel</v>
      </c>
      <c r="B946" s="551" t="str">
        <f t="shared" si="3"/>
        <v>Non-zero RFNBO</v>
      </c>
      <c r="C946" s="551" t="str">
        <f t="shared" si="4"/>
        <v>Non-zero SLCF</v>
      </c>
      <c r="D946" s="552"/>
      <c r="E946" s="552"/>
    </row>
    <row r="947" spans="1:5" x14ac:dyDescent="0.25">
      <c r="A947" s="551" t="str">
        <f t="shared" si="2"/>
        <v>Co-prod. Adv. Biofuel</v>
      </c>
      <c r="B947" s="551" t="str">
        <f t="shared" si="3"/>
        <v>Non-zero RCF</v>
      </c>
      <c r="C947" s="551" t="s">
        <v>322</v>
      </c>
      <c r="D947" s="552"/>
      <c r="E947" s="552"/>
    </row>
    <row r="948" spans="1:5" x14ac:dyDescent="0.25">
      <c r="A948" s="551" t="str">
        <f t="shared" si="2"/>
        <v>Co-prod. Biofuel</v>
      </c>
      <c r="B948" s="551" t="s">
        <v>322</v>
      </c>
      <c r="C948" s="552"/>
      <c r="D948" s="552"/>
      <c r="E948" s="552"/>
    </row>
    <row r="949" spans="1:5" x14ac:dyDescent="0.25">
      <c r="A949" s="551" t="str">
        <f t="shared" si="2"/>
        <v>Non-El. Biofuel</v>
      </c>
      <c r="B949" s="552"/>
      <c r="C949" s="552"/>
      <c r="D949" s="552"/>
      <c r="E949" s="552"/>
    </row>
    <row r="950" spans="1:5" x14ac:dyDescent="0.25">
      <c r="A950" s="551" t="str">
        <f t="shared" si="2"/>
        <v>Non-zero Biofuel</v>
      </c>
      <c r="B950" s="552"/>
      <c r="C950" s="552"/>
      <c r="D950" s="552"/>
      <c r="E950" s="552"/>
    </row>
    <row r="951" spans="1:5" x14ac:dyDescent="0.25">
      <c r="A951" s="551" t="s">
        <v>322</v>
      </c>
      <c r="B951" s="552"/>
      <c r="C951" s="552"/>
      <c r="D951" s="552"/>
      <c r="E951" s="552"/>
    </row>
    <row r="954" spans="1:5" ht="13" x14ac:dyDescent="0.3">
      <c r="A954" s="20" t="s">
        <v>323</v>
      </c>
      <c r="B954" s="20" t="s">
        <v>324</v>
      </c>
      <c r="C954" s="20" t="s">
        <v>325</v>
      </c>
    </row>
    <row r="955" spans="1:5" x14ac:dyDescent="0.25">
      <c r="A955" s="318" t="str">
        <f>Translations!$B$1151</f>
        <v>Jet-A</v>
      </c>
      <c r="B955" s="52">
        <v>3.16</v>
      </c>
      <c r="C955" s="52">
        <v>44.1</v>
      </c>
    </row>
    <row r="956" spans="1:5" x14ac:dyDescent="0.25">
      <c r="A956" s="318" t="str">
        <f>Translations!$B$1152</f>
        <v>Jet-A1</v>
      </c>
      <c r="B956" s="52">
        <v>3.16</v>
      </c>
      <c r="C956" s="52">
        <v>44.1</v>
      </c>
    </row>
    <row r="957" spans="1:5" x14ac:dyDescent="0.25">
      <c r="A957" s="318" t="str">
        <f>Translations!$B$1153</f>
        <v>Jet-B</v>
      </c>
      <c r="B957" s="52">
        <v>3.1</v>
      </c>
      <c r="C957" s="52">
        <v>44.3</v>
      </c>
    </row>
    <row r="958" spans="1:5" x14ac:dyDescent="0.25">
      <c r="A958" s="318" t="str">
        <f>Translations!$B$1154</f>
        <v>AvGas</v>
      </c>
      <c r="B958" s="52">
        <v>3.1</v>
      </c>
      <c r="C958" s="52">
        <v>44.3</v>
      </c>
    </row>
    <row r="960" spans="1:5" ht="13" x14ac:dyDescent="0.3">
      <c r="A960" s="20" t="s">
        <v>326</v>
      </c>
    </row>
    <row r="961" spans="1:1" x14ac:dyDescent="0.25">
      <c r="A961" s="159" t="str">
        <f>Translations!$B$1648</f>
        <v>Select main fuel!</v>
      </c>
    </row>
    <row r="963" spans="1:1" ht="13" x14ac:dyDescent="0.3">
      <c r="A963" s="20" t="s">
        <v>328</v>
      </c>
    </row>
    <row r="964" spans="1:1" x14ac:dyDescent="0.25">
      <c r="A964" s="159" t="str">
        <f>Translations!$B$1649</f>
        <v>Incomplete!</v>
      </c>
    </row>
    <row r="966" spans="1:1" ht="13" x14ac:dyDescent="0.3">
      <c r="A966" s="20" t="s">
        <v>330</v>
      </c>
    </row>
    <row r="967" spans="1:1" x14ac:dyDescent="0.25">
      <c r="A967" s="159" t="str">
        <f>Translations!$B$1650</f>
        <v>Fuel</v>
      </c>
    </row>
    <row r="969" spans="1:1" ht="13" x14ac:dyDescent="0.3">
      <c r="A969" s="20" t="s">
        <v>332</v>
      </c>
    </row>
    <row r="970" spans="1:1" x14ac:dyDescent="0.25">
      <c r="A970" s="561" t="str">
        <f>Euconst_NA</f>
        <v>n.a.</v>
      </c>
    </row>
    <row r="971" spans="1:1" x14ac:dyDescent="0.25">
      <c r="A971" s="561">
        <v>0.5</v>
      </c>
    </row>
    <row r="972" spans="1:1" x14ac:dyDescent="0.25">
      <c r="A972" s="561">
        <v>0.7</v>
      </c>
    </row>
    <row r="973" spans="1:1" x14ac:dyDescent="0.25">
      <c r="A973" s="561">
        <v>0.95</v>
      </c>
    </row>
    <row r="975" spans="1:1" ht="13" x14ac:dyDescent="0.3">
      <c r="A975" s="20" t="s">
        <v>333</v>
      </c>
    </row>
    <row r="976" spans="1:1" x14ac:dyDescent="0.25">
      <c r="A976" s="159" t="str">
        <f>Translations!$B$1651</f>
        <v>Attention: You have chosen to opt-out from the EU ETS support scheme under Article 3c(6) of the EU ETS Directive. Therefore, you will not be eligible to receive free allocation for the use of eligible aviation fuels, even if reported in this report.</v>
      </c>
    </row>
    <row r="977" spans="1:1" ht="13" x14ac:dyDescent="0.3">
      <c r="A977" s="20" t="s">
        <v>334</v>
      </c>
    </row>
    <row r="978" spans="1:1" x14ac:dyDescent="0.25">
      <c r="A978" s="159" t="str">
        <f>Translations!$B$1652</f>
        <v>You are applying for support for the use of eligible aviation fuels under Article 3c(6) of the EU ETS Directive using the data displayed below.</v>
      </c>
    </row>
  </sheetData>
  <sheetProtection formatCells="0" formatColumns="0" formatRows="0" insertColumns="0" insertRows="0"/>
  <mergeCells count="2">
    <mergeCell ref="E1:F1"/>
    <mergeCell ref="C1:D1"/>
  </mergeCells>
  <phoneticPr fontId="12"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tabColor indexed="12"/>
  </sheetPr>
  <dimension ref="A2"/>
  <sheetViews>
    <sheetView workbookViewId="0"/>
  </sheetViews>
  <sheetFormatPr baseColWidth="10" defaultColWidth="11.453125" defaultRowHeight="12.5" x14ac:dyDescent="0.25"/>
  <sheetData>
    <row r="2" spans="1:1" ht="23" x14ac:dyDescent="0.5">
      <c r="A2" s="4" t="s">
        <v>335</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tabColor rgb="FF0070C0"/>
  </sheetPr>
  <dimension ref="A1:F1653"/>
  <sheetViews>
    <sheetView zoomScale="115" zoomScaleNormal="115" workbookViewId="0">
      <pane xSplit="1" ySplit="1" topLeftCell="B1514" activePane="bottomRight" state="frozen"/>
      <selection pane="topRight" activeCell="B1" sqref="B1"/>
      <selection pane="bottomLeft" activeCell="A2" sqref="A2"/>
      <selection pane="bottomRight" activeCell="B1" sqref="B1"/>
    </sheetView>
  </sheetViews>
  <sheetFormatPr baseColWidth="10" defaultColWidth="11.453125" defaultRowHeight="15.5" x14ac:dyDescent="0.35"/>
  <cols>
    <col min="1" max="1" width="8.453125" style="119" customWidth="1"/>
    <col min="2" max="2" width="79.26953125" style="67" customWidth="1"/>
    <col min="3" max="3" width="30.54296875" style="934" customWidth="1"/>
    <col min="4" max="4" width="90.54296875" style="451" customWidth="1"/>
    <col min="5" max="16384" width="11.453125" style="54"/>
  </cols>
  <sheetData>
    <row r="1" spans="1:4" x14ac:dyDescent="0.35">
      <c r="A1" s="274" t="s">
        <v>337</v>
      </c>
      <c r="B1" s="889" t="s">
        <v>2023</v>
      </c>
      <c r="C1" s="983"/>
      <c r="D1" s="432" t="s">
        <v>336</v>
      </c>
    </row>
    <row r="2" spans="1:4" ht="25" x14ac:dyDescent="0.25">
      <c r="A2" s="76" t="s">
        <v>337</v>
      </c>
      <c r="B2" s="220" t="s">
        <v>338</v>
      </c>
      <c r="C2" s="907"/>
      <c r="D2" s="433" t="s">
        <v>338</v>
      </c>
    </row>
    <row r="3" spans="1:4" ht="18" x14ac:dyDescent="0.25">
      <c r="A3" s="76">
        <v>2</v>
      </c>
      <c r="B3" s="221" t="s">
        <v>339</v>
      </c>
      <c r="C3" s="908"/>
      <c r="D3" s="434" t="s">
        <v>339</v>
      </c>
    </row>
    <row r="4" spans="1:4" x14ac:dyDescent="0.25">
      <c r="A4" s="76">
        <v>3</v>
      </c>
      <c r="B4" s="222" t="s">
        <v>340</v>
      </c>
      <c r="C4" s="907"/>
      <c r="D4" s="435" t="s">
        <v>340</v>
      </c>
    </row>
    <row r="5" spans="1:4" x14ac:dyDescent="0.25">
      <c r="A5" s="76" t="s">
        <v>337</v>
      </c>
      <c r="B5" s="222" t="s">
        <v>341</v>
      </c>
      <c r="C5" s="907"/>
      <c r="D5" s="435" t="s">
        <v>341</v>
      </c>
    </row>
    <row r="6" spans="1:4" x14ac:dyDescent="0.25">
      <c r="A6" s="76">
        <v>5</v>
      </c>
      <c r="B6" s="222" t="s">
        <v>342</v>
      </c>
      <c r="C6" s="907"/>
      <c r="D6" s="435" t="s">
        <v>342</v>
      </c>
    </row>
    <row r="7" spans="1:4" x14ac:dyDescent="0.25">
      <c r="A7" s="76" t="s">
        <v>337</v>
      </c>
      <c r="B7" s="222" t="s">
        <v>343</v>
      </c>
      <c r="C7" s="907"/>
      <c r="D7" s="435" t="s">
        <v>343</v>
      </c>
    </row>
    <row r="8" spans="1:4" x14ac:dyDescent="0.25">
      <c r="A8" s="76" t="s">
        <v>337</v>
      </c>
      <c r="B8" s="222" t="s">
        <v>344</v>
      </c>
      <c r="C8" s="907"/>
      <c r="D8" s="435" t="s">
        <v>344</v>
      </c>
    </row>
    <row r="9" spans="1:4" x14ac:dyDescent="0.25">
      <c r="A9" s="76" t="s">
        <v>337</v>
      </c>
      <c r="B9" s="222" t="s">
        <v>345</v>
      </c>
      <c r="C9" s="907"/>
      <c r="D9" s="435" t="s">
        <v>345</v>
      </c>
    </row>
    <row r="10" spans="1:4" x14ac:dyDescent="0.25">
      <c r="A10" s="76" t="s">
        <v>337</v>
      </c>
      <c r="B10" s="222" t="s">
        <v>346</v>
      </c>
      <c r="C10" s="907"/>
      <c r="D10" s="435" t="s">
        <v>346</v>
      </c>
    </row>
    <row r="11" spans="1:4" x14ac:dyDescent="0.25">
      <c r="A11" s="76" t="s">
        <v>337</v>
      </c>
      <c r="B11" s="222" t="s">
        <v>347</v>
      </c>
      <c r="C11" s="907"/>
      <c r="D11" s="435" t="s">
        <v>347</v>
      </c>
    </row>
    <row r="12" spans="1:4" x14ac:dyDescent="0.25">
      <c r="A12" s="76" t="s">
        <v>337</v>
      </c>
      <c r="B12" s="222" t="s">
        <v>348</v>
      </c>
      <c r="C12" s="907"/>
      <c r="D12" s="435" t="s">
        <v>348</v>
      </c>
    </row>
    <row r="13" spans="1:4" x14ac:dyDescent="0.25">
      <c r="A13" s="76" t="s">
        <v>337</v>
      </c>
      <c r="B13" s="222" t="s">
        <v>349</v>
      </c>
      <c r="C13" s="907"/>
      <c r="D13" s="435" t="s">
        <v>349</v>
      </c>
    </row>
    <row r="14" spans="1:4" x14ac:dyDescent="0.25">
      <c r="A14" s="76" t="s">
        <v>337</v>
      </c>
      <c r="B14" s="222" t="s">
        <v>350</v>
      </c>
      <c r="C14" s="907"/>
      <c r="D14" s="435" t="s">
        <v>350</v>
      </c>
    </row>
    <row r="15" spans="1:4" x14ac:dyDescent="0.25">
      <c r="A15" s="76" t="s">
        <v>337</v>
      </c>
      <c r="B15" s="222" t="s">
        <v>351</v>
      </c>
      <c r="C15" s="907"/>
      <c r="D15" s="435" t="s">
        <v>351</v>
      </c>
    </row>
    <row r="16" spans="1:4" x14ac:dyDescent="0.25">
      <c r="A16" s="76" t="s">
        <v>337</v>
      </c>
      <c r="B16" s="222" t="s">
        <v>352</v>
      </c>
      <c r="C16" s="907"/>
      <c r="D16" s="435" t="s">
        <v>352</v>
      </c>
    </row>
    <row r="17" spans="1:4" x14ac:dyDescent="0.25">
      <c r="A17" s="76" t="s">
        <v>337</v>
      </c>
      <c r="B17" s="222" t="s">
        <v>353</v>
      </c>
      <c r="C17" s="907"/>
      <c r="D17" s="435" t="s">
        <v>353</v>
      </c>
    </row>
    <row r="18" spans="1:4" x14ac:dyDescent="0.25">
      <c r="A18" s="76" t="s">
        <v>337</v>
      </c>
      <c r="B18" s="222" t="s">
        <v>354</v>
      </c>
      <c r="C18" s="907"/>
      <c r="D18" s="435" t="s">
        <v>354</v>
      </c>
    </row>
    <row r="19" spans="1:4" x14ac:dyDescent="0.25">
      <c r="A19" s="76" t="s">
        <v>337</v>
      </c>
      <c r="B19" s="222" t="s">
        <v>355</v>
      </c>
      <c r="C19" s="907"/>
      <c r="D19" s="435" t="s">
        <v>355</v>
      </c>
    </row>
    <row r="20" spans="1:4" x14ac:dyDescent="0.25">
      <c r="A20" s="76">
        <v>19</v>
      </c>
      <c r="B20" s="222" t="s">
        <v>2040</v>
      </c>
      <c r="C20" s="907" t="s">
        <v>2025</v>
      </c>
      <c r="D20" s="435" t="s">
        <v>356</v>
      </c>
    </row>
    <row r="21" spans="1:4" x14ac:dyDescent="0.25">
      <c r="A21" s="76" t="s">
        <v>337</v>
      </c>
      <c r="B21" s="223" t="s">
        <v>357</v>
      </c>
      <c r="C21" s="907"/>
      <c r="D21" s="436" t="s">
        <v>357</v>
      </c>
    </row>
    <row r="22" spans="1:4" x14ac:dyDescent="0.25">
      <c r="A22" s="76" t="s">
        <v>337</v>
      </c>
      <c r="B22" s="224" t="s">
        <v>358</v>
      </c>
      <c r="C22" s="908"/>
      <c r="D22" s="435" t="s">
        <v>358</v>
      </c>
    </row>
    <row r="23" spans="1:4" x14ac:dyDescent="0.25">
      <c r="A23" s="76">
        <v>22</v>
      </c>
      <c r="B23" s="222" t="s">
        <v>359</v>
      </c>
      <c r="C23" s="907"/>
      <c r="D23" s="435" t="s">
        <v>359</v>
      </c>
    </row>
    <row r="24" spans="1:4" x14ac:dyDescent="0.25">
      <c r="A24" s="76" t="s">
        <v>337</v>
      </c>
      <c r="B24" s="224" t="s">
        <v>360</v>
      </c>
      <c r="C24" s="908"/>
      <c r="D24" s="435" t="s">
        <v>360</v>
      </c>
    </row>
    <row r="25" spans="1:4" ht="26.5" thickBot="1" x14ac:dyDescent="0.3">
      <c r="A25" s="76">
        <v>24</v>
      </c>
      <c r="B25" s="223" t="s">
        <v>2026</v>
      </c>
      <c r="C25" s="907" t="s">
        <v>2025</v>
      </c>
      <c r="D25" s="436" t="s">
        <v>361</v>
      </c>
    </row>
    <row r="26" spans="1:4" ht="16" thickBot="1" x14ac:dyDescent="0.3">
      <c r="A26" s="76">
        <v>25</v>
      </c>
      <c r="B26" s="225" t="s">
        <v>362</v>
      </c>
      <c r="C26" s="907"/>
      <c r="D26" s="435" t="s">
        <v>362</v>
      </c>
    </row>
    <row r="27" spans="1:4" ht="25" x14ac:dyDescent="0.25">
      <c r="A27" s="76">
        <v>26</v>
      </c>
      <c r="B27" s="225" t="s">
        <v>363</v>
      </c>
      <c r="C27" s="907"/>
      <c r="D27" s="435" t="s">
        <v>363</v>
      </c>
    </row>
    <row r="28" spans="1:4" ht="16" thickBot="1" x14ac:dyDescent="0.3">
      <c r="A28" s="76">
        <v>27</v>
      </c>
      <c r="B28" s="223" t="s">
        <v>364</v>
      </c>
      <c r="C28" s="907"/>
      <c r="D28" s="436" t="s">
        <v>364</v>
      </c>
    </row>
    <row r="29" spans="1:4" ht="16" thickBot="1" x14ac:dyDescent="0.3">
      <c r="A29" s="76">
        <v>28</v>
      </c>
      <c r="B29" s="226" t="s">
        <v>365</v>
      </c>
      <c r="C29" s="907"/>
      <c r="D29" s="435" t="s">
        <v>365</v>
      </c>
    </row>
    <row r="30" spans="1:4" ht="16" thickBot="1" x14ac:dyDescent="0.3">
      <c r="A30" s="76">
        <v>29</v>
      </c>
      <c r="B30" s="227" t="s">
        <v>366</v>
      </c>
      <c r="C30" s="907"/>
      <c r="D30" s="435" t="s">
        <v>366</v>
      </c>
    </row>
    <row r="31" spans="1:4" ht="16" thickBot="1" x14ac:dyDescent="0.3">
      <c r="A31" s="76">
        <v>30</v>
      </c>
      <c r="B31" s="227" t="s">
        <v>367</v>
      </c>
      <c r="C31" s="907"/>
      <c r="D31" s="435" t="s">
        <v>367</v>
      </c>
    </row>
    <row r="32" spans="1:4" ht="16" thickBot="1" x14ac:dyDescent="0.3">
      <c r="A32" s="76">
        <v>31</v>
      </c>
      <c r="B32" s="227" t="s">
        <v>368</v>
      </c>
      <c r="C32" s="907"/>
      <c r="D32" s="435" t="s">
        <v>368</v>
      </c>
    </row>
    <row r="33" spans="1:4" ht="18" x14ac:dyDescent="0.25">
      <c r="A33" s="76">
        <v>32</v>
      </c>
      <c r="B33" s="228" t="s">
        <v>369</v>
      </c>
      <c r="C33" s="907"/>
      <c r="D33" s="434" t="s">
        <v>369</v>
      </c>
    </row>
    <row r="34" spans="1:4" ht="50" x14ac:dyDescent="0.25">
      <c r="A34" s="76" t="s">
        <v>337</v>
      </c>
      <c r="B34" s="222" t="s">
        <v>370</v>
      </c>
      <c r="C34" s="907"/>
      <c r="D34" s="435" t="s">
        <v>370</v>
      </c>
    </row>
    <row r="35" spans="1:4" x14ac:dyDescent="0.25">
      <c r="A35" s="76" t="s">
        <v>337</v>
      </c>
      <c r="B35" s="224" t="s">
        <v>371</v>
      </c>
      <c r="C35" s="908"/>
      <c r="D35" s="435" t="s">
        <v>371</v>
      </c>
    </row>
    <row r="36" spans="1:4" ht="25" x14ac:dyDescent="0.35">
      <c r="A36" s="76" t="s">
        <v>337</v>
      </c>
      <c r="B36" t="s">
        <v>372</v>
      </c>
      <c r="C36" s="909"/>
      <c r="D36" s="437" t="s">
        <v>372</v>
      </c>
    </row>
    <row r="37" spans="1:4" ht="37.5" x14ac:dyDescent="0.25">
      <c r="A37" s="76" t="s">
        <v>337</v>
      </c>
      <c r="B37" s="224" t="s">
        <v>373</v>
      </c>
      <c r="C37" s="908"/>
      <c r="D37" s="435" t="s">
        <v>373</v>
      </c>
    </row>
    <row r="38" spans="1:4" ht="25" x14ac:dyDescent="0.35">
      <c r="A38" s="76" t="s">
        <v>337</v>
      </c>
      <c r="B38" t="s">
        <v>374</v>
      </c>
      <c r="C38" s="909"/>
      <c r="D38" s="437" t="s">
        <v>374</v>
      </c>
    </row>
    <row r="39" spans="1:4" ht="37.5" x14ac:dyDescent="0.25">
      <c r="A39" s="76" t="s">
        <v>337</v>
      </c>
      <c r="B39" s="224" t="s">
        <v>375</v>
      </c>
      <c r="C39" s="908"/>
      <c r="D39" s="435" t="s">
        <v>375</v>
      </c>
    </row>
    <row r="40" spans="1:4" ht="39" x14ac:dyDescent="0.25">
      <c r="A40" s="76" t="s">
        <v>337</v>
      </c>
      <c r="B40" s="229" t="s">
        <v>376</v>
      </c>
      <c r="C40" s="910"/>
      <c r="D40" s="438" t="s">
        <v>376</v>
      </c>
    </row>
    <row r="41" spans="1:4" x14ac:dyDescent="0.25">
      <c r="A41" s="76">
        <v>40</v>
      </c>
      <c r="B41" s="224" t="s">
        <v>377</v>
      </c>
      <c r="C41" s="908"/>
      <c r="D41" s="435" t="s">
        <v>377</v>
      </c>
    </row>
    <row r="42" spans="1:4" ht="91" x14ac:dyDescent="0.25">
      <c r="A42" s="76" t="s">
        <v>337</v>
      </c>
      <c r="B42" s="229" t="s">
        <v>378</v>
      </c>
      <c r="C42" s="910"/>
      <c r="D42" s="438" t="s">
        <v>378</v>
      </c>
    </row>
    <row r="43" spans="1:4" ht="62.5" x14ac:dyDescent="0.25">
      <c r="A43" s="76" t="s">
        <v>337</v>
      </c>
      <c r="B43" s="224" t="s">
        <v>379</v>
      </c>
      <c r="C43" s="908"/>
      <c r="D43" s="435" t="s">
        <v>379</v>
      </c>
    </row>
    <row r="44" spans="1:4" x14ac:dyDescent="0.25">
      <c r="A44" s="76">
        <v>43</v>
      </c>
      <c r="B44" s="224" t="s">
        <v>380</v>
      </c>
      <c r="C44" s="908"/>
      <c r="D44" s="435" t="s">
        <v>380</v>
      </c>
    </row>
    <row r="45" spans="1:4" x14ac:dyDescent="0.25">
      <c r="A45" s="76" t="s">
        <v>337</v>
      </c>
      <c r="B45" s="222" t="s">
        <v>381</v>
      </c>
      <c r="C45" s="907"/>
      <c r="D45" s="435" t="s">
        <v>381</v>
      </c>
    </row>
    <row r="46" spans="1:4" ht="62.5" x14ac:dyDescent="0.25">
      <c r="A46" s="76" t="s">
        <v>337</v>
      </c>
      <c r="B46" s="222" t="s">
        <v>382</v>
      </c>
      <c r="C46" s="907"/>
      <c r="D46" s="435" t="s">
        <v>382</v>
      </c>
    </row>
    <row r="47" spans="1:4" ht="39" x14ac:dyDescent="0.25">
      <c r="A47" s="76" t="s">
        <v>337</v>
      </c>
      <c r="B47" s="223" t="s">
        <v>383</v>
      </c>
      <c r="C47" s="907"/>
      <c r="D47" s="436" t="s">
        <v>383</v>
      </c>
    </row>
    <row r="48" spans="1:4" x14ac:dyDescent="0.25">
      <c r="A48" s="76">
        <v>47</v>
      </c>
      <c r="B48" s="230" t="s">
        <v>384</v>
      </c>
      <c r="C48" s="907"/>
      <c r="D48" s="439" t="s">
        <v>384</v>
      </c>
    </row>
    <row r="49" spans="1:4" ht="50.5" x14ac:dyDescent="0.25">
      <c r="A49" s="76" t="s">
        <v>337</v>
      </c>
      <c r="B49" s="223" t="s">
        <v>385</v>
      </c>
      <c r="C49" s="907"/>
      <c r="D49" s="436" t="s">
        <v>386</v>
      </c>
    </row>
    <row r="50" spans="1:4" ht="25" x14ac:dyDescent="0.25">
      <c r="A50" s="76">
        <v>49</v>
      </c>
      <c r="B50" s="222" t="s">
        <v>387</v>
      </c>
      <c r="C50" s="907"/>
      <c r="D50" s="435" t="s">
        <v>387</v>
      </c>
    </row>
    <row r="51" spans="1:4" ht="25" x14ac:dyDescent="0.25">
      <c r="A51" s="76">
        <v>50</v>
      </c>
      <c r="B51" s="222" t="s">
        <v>388</v>
      </c>
      <c r="C51" s="907"/>
      <c r="D51" s="435" t="s">
        <v>388</v>
      </c>
    </row>
    <row r="52" spans="1:4" ht="37.5" x14ac:dyDescent="0.25">
      <c r="A52" s="76">
        <v>51</v>
      </c>
      <c r="B52" s="222" t="s">
        <v>389</v>
      </c>
      <c r="C52" s="907"/>
      <c r="D52" s="435" t="s">
        <v>389</v>
      </c>
    </row>
    <row r="53" spans="1:4" x14ac:dyDescent="0.25">
      <c r="A53" s="76">
        <v>52</v>
      </c>
      <c r="B53" s="224" t="s">
        <v>390</v>
      </c>
      <c r="C53" s="908"/>
      <c r="D53" s="435" t="s">
        <v>390</v>
      </c>
    </row>
    <row r="54" spans="1:4" ht="16" thickBot="1" x14ac:dyDescent="0.3">
      <c r="A54" s="76" t="s">
        <v>337</v>
      </c>
      <c r="B54" s="222" t="s">
        <v>391</v>
      </c>
      <c r="C54" s="907"/>
      <c r="D54" s="435" t="s">
        <v>391</v>
      </c>
    </row>
    <row r="55" spans="1:4" ht="100" x14ac:dyDescent="0.25">
      <c r="A55" s="76">
        <v>54</v>
      </c>
      <c r="B55" s="231" t="s">
        <v>2048</v>
      </c>
      <c r="C55" s="911" t="s">
        <v>2025</v>
      </c>
      <c r="D55" s="435" t="s">
        <v>392</v>
      </c>
    </row>
    <row r="56" spans="1:4" ht="75" x14ac:dyDescent="0.25">
      <c r="A56" s="76" t="s">
        <v>337</v>
      </c>
      <c r="B56" s="222" t="s">
        <v>393</v>
      </c>
      <c r="C56" s="907"/>
      <c r="D56" s="435" t="s">
        <v>393</v>
      </c>
    </row>
    <row r="57" spans="1:4" ht="75" x14ac:dyDescent="0.25">
      <c r="A57" s="76" t="s">
        <v>337</v>
      </c>
      <c r="B57" s="222" t="s">
        <v>394</v>
      </c>
      <c r="C57" s="907"/>
      <c r="D57" s="435" t="s">
        <v>394</v>
      </c>
    </row>
    <row r="58" spans="1:4" ht="25" x14ac:dyDescent="0.25">
      <c r="A58" s="76" t="s">
        <v>337</v>
      </c>
      <c r="B58" s="222" t="s">
        <v>395</v>
      </c>
      <c r="C58" s="907"/>
      <c r="D58" s="435" t="s">
        <v>395</v>
      </c>
    </row>
    <row r="59" spans="1:4" ht="25" x14ac:dyDescent="0.25">
      <c r="A59" s="76" t="s">
        <v>337</v>
      </c>
      <c r="B59" s="222" t="s">
        <v>396</v>
      </c>
      <c r="C59" s="907"/>
      <c r="D59" s="435" t="s">
        <v>396</v>
      </c>
    </row>
    <row r="60" spans="1:4" ht="88" x14ac:dyDescent="0.25">
      <c r="A60" s="76" t="s">
        <v>337</v>
      </c>
      <c r="B60" s="223" t="s">
        <v>397</v>
      </c>
      <c r="C60" s="907"/>
      <c r="D60" s="436" t="s">
        <v>398</v>
      </c>
    </row>
    <row r="61" spans="1:4" x14ac:dyDescent="0.25">
      <c r="A61" s="76">
        <v>60</v>
      </c>
      <c r="B61" s="232" t="s">
        <v>399</v>
      </c>
      <c r="C61" s="907"/>
      <c r="D61" s="439" t="s">
        <v>399</v>
      </c>
    </row>
    <row r="62" spans="1:4" x14ac:dyDescent="0.25">
      <c r="A62" s="76">
        <v>61</v>
      </c>
      <c r="B62" s="223" t="s">
        <v>400</v>
      </c>
      <c r="C62" s="907"/>
      <c r="D62" s="436" t="s">
        <v>400</v>
      </c>
    </row>
    <row r="63" spans="1:4" x14ac:dyDescent="0.25">
      <c r="A63" s="76">
        <v>62</v>
      </c>
      <c r="B63" s="224" t="s">
        <v>401</v>
      </c>
      <c r="C63" s="908"/>
      <c r="D63" s="435" t="s">
        <v>401</v>
      </c>
    </row>
    <row r="64" spans="1:4" x14ac:dyDescent="0.25">
      <c r="A64" s="76">
        <v>63</v>
      </c>
      <c r="B64" s="222" t="s">
        <v>402</v>
      </c>
      <c r="C64" s="907"/>
      <c r="D64" s="435" t="s">
        <v>402</v>
      </c>
    </row>
    <row r="65" spans="1:4" x14ac:dyDescent="0.25">
      <c r="A65" s="76">
        <v>64</v>
      </c>
      <c r="B65" s="224" t="s">
        <v>403</v>
      </c>
      <c r="C65" s="908"/>
      <c r="D65" s="435" t="s">
        <v>403</v>
      </c>
    </row>
    <row r="66" spans="1:4" x14ac:dyDescent="0.25">
      <c r="A66" s="76" t="s">
        <v>337</v>
      </c>
      <c r="B66" s="222" t="s">
        <v>404</v>
      </c>
      <c r="C66" s="907"/>
      <c r="D66" s="435" t="s">
        <v>404</v>
      </c>
    </row>
    <row r="67" spans="1:4" x14ac:dyDescent="0.25">
      <c r="A67" s="76">
        <v>66</v>
      </c>
      <c r="B67" s="222" t="s">
        <v>405</v>
      </c>
      <c r="C67" s="907"/>
      <c r="D67" s="435" t="s">
        <v>405</v>
      </c>
    </row>
    <row r="68" spans="1:4" x14ac:dyDescent="0.25">
      <c r="A68" s="76" t="s">
        <v>337</v>
      </c>
      <c r="B68" s="222" t="s">
        <v>406</v>
      </c>
      <c r="C68" s="907"/>
      <c r="D68" s="435" t="s">
        <v>406</v>
      </c>
    </row>
    <row r="69" spans="1:4" x14ac:dyDescent="0.25">
      <c r="A69" s="76">
        <v>68</v>
      </c>
      <c r="B69" s="224" t="s">
        <v>407</v>
      </c>
      <c r="C69" s="908"/>
      <c r="D69" s="435" t="s">
        <v>407</v>
      </c>
    </row>
    <row r="70" spans="1:4" x14ac:dyDescent="0.25">
      <c r="A70" s="76">
        <v>69</v>
      </c>
      <c r="B70" s="223" t="s">
        <v>408</v>
      </c>
      <c r="C70" s="907"/>
      <c r="D70" s="436" t="s">
        <v>408</v>
      </c>
    </row>
    <row r="71" spans="1:4" x14ac:dyDescent="0.25">
      <c r="A71" s="76">
        <v>70</v>
      </c>
      <c r="B71" s="233" t="s">
        <v>409</v>
      </c>
      <c r="C71" s="911"/>
      <c r="D71" s="435" t="s">
        <v>409</v>
      </c>
    </row>
    <row r="72" spans="1:4" x14ac:dyDescent="0.25">
      <c r="A72" s="76">
        <v>71</v>
      </c>
      <c r="B72" s="222" t="s">
        <v>410</v>
      </c>
      <c r="C72" s="907"/>
      <c r="D72" s="435" t="s">
        <v>410</v>
      </c>
    </row>
    <row r="73" spans="1:4" x14ac:dyDescent="0.25">
      <c r="A73" s="76">
        <v>72</v>
      </c>
      <c r="B73" s="233" t="s">
        <v>411</v>
      </c>
      <c r="C73" s="911"/>
      <c r="D73" s="435" t="s">
        <v>411</v>
      </c>
    </row>
    <row r="74" spans="1:4" x14ac:dyDescent="0.25">
      <c r="A74" s="76">
        <v>73</v>
      </c>
      <c r="B74" s="232" t="s">
        <v>412</v>
      </c>
      <c r="C74" s="907"/>
      <c r="D74" s="439" t="s">
        <v>412</v>
      </c>
    </row>
    <row r="75" spans="1:4" ht="75" x14ac:dyDescent="0.25">
      <c r="A75" s="76" t="s">
        <v>337</v>
      </c>
      <c r="B75" s="222" t="s">
        <v>413</v>
      </c>
      <c r="C75" s="907"/>
      <c r="D75" s="435" t="s">
        <v>413</v>
      </c>
    </row>
    <row r="76" spans="1:4" ht="37.5" x14ac:dyDescent="0.25">
      <c r="A76" s="76">
        <v>75</v>
      </c>
      <c r="B76" s="222" t="s">
        <v>414</v>
      </c>
      <c r="C76" s="907"/>
      <c r="D76" s="435" t="s">
        <v>414</v>
      </c>
    </row>
    <row r="77" spans="1:4" ht="62.5" x14ac:dyDescent="0.25">
      <c r="A77" s="76">
        <v>76</v>
      </c>
      <c r="B77" s="222" t="s">
        <v>415</v>
      </c>
      <c r="C77" s="907"/>
      <c r="D77" s="435" t="s">
        <v>415</v>
      </c>
    </row>
    <row r="78" spans="1:4" x14ac:dyDescent="0.25">
      <c r="A78" s="76">
        <v>77</v>
      </c>
      <c r="B78" s="234" t="s">
        <v>416</v>
      </c>
      <c r="C78" s="907"/>
      <c r="D78" s="440" t="s">
        <v>416</v>
      </c>
    </row>
    <row r="79" spans="1:4" x14ac:dyDescent="0.25">
      <c r="A79" s="76">
        <v>78</v>
      </c>
      <c r="B79" s="235" t="s">
        <v>417</v>
      </c>
      <c r="C79" s="908"/>
      <c r="D79" s="436" t="s">
        <v>417</v>
      </c>
    </row>
    <row r="80" spans="1:4" x14ac:dyDescent="0.25">
      <c r="A80" s="76">
        <v>79</v>
      </c>
      <c r="B80" s="236" t="s">
        <v>418</v>
      </c>
      <c r="C80" s="908"/>
      <c r="D80" s="435" t="s">
        <v>418</v>
      </c>
    </row>
    <row r="81" spans="1:4" ht="16" thickBot="1" x14ac:dyDescent="0.3">
      <c r="A81" s="76">
        <v>80</v>
      </c>
      <c r="B81" s="237" t="s">
        <v>419</v>
      </c>
      <c r="C81" s="910"/>
      <c r="D81" s="441" t="s">
        <v>419</v>
      </c>
    </row>
    <row r="82" spans="1:4" ht="25" x14ac:dyDescent="0.25">
      <c r="A82" s="76">
        <v>81</v>
      </c>
      <c r="B82" s="236" t="s">
        <v>420</v>
      </c>
      <c r="C82" s="908"/>
      <c r="D82" s="435" t="s">
        <v>420</v>
      </c>
    </row>
    <row r="83" spans="1:4" x14ac:dyDescent="0.25">
      <c r="A83" s="76">
        <v>82</v>
      </c>
      <c r="B83" s="236" t="s">
        <v>421</v>
      </c>
      <c r="C83" s="908"/>
      <c r="D83" s="435" t="s">
        <v>421</v>
      </c>
    </row>
    <row r="84" spans="1:4" ht="25" x14ac:dyDescent="0.25">
      <c r="A84" s="76">
        <v>83</v>
      </c>
      <c r="B84" s="236" t="s">
        <v>422</v>
      </c>
      <c r="C84" s="908"/>
      <c r="D84" s="435" t="s">
        <v>422</v>
      </c>
    </row>
    <row r="85" spans="1:4" x14ac:dyDescent="0.25">
      <c r="A85" s="76">
        <v>84</v>
      </c>
      <c r="B85" s="236" t="s">
        <v>423</v>
      </c>
      <c r="C85" s="908"/>
      <c r="D85" s="435" t="s">
        <v>423</v>
      </c>
    </row>
    <row r="86" spans="1:4" ht="25" x14ac:dyDescent="0.25">
      <c r="A86" s="76">
        <v>85</v>
      </c>
      <c r="B86" s="236" t="s">
        <v>424</v>
      </c>
      <c r="C86" s="908"/>
      <c r="D86" s="435" t="s">
        <v>424</v>
      </c>
    </row>
    <row r="87" spans="1:4" x14ac:dyDescent="0.25">
      <c r="A87" s="76">
        <v>86</v>
      </c>
      <c r="B87" s="232" t="s">
        <v>425</v>
      </c>
      <c r="C87" s="907"/>
      <c r="D87" s="439" t="s">
        <v>425</v>
      </c>
    </row>
    <row r="88" spans="1:4" ht="18" x14ac:dyDescent="0.25">
      <c r="A88" s="76" t="s">
        <v>337</v>
      </c>
      <c r="B88" s="221" t="s">
        <v>426</v>
      </c>
      <c r="C88" s="908"/>
      <c r="D88" s="434" t="s">
        <v>426</v>
      </c>
    </row>
    <row r="89" spans="1:4" x14ac:dyDescent="0.25">
      <c r="A89" s="76" t="s">
        <v>337</v>
      </c>
      <c r="B89" s="238" t="s">
        <v>427</v>
      </c>
      <c r="C89" s="984"/>
      <c r="D89" s="439" t="s">
        <v>427</v>
      </c>
    </row>
    <row r="90" spans="1:4" ht="20" x14ac:dyDescent="0.25">
      <c r="A90" s="76" t="s">
        <v>337</v>
      </c>
      <c r="B90" s="239" t="s">
        <v>428</v>
      </c>
      <c r="C90" s="910"/>
      <c r="D90" s="442" t="s">
        <v>428</v>
      </c>
    </row>
    <row r="91" spans="1:4" ht="30" x14ac:dyDescent="0.25">
      <c r="A91" s="76" t="s">
        <v>337</v>
      </c>
      <c r="B91" s="239" t="s">
        <v>429</v>
      </c>
      <c r="C91" s="910"/>
      <c r="D91" s="442" t="s">
        <v>429</v>
      </c>
    </row>
    <row r="92" spans="1:4" ht="20" x14ac:dyDescent="0.25">
      <c r="A92" s="76" t="s">
        <v>337</v>
      </c>
      <c r="B92" s="239" t="s">
        <v>430</v>
      </c>
      <c r="C92" s="910"/>
      <c r="D92" s="442" t="s">
        <v>430</v>
      </c>
    </row>
    <row r="93" spans="1:4" ht="40.5" thickBot="1" x14ac:dyDescent="0.3">
      <c r="A93" s="76" t="s">
        <v>337</v>
      </c>
      <c r="B93" s="239" t="s">
        <v>431</v>
      </c>
      <c r="C93" s="910"/>
      <c r="D93" s="442" t="s">
        <v>431</v>
      </c>
    </row>
    <row r="94" spans="1:4" ht="16" thickBot="1" x14ac:dyDescent="0.3">
      <c r="A94" s="76" t="s">
        <v>337</v>
      </c>
      <c r="B94" s="240" t="s">
        <v>432</v>
      </c>
      <c r="C94" s="908"/>
      <c r="D94" s="443" t="s">
        <v>432</v>
      </c>
    </row>
    <row r="95" spans="1:4" ht="16" thickBot="1" x14ac:dyDescent="0.3">
      <c r="A95" s="76" t="s">
        <v>337</v>
      </c>
      <c r="B95" s="241" t="s">
        <v>433</v>
      </c>
      <c r="C95" s="908"/>
      <c r="D95" s="443" t="s">
        <v>433</v>
      </c>
    </row>
    <row r="96" spans="1:4" ht="16" thickBot="1" x14ac:dyDescent="0.3">
      <c r="A96" s="76" t="s">
        <v>337</v>
      </c>
      <c r="B96" s="241" t="s">
        <v>434</v>
      </c>
      <c r="C96" s="908"/>
      <c r="D96" s="443" t="s">
        <v>434</v>
      </c>
    </row>
    <row r="97" spans="1:4" ht="21.5" thickBot="1" x14ac:dyDescent="0.3">
      <c r="A97" s="76" t="s">
        <v>337</v>
      </c>
      <c r="B97" s="241" t="s">
        <v>435</v>
      </c>
      <c r="C97" s="908"/>
      <c r="D97" s="443" t="s">
        <v>435</v>
      </c>
    </row>
    <row r="98" spans="1:4" x14ac:dyDescent="0.25">
      <c r="A98" s="76" t="s">
        <v>337</v>
      </c>
      <c r="B98" s="242" t="s">
        <v>436</v>
      </c>
      <c r="C98" s="910"/>
      <c r="D98" s="444" t="s">
        <v>436</v>
      </c>
    </row>
    <row r="99" spans="1:4" ht="36" x14ac:dyDescent="0.25">
      <c r="A99" s="76" t="s">
        <v>337</v>
      </c>
      <c r="B99" s="221" t="s">
        <v>437</v>
      </c>
      <c r="C99" s="908"/>
      <c r="D99" s="434" t="s">
        <v>437</v>
      </c>
    </row>
    <row r="100" spans="1:4" x14ac:dyDescent="0.25">
      <c r="A100" s="76" t="s">
        <v>337</v>
      </c>
      <c r="B100" s="238" t="s">
        <v>438</v>
      </c>
      <c r="C100" s="984"/>
      <c r="D100" s="439" t="s">
        <v>438</v>
      </c>
    </row>
    <row r="101" spans="1:4" x14ac:dyDescent="0.25">
      <c r="A101" s="76">
        <v>100</v>
      </c>
      <c r="B101" s="235" t="s">
        <v>439</v>
      </c>
      <c r="C101" s="908"/>
      <c r="D101" s="436" t="s">
        <v>439</v>
      </c>
    </row>
    <row r="102" spans="1:4" x14ac:dyDescent="0.25">
      <c r="A102" s="76" t="s">
        <v>337</v>
      </c>
      <c r="B102" s="243"/>
      <c r="C102" s="912"/>
      <c r="D102" s="412"/>
    </row>
    <row r="103" spans="1:4" x14ac:dyDescent="0.25">
      <c r="A103" s="76" t="s">
        <v>337</v>
      </c>
      <c r="B103" s="239" t="s">
        <v>440</v>
      </c>
      <c r="C103" s="910"/>
      <c r="D103" s="442" t="s">
        <v>440</v>
      </c>
    </row>
    <row r="104" spans="1:4" x14ac:dyDescent="0.25">
      <c r="A104" s="76">
        <v>103</v>
      </c>
      <c r="B104" s="235" t="s">
        <v>441</v>
      </c>
      <c r="C104" s="908"/>
      <c r="D104" s="436" t="s">
        <v>441</v>
      </c>
    </row>
    <row r="105" spans="1:4" x14ac:dyDescent="0.25">
      <c r="A105" s="76" t="s">
        <v>337</v>
      </c>
      <c r="B105" s="239" t="s">
        <v>442</v>
      </c>
      <c r="C105" s="910"/>
      <c r="D105" s="442" t="s">
        <v>442</v>
      </c>
    </row>
    <row r="106" spans="1:4" x14ac:dyDescent="0.25">
      <c r="A106" s="76" t="s">
        <v>337</v>
      </c>
      <c r="B106" s="235" t="s">
        <v>443</v>
      </c>
      <c r="C106" s="908"/>
      <c r="D106" s="436" t="s">
        <v>443</v>
      </c>
    </row>
    <row r="107" spans="1:4" ht="50" x14ac:dyDescent="0.25">
      <c r="A107" s="76" t="s">
        <v>337</v>
      </c>
      <c r="B107" s="239" t="s">
        <v>444</v>
      </c>
      <c r="C107" s="910"/>
      <c r="D107" s="442" t="s">
        <v>444</v>
      </c>
    </row>
    <row r="108" spans="1:4" x14ac:dyDescent="0.25">
      <c r="A108" s="76" t="s">
        <v>337</v>
      </c>
      <c r="B108" s="235" t="s">
        <v>445</v>
      </c>
      <c r="C108" s="908"/>
      <c r="D108" s="436" t="s">
        <v>445</v>
      </c>
    </row>
    <row r="109" spans="1:4" ht="30" x14ac:dyDescent="0.25">
      <c r="A109" s="76" t="s">
        <v>337</v>
      </c>
      <c r="B109" s="897" t="s">
        <v>446</v>
      </c>
      <c r="C109" s="910"/>
      <c r="D109" s="445" t="s">
        <v>447</v>
      </c>
    </row>
    <row r="110" spans="1:4" x14ac:dyDescent="0.25">
      <c r="A110" s="76" t="s">
        <v>337</v>
      </c>
      <c r="B110" s="898" t="s">
        <v>448</v>
      </c>
      <c r="C110" s="908"/>
      <c r="D110" s="446" t="s">
        <v>448</v>
      </c>
    </row>
    <row r="111" spans="1:4" x14ac:dyDescent="0.25">
      <c r="A111" s="76" t="s">
        <v>337</v>
      </c>
      <c r="B111" s="239" t="s">
        <v>449</v>
      </c>
      <c r="C111" s="910"/>
      <c r="D111" s="442" t="s">
        <v>449</v>
      </c>
    </row>
    <row r="112" spans="1:4" ht="25" x14ac:dyDescent="0.25">
      <c r="A112" s="76" t="s">
        <v>337</v>
      </c>
      <c r="B112" s="222" t="s">
        <v>450</v>
      </c>
      <c r="C112" s="907"/>
      <c r="D112" s="435" t="s">
        <v>450</v>
      </c>
    </row>
    <row r="113" spans="1:4" ht="26" x14ac:dyDescent="0.25">
      <c r="A113" s="76">
        <v>112</v>
      </c>
      <c r="B113" s="235" t="s">
        <v>451</v>
      </c>
      <c r="C113" s="908"/>
      <c r="D113" s="436" t="s">
        <v>451</v>
      </c>
    </row>
    <row r="114" spans="1:4" ht="20" x14ac:dyDescent="0.25">
      <c r="A114" s="76" t="s">
        <v>337</v>
      </c>
      <c r="B114" s="239" t="s">
        <v>452</v>
      </c>
      <c r="C114" s="910"/>
      <c r="D114" s="442" t="s">
        <v>452</v>
      </c>
    </row>
    <row r="115" spans="1:4" ht="26" x14ac:dyDescent="0.25">
      <c r="A115" s="76">
        <v>114</v>
      </c>
      <c r="B115" s="235" t="s">
        <v>453</v>
      </c>
      <c r="C115" s="908"/>
      <c r="D115" s="436" t="s">
        <v>453</v>
      </c>
    </row>
    <row r="116" spans="1:4" ht="30" x14ac:dyDescent="0.25">
      <c r="A116" s="76" t="s">
        <v>337</v>
      </c>
      <c r="B116" s="239" t="s">
        <v>454</v>
      </c>
      <c r="C116" s="910"/>
      <c r="D116" s="442" t="s">
        <v>454</v>
      </c>
    </row>
    <row r="117" spans="1:4" ht="39" x14ac:dyDescent="0.25">
      <c r="A117" s="76">
        <v>116</v>
      </c>
      <c r="B117" s="235" t="s">
        <v>455</v>
      </c>
      <c r="C117" s="908"/>
      <c r="D117" s="436" t="s">
        <v>455</v>
      </c>
    </row>
    <row r="118" spans="1:4" x14ac:dyDescent="0.25">
      <c r="A118" s="76" t="s">
        <v>337</v>
      </c>
      <c r="B118" s="243"/>
      <c r="C118" s="912"/>
      <c r="D118" s="412"/>
    </row>
    <row r="119" spans="1:4" ht="30" x14ac:dyDescent="0.25">
      <c r="A119" s="76" t="s">
        <v>337</v>
      </c>
      <c r="B119" s="239" t="s">
        <v>456</v>
      </c>
      <c r="C119" s="910"/>
      <c r="D119" s="442" t="s">
        <v>456</v>
      </c>
    </row>
    <row r="120" spans="1:4" x14ac:dyDescent="0.25">
      <c r="A120" s="76">
        <v>119</v>
      </c>
      <c r="B120" s="235" t="s">
        <v>2028</v>
      </c>
      <c r="C120" s="908" t="s">
        <v>2025</v>
      </c>
      <c r="D120" s="436" t="s">
        <v>457</v>
      </c>
    </row>
    <row r="121" spans="1:4" x14ac:dyDescent="0.25">
      <c r="A121" s="76">
        <v>120</v>
      </c>
      <c r="B121" s="239" t="s">
        <v>2031</v>
      </c>
      <c r="C121" s="910" t="s">
        <v>2025</v>
      </c>
      <c r="D121" s="442" t="s">
        <v>458</v>
      </c>
    </row>
    <row r="122" spans="1:4" x14ac:dyDescent="0.25">
      <c r="A122" s="76">
        <v>121</v>
      </c>
      <c r="B122" s="235" t="s">
        <v>2029</v>
      </c>
      <c r="C122" s="910" t="s">
        <v>2025</v>
      </c>
      <c r="D122" s="436" t="s">
        <v>459</v>
      </c>
    </row>
    <row r="123" spans="1:4" ht="20" x14ac:dyDescent="0.25">
      <c r="A123" s="76">
        <v>122</v>
      </c>
      <c r="B123" s="239" t="s">
        <v>2031</v>
      </c>
      <c r="C123" s="910" t="s">
        <v>2025</v>
      </c>
      <c r="D123" s="442" t="s">
        <v>460</v>
      </c>
    </row>
    <row r="124" spans="1:4" ht="26" x14ac:dyDescent="0.25">
      <c r="A124" s="76">
        <v>123</v>
      </c>
      <c r="B124" s="235" t="s">
        <v>461</v>
      </c>
      <c r="C124" s="908"/>
      <c r="D124" s="436" t="s">
        <v>461</v>
      </c>
    </row>
    <row r="125" spans="1:4" x14ac:dyDescent="0.25">
      <c r="A125" s="76">
        <v>124</v>
      </c>
      <c r="B125" s="244" t="s">
        <v>462</v>
      </c>
      <c r="C125" s="907"/>
      <c r="D125" s="443" t="s">
        <v>462</v>
      </c>
    </row>
    <row r="126" spans="1:4" x14ac:dyDescent="0.25">
      <c r="A126" s="76">
        <v>125</v>
      </c>
      <c r="B126" s="244" t="s">
        <v>2030</v>
      </c>
      <c r="C126" s="907" t="s">
        <v>2025</v>
      </c>
      <c r="D126" s="443" t="s">
        <v>463</v>
      </c>
    </row>
    <row r="127" spans="1:4" x14ac:dyDescent="0.25">
      <c r="A127" s="76">
        <v>126</v>
      </c>
      <c r="B127" s="244" t="s">
        <v>464</v>
      </c>
      <c r="C127" s="907"/>
      <c r="D127" s="443" t="s">
        <v>464</v>
      </c>
    </row>
    <row r="128" spans="1:4" x14ac:dyDescent="0.25">
      <c r="A128" s="76">
        <v>127</v>
      </c>
      <c r="B128" s="244" t="s">
        <v>465</v>
      </c>
      <c r="C128" s="907"/>
      <c r="D128" s="443" t="s">
        <v>465</v>
      </c>
    </row>
    <row r="129" spans="1:4" x14ac:dyDescent="0.25">
      <c r="A129" s="76">
        <v>128</v>
      </c>
      <c r="B129" s="235" t="s">
        <v>466</v>
      </c>
      <c r="C129" s="908"/>
      <c r="D129" s="436" t="s">
        <v>466</v>
      </c>
    </row>
    <row r="130" spans="1:4" x14ac:dyDescent="0.25">
      <c r="A130" s="76">
        <v>129</v>
      </c>
      <c r="B130" s="244" t="s">
        <v>467</v>
      </c>
      <c r="C130" s="907"/>
      <c r="D130" s="443" t="s">
        <v>467</v>
      </c>
    </row>
    <row r="131" spans="1:4" x14ac:dyDescent="0.25">
      <c r="A131" s="76">
        <v>130</v>
      </c>
      <c r="B131" s="244" t="s">
        <v>468</v>
      </c>
      <c r="C131" s="907"/>
      <c r="D131" s="443" t="s">
        <v>468</v>
      </c>
    </row>
    <row r="132" spans="1:4" x14ac:dyDescent="0.25">
      <c r="A132" s="76">
        <v>131</v>
      </c>
      <c r="B132" s="244" t="s">
        <v>469</v>
      </c>
      <c r="C132" s="907"/>
      <c r="D132" s="443" t="s">
        <v>469</v>
      </c>
    </row>
    <row r="133" spans="1:4" x14ac:dyDescent="0.25">
      <c r="A133" s="76">
        <v>132</v>
      </c>
      <c r="B133" s="244" t="s">
        <v>470</v>
      </c>
      <c r="C133" s="907"/>
      <c r="D133" s="443" t="s">
        <v>470</v>
      </c>
    </row>
    <row r="134" spans="1:4" x14ac:dyDescent="0.25">
      <c r="A134" s="76">
        <v>133</v>
      </c>
      <c r="B134" s="244" t="s">
        <v>471</v>
      </c>
      <c r="C134" s="907"/>
      <c r="D134" s="443" t="s">
        <v>471</v>
      </c>
    </row>
    <row r="135" spans="1:4" x14ac:dyDescent="0.25">
      <c r="A135" s="76">
        <v>134</v>
      </c>
      <c r="B135" s="244" t="s">
        <v>472</v>
      </c>
      <c r="C135" s="907"/>
      <c r="D135" s="443" t="s">
        <v>472</v>
      </c>
    </row>
    <row r="136" spans="1:4" x14ac:dyDescent="0.25">
      <c r="A136" s="76">
        <v>135</v>
      </c>
      <c r="B136" s="244" t="s">
        <v>473</v>
      </c>
      <c r="C136" s="907"/>
      <c r="D136" s="443" t="s">
        <v>473</v>
      </c>
    </row>
    <row r="137" spans="1:4" ht="26" x14ac:dyDescent="0.25">
      <c r="A137" s="76" t="s">
        <v>337</v>
      </c>
      <c r="B137" s="235" t="s">
        <v>474</v>
      </c>
      <c r="C137" s="908"/>
      <c r="D137" s="436" t="s">
        <v>474</v>
      </c>
    </row>
    <row r="138" spans="1:4" ht="26" x14ac:dyDescent="0.25">
      <c r="A138" s="76" t="s">
        <v>337</v>
      </c>
      <c r="B138" s="235" t="s">
        <v>475</v>
      </c>
      <c r="C138" s="908"/>
      <c r="D138" s="436" t="s">
        <v>475</v>
      </c>
    </row>
    <row r="139" spans="1:4" ht="30" x14ac:dyDescent="0.25">
      <c r="A139" s="76" t="s">
        <v>337</v>
      </c>
      <c r="B139" s="245" t="s">
        <v>476</v>
      </c>
      <c r="C139" s="910"/>
      <c r="D139" s="442" t="s">
        <v>476</v>
      </c>
    </row>
    <row r="140" spans="1:4" ht="26" x14ac:dyDescent="0.25">
      <c r="A140" s="76" t="s">
        <v>337</v>
      </c>
      <c r="B140" s="892" t="s">
        <v>477</v>
      </c>
      <c r="C140" s="908"/>
      <c r="D140" s="436" t="s">
        <v>477</v>
      </c>
    </row>
    <row r="141" spans="1:4" ht="26" x14ac:dyDescent="0.25">
      <c r="A141" s="76" t="s">
        <v>337</v>
      </c>
      <c r="B141" s="235" t="s">
        <v>478</v>
      </c>
      <c r="C141" s="908"/>
      <c r="D141" s="436" t="s">
        <v>478</v>
      </c>
    </row>
    <row r="142" spans="1:4" ht="20" x14ac:dyDescent="0.25">
      <c r="A142" s="76" t="s">
        <v>337</v>
      </c>
      <c r="B142" s="245" t="s">
        <v>479</v>
      </c>
      <c r="C142" s="910"/>
      <c r="D142" s="442" t="s">
        <v>479</v>
      </c>
    </row>
    <row r="143" spans="1:4" x14ac:dyDescent="0.25">
      <c r="A143" s="76" t="s">
        <v>337</v>
      </c>
      <c r="B143" s="244" t="s">
        <v>480</v>
      </c>
      <c r="C143" s="907"/>
      <c r="D143" s="443" t="s">
        <v>480</v>
      </c>
    </row>
    <row r="144" spans="1:4" x14ac:dyDescent="0.25">
      <c r="A144" s="76" t="s">
        <v>337</v>
      </c>
      <c r="B144" s="245" t="s">
        <v>481</v>
      </c>
      <c r="C144" s="910"/>
      <c r="D144" s="442" t="s">
        <v>481</v>
      </c>
    </row>
    <row r="145" spans="1:4" x14ac:dyDescent="0.25">
      <c r="A145" s="76" t="s">
        <v>337</v>
      </c>
      <c r="B145" s="244" t="s">
        <v>482</v>
      </c>
      <c r="C145" s="907"/>
      <c r="D145" s="443" t="s">
        <v>482</v>
      </c>
    </row>
    <row r="146" spans="1:4" x14ac:dyDescent="0.25">
      <c r="A146" s="76" t="s">
        <v>337</v>
      </c>
      <c r="B146" s="244" t="s">
        <v>483</v>
      </c>
      <c r="C146" s="907"/>
      <c r="D146" s="443" t="s">
        <v>483</v>
      </c>
    </row>
    <row r="147" spans="1:4" ht="16" thickBot="1" x14ac:dyDescent="0.3">
      <c r="A147" s="76" t="s">
        <v>337</v>
      </c>
      <c r="B147" s="246" t="s">
        <v>484</v>
      </c>
      <c r="C147" s="908"/>
      <c r="D147" s="436" t="s">
        <v>484</v>
      </c>
    </row>
    <row r="148" spans="1:4" x14ac:dyDescent="0.25">
      <c r="A148" s="76" t="s">
        <v>337</v>
      </c>
      <c r="B148" s="238" t="s">
        <v>485</v>
      </c>
      <c r="C148" s="984"/>
      <c r="D148" s="439" t="s">
        <v>485</v>
      </c>
    </row>
    <row r="149" spans="1:4" x14ac:dyDescent="0.25">
      <c r="A149" s="76" t="s">
        <v>337</v>
      </c>
      <c r="B149" s="235" t="s">
        <v>486</v>
      </c>
      <c r="C149" s="908"/>
      <c r="D149" s="436" t="s">
        <v>486</v>
      </c>
    </row>
    <row r="150" spans="1:4" ht="20" x14ac:dyDescent="0.25">
      <c r="A150" s="76" t="s">
        <v>337</v>
      </c>
      <c r="B150" s="245" t="s">
        <v>487</v>
      </c>
      <c r="C150" s="910"/>
      <c r="D150" s="442" t="s">
        <v>487</v>
      </c>
    </row>
    <row r="151" spans="1:4" x14ac:dyDescent="0.25">
      <c r="A151" s="76">
        <v>150</v>
      </c>
      <c r="B151" s="235" t="s">
        <v>488</v>
      </c>
      <c r="C151" s="908"/>
      <c r="D151" s="436" t="s">
        <v>488</v>
      </c>
    </row>
    <row r="152" spans="1:4" x14ac:dyDescent="0.25">
      <c r="A152" s="76">
        <v>151</v>
      </c>
      <c r="B152" s="235" t="s">
        <v>489</v>
      </c>
      <c r="C152" s="908"/>
      <c r="D152" s="436" t="s">
        <v>489</v>
      </c>
    </row>
    <row r="153" spans="1:4" x14ac:dyDescent="0.25">
      <c r="A153" s="76">
        <v>152</v>
      </c>
      <c r="B153" s="235" t="s">
        <v>490</v>
      </c>
      <c r="C153" s="908"/>
      <c r="D153" s="436" t="s">
        <v>490</v>
      </c>
    </row>
    <row r="154" spans="1:4" x14ac:dyDescent="0.25">
      <c r="A154" s="76">
        <v>153</v>
      </c>
      <c r="B154" s="235" t="s">
        <v>491</v>
      </c>
      <c r="C154" s="908"/>
      <c r="D154" s="436" t="s">
        <v>491</v>
      </c>
    </row>
    <row r="155" spans="1:4" x14ac:dyDescent="0.25">
      <c r="A155" s="76">
        <v>154</v>
      </c>
      <c r="B155" s="235" t="s">
        <v>492</v>
      </c>
      <c r="C155" s="908"/>
      <c r="D155" s="436" t="s">
        <v>492</v>
      </c>
    </row>
    <row r="156" spans="1:4" x14ac:dyDescent="0.25">
      <c r="A156" s="76">
        <v>155</v>
      </c>
      <c r="B156" s="235" t="s">
        <v>493</v>
      </c>
      <c r="C156" s="908"/>
      <c r="D156" s="436" t="s">
        <v>493</v>
      </c>
    </row>
    <row r="157" spans="1:4" x14ac:dyDescent="0.25">
      <c r="A157" s="76">
        <v>156</v>
      </c>
      <c r="B157" s="235" t="s">
        <v>494</v>
      </c>
      <c r="C157" s="908"/>
      <c r="D157" s="436" t="s">
        <v>494</v>
      </c>
    </row>
    <row r="158" spans="1:4" ht="25" x14ac:dyDescent="0.25">
      <c r="A158" s="76" t="s">
        <v>337</v>
      </c>
      <c r="B158" s="222" t="s">
        <v>495</v>
      </c>
      <c r="C158" s="907"/>
      <c r="D158" s="435" t="s">
        <v>495</v>
      </c>
    </row>
    <row r="159" spans="1:4" x14ac:dyDescent="0.25">
      <c r="A159" s="76">
        <v>158</v>
      </c>
      <c r="B159" s="235" t="s">
        <v>496</v>
      </c>
      <c r="C159" s="908"/>
      <c r="D159" s="436" t="s">
        <v>496</v>
      </c>
    </row>
    <row r="160" spans="1:4" ht="25" x14ac:dyDescent="0.25">
      <c r="A160" s="76" t="s">
        <v>337</v>
      </c>
      <c r="B160" s="222" t="s">
        <v>497</v>
      </c>
      <c r="C160" s="907"/>
      <c r="D160" s="435" t="s">
        <v>497</v>
      </c>
    </row>
    <row r="161" spans="1:4" ht="30" x14ac:dyDescent="0.25">
      <c r="A161" s="76" t="s">
        <v>337</v>
      </c>
      <c r="B161" s="245" t="s">
        <v>498</v>
      </c>
      <c r="C161" s="910"/>
      <c r="D161" s="442" t="s">
        <v>498</v>
      </c>
    </row>
    <row r="162" spans="1:4" x14ac:dyDescent="0.25">
      <c r="A162" s="76">
        <v>161</v>
      </c>
      <c r="B162" s="223" t="s">
        <v>499</v>
      </c>
      <c r="C162" s="907"/>
      <c r="D162" s="436" t="s">
        <v>499</v>
      </c>
    </row>
    <row r="163" spans="1:4" x14ac:dyDescent="0.25">
      <c r="A163" s="76">
        <v>162</v>
      </c>
      <c r="B163" s="223" t="s">
        <v>500</v>
      </c>
      <c r="C163" s="907"/>
      <c r="D163" s="436" t="s">
        <v>500</v>
      </c>
    </row>
    <row r="164" spans="1:4" x14ac:dyDescent="0.25">
      <c r="A164" s="76">
        <v>163</v>
      </c>
      <c r="B164" s="223" t="s">
        <v>501</v>
      </c>
      <c r="C164" s="907"/>
      <c r="D164" s="436" t="s">
        <v>501</v>
      </c>
    </row>
    <row r="165" spans="1:4" x14ac:dyDescent="0.25">
      <c r="A165" s="76">
        <v>164</v>
      </c>
      <c r="B165" s="223" t="s">
        <v>502</v>
      </c>
      <c r="C165" s="907"/>
      <c r="D165" s="436" t="s">
        <v>502</v>
      </c>
    </row>
    <row r="166" spans="1:4" x14ac:dyDescent="0.25">
      <c r="A166" s="76">
        <v>165</v>
      </c>
      <c r="B166" s="223" t="s">
        <v>503</v>
      </c>
      <c r="C166" s="907"/>
      <c r="D166" s="436" t="s">
        <v>503</v>
      </c>
    </row>
    <row r="167" spans="1:4" x14ac:dyDescent="0.25">
      <c r="A167" s="76">
        <v>166</v>
      </c>
      <c r="B167" s="223" t="s">
        <v>504</v>
      </c>
      <c r="C167" s="907"/>
      <c r="D167" s="436" t="s">
        <v>504</v>
      </c>
    </row>
    <row r="168" spans="1:4" x14ac:dyDescent="0.25">
      <c r="A168" s="76" t="s">
        <v>337</v>
      </c>
      <c r="B168" s="222" t="s">
        <v>505</v>
      </c>
      <c r="C168" s="907"/>
      <c r="D168" s="435" t="s">
        <v>505</v>
      </c>
    </row>
    <row r="169" spans="1:4" ht="18" x14ac:dyDescent="0.25">
      <c r="A169" s="76" t="s">
        <v>337</v>
      </c>
      <c r="B169" s="221" t="s">
        <v>506</v>
      </c>
      <c r="C169" s="908"/>
      <c r="D169" s="434" t="s">
        <v>506</v>
      </c>
    </row>
    <row r="170" spans="1:4" x14ac:dyDescent="0.25">
      <c r="A170" s="76" t="s">
        <v>337</v>
      </c>
      <c r="B170" s="238" t="s">
        <v>507</v>
      </c>
      <c r="C170" s="984"/>
      <c r="D170" s="439" t="s">
        <v>507</v>
      </c>
    </row>
    <row r="171" spans="1:4" x14ac:dyDescent="0.25">
      <c r="A171" s="76" t="s">
        <v>337</v>
      </c>
      <c r="B171" s="232" t="s">
        <v>508</v>
      </c>
      <c r="C171" s="907"/>
      <c r="D171" s="439" t="s">
        <v>508</v>
      </c>
    </row>
    <row r="172" spans="1:4" ht="26" x14ac:dyDescent="0.25">
      <c r="A172" s="76" t="s">
        <v>337</v>
      </c>
      <c r="B172" s="235" t="s">
        <v>509</v>
      </c>
      <c r="C172" s="908"/>
      <c r="D172" s="436" t="s">
        <v>510</v>
      </c>
    </row>
    <row r="173" spans="1:4" ht="40" x14ac:dyDescent="0.25">
      <c r="A173" s="76" t="s">
        <v>337</v>
      </c>
      <c r="B173" s="247" t="s">
        <v>511</v>
      </c>
      <c r="C173" s="913"/>
      <c r="D173" s="442" t="s">
        <v>511</v>
      </c>
    </row>
    <row r="174" spans="1:4" ht="30" x14ac:dyDescent="0.25">
      <c r="A174" s="76" t="s">
        <v>337</v>
      </c>
      <c r="B174" s="247" t="s">
        <v>512</v>
      </c>
      <c r="C174" s="913"/>
      <c r="D174" s="442" t="s">
        <v>512</v>
      </c>
    </row>
    <row r="175" spans="1:4" ht="30" x14ac:dyDescent="0.25">
      <c r="A175" s="76" t="s">
        <v>337</v>
      </c>
      <c r="B175" s="247" t="s">
        <v>513</v>
      </c>
      <c r="C175" s="913"/>
      <c r="D175" s="442" t="s">
        <v>513</v>
      </c>
    </row>
    <row r="176" spans="1:4" ht="30" x14ac:dyDescent="0.25">
      <c r="A176" s="76" t="s">
        <v>337</v>
      </c>
      <c r="B176" s="247" t="s">
        <v>514</v>
      </c>
      <c r="C176" s="913"/>
      <c r="D176" s="442" t="s">
        <v>514</v>
      </c>
    </row>
    <row r="177" spans="1:4" ht="16" thickBot="1" x14ac:dyDescent="0.3">
      <c r="A177" s="76" t="s">
        <v>337</v>
      </c>
      <c r="B177" s="235" t="s">
        <v>515</v>
      </c>
      <c r="C177" s="908"/>
      <c r="D177" s="436" t="s">
        <v>515</v>
      </c>
    </row>
    <row r="178" spans="1:4" ht="32" thickBot="1" x14ac:dyDescent="0.3">
      <c r="A178" s="76" t="s">
        <v>337</v>
      </c>
      <c r="B178" s="248" t="s">
        <v>516</v>
      </c>
      <c r="C178" s="907"/>
      <c r="D178" s="443" t="s">
        <v>516</v>
      </c>
    </row>
    <row r="179" spans="1:4" ht="21.5" thickBot="1" x14ac:dyDescent="0.3">
      <c r="A179" s="76" t="s">
        <v>337</v>
      </c>
      <c r="B179" s="249" t="s">
        <v>517</v>
      </c>
      <c r="C179" s="907"/>
      <c r="D179" s="443" t="s">
        <v>517</v>
      </c>
    </row>
    <row r="180" spans="1:4" ht="21.5" thickBot="1" x14ac:dyDescent="0.3">
      <c r="A180" s="76" t="s">
        <v>337</v>
      </c>
      <c r="B180" s="249" t="s">
        <v>518</v>
      </c>
      <c r="C180" s="907"/>
      <c r="D180" s="443" t="s">
        <v>518</v>
      </c>
    </row>
    <row r="181" spans="1:4" ht="21.5" thickBot="1" x14ac:dyDescent="0.3">
      <c r="A181" s="76" t="s">
        <v>337</v>
      </c>
      <c r="B181" s="249" t="s">
        <v>519</v>
      </c>
      <c r="C181" s="907"/>
      <c r="D181" s="443" t="s">
        <v>519</v>
      </c>
    </row>
    <row r="182" spans="1:4" ht="21.5" thickBot="1" x14ac:dyDescent="0.3">
      <c r="A182" s="76" t="s">
        <v>337</v>
      </c>
      <c r="B182" s="249" t="s">
        <v>520</v>
      </c>
      <c r="C182" s="907"/>
      <c r="D182" s="443" t="s">
        <v>520</v>
      </c>
    </row>
    <row r="183" spans="1:4" ht="16" thickBot="1" x14ac:dyDescent="0.3">
      <c r="A183" s="76" t="s">
        <v>337</v>
      </c>
      <c r="B183" s="249" t="s">
        <v>521</v>
      </c>
      <c r="C183" s="907"/>
      <c r="D183" s="443" t="s">
        <v>521</v>
      </c>
    </row>
    <row r="184" spans="1:4" ht="16" thickBot="1" x14ac:dyDescent="0.3">
      <c r="A184" s="76">
        <v>183</v>
      </c>
      <c r="B184" s="249" t="s">
        <v>85</v>
      </c>
      <c r="C184" s="907"/>
      <c r="D184" s="443" t="s">
        <v>85</v>
      </c>
    </row>
    <row r="185" spans="1:4" ht="16" thickBot="1" x14ac:dyDescent="0.3">
      <c r="A185" s="76" t="s">
        <v>337</v>
      </c>
      <c r="B185" s="249" t="s">
        <v>522</v>
      </c>
      <c r="C185" s="907"/>
      <c r="D185" s="443" t="s">
        <v>522</v>
      </c>
    </row>
    <row r="186" spans="1:4" ht="31.5" x14ac:dyDescent="0.25">
      <c r="A186" s="76" t="s">
        <v>337</v>
      </c>
      <c r="B186" s="250" t="s">
        <v>523</v>
      </c>
      <c r="C186" s="908"/>
      <c r="D186" s="443" t="s">
        <v>523</v>
      </c>
    </row>
    <row r="187" spans="1:4" x14ac:dyDescent="0.25">
      <c r="A187" s="76" t="s">
        <v>337</v>
      </c>
      <c r="B187" s="251" t="s">
        <v>524</v>
      </c>
      <c r="C187" s="908"/>
      <c r="D187" s="447" t="s">
        <v>524</v>
      </c>
    </row>
    <row r="188" spans="1:4" x14ac:dyDescent="0.25">
      <c r="A188" s="76" t="s">
        <v>337</v>
      </c>
      <c r="B188" s="235" t="s">
        <v>525</v>
      </c>
      <c r="C188" s="908"/>
      <c r="D188" s="436" t="s">
        <v>525</v>
      </c>
    </row>
    <row r="189" spans="1:4" ht="20.5" thickBot="1" x14ac:dyDescent="0.3">
      <c r="A189" s="76" t="s">
        <v>337</v>
      </c>
      <c r="B189" s="252" t="s">
        <v>526</v>
      </c>
      <c r="C189" s="913"/>
      <c r="D189" s="442" t="s">
        <v>526</v>
      </c>
    </row>
    <row r="190" spans="1:4" ht="21.5" thickBot="1" x14ac:dyDescent="0.3">
      <c r="A190" s="76" t="s">
        <v>337</v>
      </c>
      <c r="B190" s="249" t="s">
        <v>527</v>
      </c>
      <c r="C190" s="907"/>
      <c r="D190" s="443" t="s">
        <v>527</v>
      </c>
    </row>
    <row r="191" spans="1:4" x14ac:dyDescent="0.25">
      <c r="A191" s="76" t="s">
        <v>337</v>
      </c>
      <c r="B191" s="222" t="s">
        <v>528</v>
      </c>
      <c r="C191" s="907"/>
      <c r="D191" s="435" t="s">
        <v>528</v>
      </c>
    </row>
    <row r="192" spans="1:4" ht="26" x14ac:dyDescent="0.25">
      <c r="A192" s="76" t="s">
        <v>337</v>
      </c>
      <c r="B192" s="235" t="s">
        <v>529</v>
      </c>
      <c r="C192" s="908"/>
      <c r="D192" s="436" t="s">
        <v>530</v>
      </c>
    </row>
    <row r="193" spans="1:4" ht="20.5" thickBot="1" x14ac:dyDescent="0.3">
      <c r="A193" s="76" t="s">
        <v>337</v>
      </c>
      <c r="B193" s="245" t="s">
        <v>531</v>
      </c>
      <c r="C193" s="910"/>
      <c r="D193" s="442" t="s">
        <v>532</v>
      </c>
    </row>
    <row r="194" spans="1:4" ht="16" thickBot="1" x14ac:dyDescent="0.3">
      <c r="A194" s="76" t="s">
        <v>337</v>
      </c>
      <c r="B194" s="253" t="s">
        <v>533</v>
      </c>
      <c r="C194" s="907"/>
      <c r="D194" s="447" t="s">
        <v>533</v>
      </c>
    </row>
    <row r="195" spans="1:4" ht="16" thickBot="1" x14ac:dyDescent="0.3">
      <c r="A195" s="76" t="s">
        <v>337</v>
      </c>
      <c r="B195" s="254" t="s">
        <v>534</v>
      </c>
      <c r="C195" s="907"/>
      <c r="D195" s="447" t="s">
        <v>534</v>
      </c>
    </row>
    <row r="196" spans="1:4" ht="38" thickBot="1" x14ac:dyDescent="0.3">
      <c r="A196" s="76" t="s">
        <v>337</v>
      </c>
      <c r="B196" s="222" t="s">
        <v>535</v>
      </c>
      <c r="C196" s="907"/>
      <c r="D196" s="435" t="s">
        <v>535</v>
      </c>
    </row>
    <row r="197" spans="1:4" ht="16" thickBot="1" x14ac:dyDescent="0.3">
      <c r="A197" s="76" t="s">
        <v>337</v>
      </c>
      <c r="B197" s="253" t="s">
        <v>536</v>
      </c>
      <c r="C197" s="907"/>
      <c r="D197" s="447" t="s">
        <v>536</v>
      </c>
    </row>
    <row r="198" spans="1:4" ht="16" thickBot="1" x14ac:dyDescent="0.3">
      <c r="A198" s="76" t="s">
        <v>337</v>
      </c>
      <c r="B198" s="254" t="s">
        <v>537</v>
      </c>
      <c r="C198" s="907"/>
      <c r="D198" s="447" t="s">
        <v>537</v>
      </c>
    </row>
    <row r="199" spans="1:4" ht="16" thickBot="1" x14ac:dyDescent="0.3">
      <c r="A199" s="76" t="s">
        <v>337</v>
      </c>
      <c r="B199" s="254" t="s">
        <v>538</v>
      </c>
      <c r="C199" s="907"/>
      <c r="D199" s="447" t="s">
        <v>538</v>
      </c>
    </row>
    <row r="200" spans="1:4" ht="16" thickBot="1" x14ac:dyDescent="0.3">
      <c r="A200" s="76" t="s">
        <v>337</v>
      </c>
      <c r="B200" s="254" t="s">
        <v>539</v>
      </c>
      <c r="C200" s="907"/>
      <c r="D200" s="447" t="s">
        <v>539</v>
      </c>
    </row>
    <row r="201" spans="1:4" ht="26" x14ac:dyDescent="0.25">
      <c r="A201" s="76" t="s">
        <v>337</v>
      </c>
      <c r="B201" s="235" t="s">
        <v>540</v>
      </c>
      <c r="C201" s="908"/>
      <c r="D201" s="436" t="s">
        <v>541</v>
      </c>
    </row>
    <row r="202" spans="1:4" ht="30.5" thickBot="1" x14ac:dyDescent="0.3">
      <c r="A202" s="76" t="s">
        <v>337</v>
      </c>
      <c r="B202" s="255" t="s">
        <v>542</v>
      </c>
      <c r="C202" s="910"/>
      <c r="D202" s="442" t="s">
        <v>543</v>
      </c>
    </row>
    <row r="203" spans="1:4" ht="26" x14ac:dyDescent="0.25">
      <c r="A203" s="76" t="s">
        <v>337</v>
      </c>
      <c r="B203" s="235" t="s">
        <v>544</v>
      </c>
      <c r="C203" s="908"/>
      <c r="D203" s="436" t="s">
        <v>544</v>
      </c>
    </row>
    <row r="204" spans="1:4" ht="30.5" thickBot="1" x14ac:dyDescent="0.3">
      <c r="A204" s="76" t="s">
        <v>337</v>
      </c>
      <c r="B204" s="255" t="s">
        <v>545</v>
      </c>
      <c r="C204" s="910"/>
      <c r="D204" s="442" t="s">
        <v>546</v>
      </c>
    </row>
    <row r="205" spans="1:4" ht="28" x14ac:dyDescent="0.25">
      <c r="A205" s="76" t="s">
        <v>337</v>
      </c>
      <c r="B205" s="235" t="s">
        <v>547</v>
      </c>
      <c r="C205" s="908"/>
      <c r="D205" s="436" t="s">
        <v>548</v>
      </c>
    </row>
    <row r="206" spans="1:4" x14ac:dyDescent="0.25">
      <c r="A206" s="76" t="s">
        <v>337</v>
      </c>
      <c r="B206" s="247" t="s">
        <v>549</v>
      </c>
      <c r="C206" s="913"/>
      <c r="D206" s="442" t="s">
        <v>549</v>
      </c>
    </row>
    <row r="207" spans="1:4" x14ac:dyDescent="0.25">
      <c r="A207" s="76" t="s">
        <v>337</v>
      </c>
      <c r="B207" s="244" t="s">
        <v>550</v>
      </c>
      <c r="C207" s="907"/>
      <c r="D207" s="443" t="s">
        <v>551</v>
      </c>
    </row>
    <row r="208" spans="1:4" x14ac:dyDescent="0.25">
      <c r="A208" s="76" t="s">
        <v>337</v>
      </c>
      <c r="B208" s="238" t="s">
        <v>552</v>
      </c>
      <c r="C208" s="984"/>
      <c r="D208" s="439" t="s">
        <v>552</v>
      </c>
    </row>
    <row r="209" spans="1:4" ht="41" x14ac:dyDescent="0.25">
      <c r="A209" s="76" t="s">
        <v>337</v>
      </c>
      <c r="B209" s="223" t="s">
        <v>553</v>
      </c>
      <c r="C209" s="907"/>
      <c r="D209" s="436" t="s">
        <v>554</v>
      </c>
    </row>
    <row r="210" spans="1:4" ht="30" x14ac:dyDescent="0.25">
      <c r="A210" s="76" t="s">
        <v>337</v>
      </c>
      <c r="B210" s="247" t="s">
        <v>555</v>
      </c>
      <c r="C210" s="913"/>
      <c r="D210" s="442" t="s">
        <v>555</v>
      </c>
    </row>
    <row r="211" spans="1:4" x14ac:dyDescent="0.25">
      <c r="A211" s="76" t="s">
        <v>337</v>
      </c>
      <c r="B211" s="222" t="s">
        <v>556</v>
      </c>
      <c r="C211" s="907"/>
      <c r="D211" s="435" t="s">
        <v>556</v>
      </c>
    </row>
    <row r="212" spans="1:4" ht="26" x14ac:dyDescent="0.25">
      <c r="A212" s="76" t="s">
        <v>337</v>
      </c>
      <c r="B212" s="223" t="s">
        <v>557</v>
      </c>
      <c r="C212" s="907"/>
      <c r="D212" s="436" t="s">
        <v>557</v>
      </c>
    </row>
    <row r="213" spans="1:4" ht="39" x14ac:dyDescent="0.25">
      <c r="A213" s="76" t="s">
        <v>337</v>
      </c>
      <c r="B213" s="223" t="s">
        <v>558</v>
      </c>
      <c r="C213" s="907"/>
      <c r="D213" s="436" t="s">
        <v>558</v>
      </c>
    </row>
    <row r="214" spans="1:4" ht="33.5" thickBot="1" x14ac:dyDescent="0.3">
      <c r="A214" s="76" t="s">
        <v>337</v>
      </c>
      <c r="B214" s="256" t="s">
        <v>559</v>
      </c>
      <c r="C214" s="913"/>
      <c r="D214" s="442" t="s">
        <v>560</v>
      </c>
    </row>
    <row r="215" spans="1:4" x14ac:dyDescent="0.25">
      <c r="A215" s="76" t="s">
        <v>337</v>
      </c>
      <c r="B215" s="222" t="s">
        <v>561</v>
      </c>
      <c r="C215" s="907"/>
      <c r="D215" s="435" t="s">
        <v>561</v>
      </c>
    </row>
    <row r="216" spans="1:4" ht="20" x14ac:dyDescent="0.25">
      <c r="A216" s="76" t="s">
        <v>337</v>
      </c>
      <c r="B216" s="228" t="s">
        <v>562</v>
      </c>
      <c r="C216" s="907"/>
      <c r="D216" s="434" t="s">
        <v>563</v>
      </c>
    </row>
    <row r="217" spans="1:4" x14ac:dyDescent="0.25">
      <c r="A217" s="76" t="s">
        <v>337</v>
      </c>
      <c r="B217" s="222" t="s">
        <v>564</v>
      </c>
      <c r="C217" s="907"/>
      <c r="D217" s="435" t="s">
        <v>564</v>
      </c>
    </row>
    <row r="218" spans="1:4" x14ac:dyDescent="0.25">
      <c r="A218" s="76" t="s">
        <v>337</v>
      </c>
      <c r="B218" s="223" t="s">
        <v>565</v>
      </c>
      <c r="C218" s="907"/>
      <c r="D218" s="436" t="s">
        <v>566</v>
      </c>
    </row>
    <row r="219" spans="1:4" ht="30" x14ac:dyDescent="0.25">
      <c r="A219" s="76" t="s">
        <v>337</v>
      </c>
      <c r="B219" s="245" t="s">
        <v>567</v>
      </c>
      <c r="C219" s="910"/>
      <c r="D219" s="442" t="s">
        <v>567</v>
      </c>
    </row>
    <row r="220" spans="1:4" x14ac:dyDescent="0.25">
      <c r="A220" s="76">
        <v>219</v>
      </c>
      <c r="B220" s="222" t="s">
        <v>568</v>
      </c>
      <c r="C220" s="907"/>
      <c r="D220" s="435" t="s">
        <v>568</v>
      </c>
    </row>
    <row r="221" spans="1:4" ht="37.5" x14ac:dyDescent="0.25">
      <c r="A221" s="76" t="s">
        <v>337</v>
      </c>
      <c r="B221" s="222" t="s">
        <v>569</v>
      </c>
      <c r="C221" s="907"/>
      <c r="D221" s="435" t="s">
        <v>569</v>
      </c>
    </row>
    <row r="222" spans="1:4" x14ac:dyDescent="0.25">
      <c r="A222" s="76">
        <v>221</v>
      </c>
      <c r="B222" s="222" t="s">
        <v>570</v>
      </c>
      <c r="C222" s="907"/>
      <c r="D222" s="435" t="s">
        <v>570</v>
      </c>
    </row>
    <row r="223" spans="1:4" ht="38" thickBot="1" x14ac:dyDescent="0.3">
      <c r="A223" s="76" t="s">
        <v>337</v>
      </c>
      <c r="B223" s="222" t="s">
        <v>571</v>
      </c>
      <c r="C223" s="907"/>
      <c r="D223" s="435" t="s">
        <v>571</v>
      </c>
    </row>
    <row r="224" spans="1:4" ht="16" thickBot="1" x14ac:dyDescent="0.3">
      <c r="A224" s="76" t="s">
        <v>337</v>
      </c>
      <c r="B224" s="248" t="s">
        <v>572</v>
      </c>
      <c r="C224" s="907"/>
      <c r="D224" s="443" t="s">
        <v>572</v>
      </c>
    </row>
    <row r="225" spans="1:4" ht="16" thickBot="1" x14ac:dyDescent="0.3">
      <c r="A225" s="76" t="s">
        <v>337</v>
      </c>
      <c r="B225" s="249" t="s">
        <v>573</v>
      </c>
      <c r="C225" s="907"/>
      <c r="D225" s="443" t="s">
        <v>573</v>
      </c>
    </row>
    <row r="226" spans="1:4" ht="16" thickBot="1" x14ac:dyDescent="0.3">
      <c r="A226" s="76" t="s">
        <v>337</v>
      </c>
      <c r="B226" s="249" t="s">
        <v>574</v>
      </c>
      <c r="C226" s="907"/>
      <c r="D226" s="443" t="s">
        <v>574</v>
      </c>
    </row>
    <row r="227" spans="1:4" ht="16" thickBot="1" x14ac:dyDescent="0.3">
      <c r="A227" s="76" t="s">
        <v>337</v>
      </c>
      <c r="B227" s="249" t="s">
        <v>575</v>
      </c>
      <c r="C227" s="907"/>
      <c r="D227" s="443" t="s">
        <v>575</v>
      </c>
    </row>
    <row r="228" spans="1:4" x14ac:dyDescent="0.25">
      <c r="A228" s="76" t="s">
        <v>337</v>
      </c>
      <c r="B228" s="244" t="s">
        <v>576</v>
      </c>
      <c r="C228" s="907"/>
      <c r="D228" s="443" t="s">
        <v>576</v>
      </c>
    </row>
    <row r="229" spans="1:4" ht="26" x14ac:dyDescent="0.25">
      <c r="A229" s="76" t="s">
        <v>337</v>
      </c>
      <c r="B229" s="223" t="s">
        <v>577</v>
      </c>
      <c r="C229" s="907"/>
      <c r="D229" s="436" t="s">
        <v>578</v>
      </c>
    </row>
    <row r="230" spans="1:4" ht="50" x14ac:dyDescent="0.25">
      <c r="A230" s="76" t="s">
        <v>337</v>
      </c>
      <c r="B230" s="222" t="s">
        <v>579</v>
      </c>
      <c r="C230" s="907"/>
      <c r="D230" s="435" t="s">
        <v>579</v>
      </c>
    </row>
    <row r="231" spans="1:4" ht="26" x14ac:dyDescent="0.25">
      <c r="A231" s="76" t="s">
        <v>337</v>
      </c>
      <c r="B231" s="235" t="s">
        <v>580</v>
      </c>
      <c r="C231" s="908"/>
      <c r="D231" s="436" t="s">
        <v>581</v>
      </c>
    </row>
    <row r="232" spans="1:4" ht="40.5" thickBot="1" x14ac:dyDescent="0.3">
      <c r="A232" s="76" t="s">
        <v>337</v>
      </c>
      <c r="B232" s="257" t="s">
        <v>582</v>
      </c>
      <c r="C232" s="910"/>
      <c r="D232" s="442" t="s">
        <v>582</v>
      </c>
    </row>
    <row r="233" spans="1:4" ht="16" thickBot="1" x14ac:dyDescent="0.3">
      <c r="A233" s="76" t="s">
        <v>337</v>
      </c>
      <c r="B233" s="258" t="s">
        <v>583</v>
      </c>
      <c r="C233" s="907"/>
      <c r="D233" s="448" t="s">
        <v>584</v>
      </c>
    </row>
    <row r="234" spans="1:4" ht="26" x14ac:dyDescent="0.25">
      <c r="A234" s="76" t="s">
        <v>337</v>
      </c>
      <c r="B234" s="223" t="s">
        <v>585</v>
      </c>
      <c r="C234" s="907"/>
      <c r="D234" s="436" t="s">
        <v>585</v>
      </c>
    </row>
    <row r="235" spans="1:4" ht="20" x14ac:dyDescent="0.25">
      <c r="A235" s="76" t="s">
        <v>337</v>
      </c>
      <c r="B235" s="245" t="s">
        <v>586</v>
      </c>
      <c r="C235" s="910"/>
      <c r="D235" s="442" t="s">
        <v>586</v>
      </c>
    </row>
    <row r="236" spans="1:4" ht="26" x14ac:dyDescent="0.25">
      <c r="A236" s="76" t="s">
        <v>337</v>
      </c>
      <c r="B236" s="223" t="s">
        <v>587</v>
      </c>
      <c r="C236" s="907"/>
      <c r="D236" s="436" t="s">
        <v>587</v>
      </c>
    </row>
    <row r="237" spans="1:4" ht="20.5" thickBot="1" x14ac:dyDescent="0.3">
      <c r="A237" s="76" t="s">
        <v>337</v>
      </c>
      <c r="B237" s="245" t="s">
        <v>588</v>
      </c>
      <c r="C237" s="910"/>
      <c r="D237" s="442" t="s">
        <v>588</v>
      </c>
    </row>
    <row r="238" spans="1:4" ht="16" thickBot="1" x14ac:dyDescent="0.3">
      <c r="A238" s="76" t="s">
        <v>337</v>
      </c>
      <c r="B238" s="248" t="s">
        <v>589</v>
      </c>
      <c r="C238" s="907"/>
      <c r="D238" s="443" t="s">
        <v>589</v>
      </c>
    </row>
    <row r="239" spans="1:4" ht="16" thickBot="1" x14ac:dyDescent="0.3">
      <c r="A239" s="76" t="s">
        <v>337</v>
      </c>
      <c r="B239" s="249" t="s">
        <v>590</v>
      </c>
      <c r="C239" s="907"/>
      <c r="D239" s="443" t="s">
        <v>590</v>
      </c>
    </row>
    <row r="240" spans="1:4" ht="16" thickBot="1" x14ac:dyDescent="0.3">
      <c r="A240" s="76" t="s">
        <v>337</v>
      </c>
      <c r="B240" s="249" t="s">
        <v>591</v>
      </c>
      <c r="C240" s="907"/>
      <c r="D240" s="443" t="s">
        <v>591</v>
      </c>
    </row>
    <row r="241" spans="1:4" ht="16" thickBot="1" x14ac:dyDescent="0.3">
      <c r="A241" s="76" t="s">
        <v>337</v>
      </c>
      <c r="B241" s="249" t="s">
        <v>592</v>
      </c>
      <c r="C241" s="907"/>
      <c r="D241" s="443" t="s">
        <v>592</v>
      </c>
    </row>
    <row r="242" spans="1:4" x14ac:dyDescent="0.25">
      <c r="A242" s="76" t="s">
        <v>337</v>
      </c>
      <c r="B242" s="244" t="s">
        <v>593</v>
      </c>
      <c r="C242" s="907"/>
      <c r="D242" s="443" t="s">
        <v>593</v>
      </c>
    </row>
    <row r="243" spans="1:4" ht="26" x14ac:dyDescent="0.25">
      <c r="A243" s="76" t="s">
        <v>337</v>
      </c>
      <c r="B243" s="223" t="s">
        <v>594</v>
      </c>
      <c r="C243" s="907"/>
      <c r="D243" s="436" t="s">
        <v>594</v>
      </c>
    </row>
    <row r="244" spans="1:4" ht="20" x14ac:dyDescent="0.25">
      <c r="A244" s="76" t="s">
        <v>337</v>
      </c>
      <c r="B244" s="245" t="s">
        <v>595</v>
      </c>
      <c r="C244" s="910"/>
      <c r="D244" s="442" t="s">
        <v>595</v>
      </c>
    </row>
    <row r="245" spans="1:4" ht="26" x14ac:dyDescent="0.25">
      <c r="A245" s="76" t="s">
        <v>337</v>
      </c>
      <c r="B245" s="223" t="s">
        <v>596</v>
      </c>
      <c r="C245" s="907"/>
      <c r="D245" s="436" t="s">
        <v>597</v>
      </c>
    </row>
    <row r="246" spans="1:4" ht="40.5" thickBot="1" x14ac:dyDescent="0.3">
      <c r="A246" s="76" t="s">
        <v>337</v>
      </c>
      <c r="B246" s="255" t="s">
        <v>598</v>
      </c>
      <c r="C246" s="910"/>
      <c r="D246" s="442" t="s">
        <v>598</v>
      </c>
    </row>
    <row r="247" spans="1:4" ht="16" thickBot="1" x14ac:dyDescent="0.3">
      <c r="A247" s="76" t="s">
        <v>337</v>
      </c>
      <c r="B247" s="249" t="s">
        <v>599</v>
      </c>
      <c r="C247" s="907"/>
      <c r="D247" s="443" t="s">
        <v>599</v>
      </c>
    </row>
    <row r="248" spans="1:4" ht="16" thickBot="1" x14ac:dyDescent="0.3">
      <c r="A248" s="76" t="s">
        <v>337</v>
      </c>
      <c r="B248" s="249" t="s">
        <v>600</v>
      </c>
      <c r="C248" s="907"/>
      <c r="D248" s="443" t="s">
        <v>600</v>
      </c>
    </row>
    <row r="249" spans="1:4" ht="16" thickBot="1" x14ac:dyDescent="0.3">
      <c r="A249" s="76" t="s">
        <v>337</v>
      </c>
      <c r="B249" s="249" t="s">
        <v>601</v>
      </c>
      <c r="C249" s="907"/>
      <c r="D249" s="443" t="s">
        <v>601</v>
      </c>
    </row>
    <row r="250" spans="1:4" x14ac:dyDescent="0.25">
      <c r="A250" s="76" t="s">
        <v>337</v>
      </c>
      <c r="B250" s="238" t="s">
        <v>602</v>
      </c>
      <c r="C250" s="984"/>
      <c r="D250" s="439" t="s">
        <v>602</v>
      </c>
    </row>
    <row r="251" spans="1:4" ht="39" x14ac:dyDescent="0.25">
      <c r="A251" s="76" t="s">
        <v>337</v>
      </c>
      <c r="B251" s="223" t="s">
        <v>603</v>
      </c>
      <c r="C251" s="907"/>
      <c r="D251" s="436" t="s">
        <v>604</v>
      </c>
    </row>
    <row r="252" spans="1:4" ht="60.5" thickBot="1" x14ac:dyDescent="0.3">
      <c r="A252" s="76" t="s">
        <v>337</v>
      </c>
      <c r="B252" s="245" t="s">
        <v>605</v>
      </c>
      <c r="C252" s="910"/>
      <c r="D252" s="442" t="s">
        <v>605</v>
      </c>
    </row>
    <row r="253" spans="1:4" ht="16" thickBot="1" x14ac:dyDescent="0.3">
      <c r="A253" s="76" t="s">
        <v>337</v>
      </c>
      <c r="B253" s="259" t="s">
        <v>606</v>
      </c>
      <c r="C253" s="907"/>
      <c r="D253" s="443" t="s">
        <v>606</v>
      </c>
    </row>
    <row r="254" spans="1:4" ht="21.5" thickBot="1" x14ac:dyDescent="0.3">
      <c r="A254" s="76" t="s">
        <v>337</v>
      </c>
      <c r="B254" s="259" t="s">
        <v>607</v>
      </c>
      <c r="C254" s="907"/>
      <c r="D254" s="443" t="s">
        <v>607</v>
      </c>
    </row>
    <row r="255" spans="1:4" ht="16" thickBot="1" x14ac:dyDescent="0.3">
      <c r="A255" s="76" t="s">
        <v>337</v>
      </c>
      <c r="B255" s="248" t="s">
        <v>608</v>
      </c>
      <c r="C255" s="907"/>
      <c r="D255" s="443" t="s">
        <v>608</v>
      </c>
    </row>
    <row r="256" spans="1:4" ht="32" thickBot="1" x14ac:dyDescent="0.3">
      <c r="A256" s="76" t="s">
        <v>337</v>
      </c>
      <c r="B256" s="249" t="s">
        <v>609</v>
      </c>
      <c r="C256" s="907"/>
      <c r="D256" s="443" t="s">
        <v>609</v>
      </c>
    </row>
    <row r="257" spans="1:4" ht="16" thickBot="1" x14ac:dyDescent="0.3">
      <c r="A257" s="76" t="s">
        <v>337</v>
      </c>
      <c r="B257" s="249" t="s">
        <v>610</v>
      </c>
      <c r="C257" s="907"/>
      <c r="D257" s="443" t="s">
        <v>610</v>
      </c>
    </row>
    <row r="258" spans="1:4" ht="26" x14ac:dyDescent="0.25">
      <c r="A258" s="76" t="s">
        <v>337</v>
      </c>
      <c r="B258" s="235" t="s">
        <v>611</v>
      </c>
      <c r="C258" s="908"/>
      <c r="D258" s="436" t="s">
        <v>611</v>
      </c>
    </row>
    <row r="259" spans="1:4" ht="30.5" thickBot="1" x14ac:dyDescent="0.3">
      <c r="A259" s="76" t="s">
        <v>337</v>
      </c>
      <c r="B259" s="255" t="s">
        <v>612</v>
      </c>
      <c r="C259" s="910"/>
      <c r="D259" s="442" t="s">
        <v>612</v>
      </c>
    </row>
    <row r="260" spans="1:4" ht="16" thickBot="1" x14ac:dyDescent="0.3">
      <c r="A260" s="76" t="s">
        <v>337</v>
      </c>
      <c r="B260" s="241" t="s">
        <v>613</v>
      </c>
      <c r="C260" s="908"/>
      <c r="D260" s="443" t="s">
        <v>613</v>
      </c>
    </row>
    <row r="261" spans="1:4" ht="16" thickBot="1" x14ac:dyDescent="0.3">
      <c r="A261" s="76" t="s">
        <v>337</v>
      </c>
      <c r="B261" s="241" t="s">
        <v>614</v>
      </c>
      <c r="C261" s="908"/>
      <c r="D261" s="443" t="s">
        <v>614</v>
      </c>
    </row>
    <row r="262" spans="1:4" ht="16" thickBot="1" x14ac:dyDescent="0.3">
      <c r="A262" s="76" t="s">
        <v>337</v>
      </c>
      <c r="B262" s="241" t="s">
        <v>615</v>
      </c>
      <c r="C262" s="908"/>
      <c r="D262" s="443" t="s">
        <v>615</v>
      </c>
    </row>
    <row r="263" spans="1:4" ht="26" x14ac:dyDescent="0.25">
      <c r="A263" s="76" t="s">
        <v>337</v>
      </c>
      <c r="B263" s="235" t="s">
        <v>616</v>
      </c>
      <c r="C263" s="908"/>
      <c r="D263" s="436" t="s">
        <v>616</v>
      </c>
    </row>
    <row r="264" spans="1:4" ht="33" x14ac:dyDescent="0.25">
      <c r="A264" s="76" t="s">
        <v>337</v>
      </c>
      <c r="B264" s="247" t="s">
        <v>617</v>
      </c>
      <c r="C264" s="913"/>
      <c r="D264" s="442" t="s">
        <v>618</v>
      </c>
    </row>
    <row r="265" spans="1:4" ht="30.5" thickBot="1" x14ac:dyDescent="0.3">
      <c r="A265" s="76" t="s">
        <v>337</v>
      </c>
      <c r="B265" s="247" t="s">
        <v>619</v>
      </c>
      <c r="C265" s="913"/>
      <c r="D265" s="442" t="s">
        <v>619</v>
      </c>
    </row>
    <row r="266" spans="1:4" ht="16" thickBot="1" x14ac:dyDescent="0.3">
      <c r="A266" s="76" t="s">
        <v>337</v>
      </c>
      <c r="B266" s="248" t="s">
        <v>620</v>
      </c>
      <c r="C266" s="907"/>
      <c r="D266" s="443" t="s">
        <v>620</v>
      </c>
    </row>
    <row r="267" spans="1:4" ht="16" thickBot="1" x14ac:dyDescent="0.3">
      <c r="A267" s="76" t="s">
        <v>337</v>
      </c>
      <c r="B267" s="249" t="s">
        <v>621</v>
      </c>
      <c r="C267" s="907"/>
      <c r="D267" s="443" t="s">
        <v>622</v>
      </c>
    </row>
    <row r="268" spans="1:4" ht="16" thickBot="1" x14ac:dyDescent="0.3">
      <c r="A268" s="76" t="s">
        <v>337</v>
      </c>
      <c r="B268" s="249" t="s">
        <v>623</v>
      </c>
      <c r="C268" s="907"/>
      <c r="D268" s="443" t="s">
        <v>624</v>
      </c>
    </row>
    <row r="269" spans="1:4" ht="16" thickBot="1" x14ac:dyDescent="0.3">
      <c r="A269" s="76" t="s">
        <v>337</v>
      </c>
      <c r="B269" s="249" t="s">
        <v>625</v>
      </c>
      <c r="C269" s="907"/>
      <c r="D269" s="443" t="s">
        <v>625</v>
      </c>
    </row>
    <row r="270" spans="1:4" ht="16" thickBot="1" x14ac:dyDescent="0.3">
      <c r="A270" s="76" t="s">
        <v>337</v>
      </c>
      <c r="B270" s="249" t="s">
        <v>626</v>
      </c>
      <c r="C270" s="907"/>
      <c r="D270" s="443" t="s">
        <v>626</v>
      </c>
    </row>
    <row r="271" spans="1:4" ht="16" thickBot="1" x14ac:dyDescent="0.3">
      <c r="A271" s="76" t="s">
        <v>337</v>
      </c>
      <c r="B271" s="249" t="s">
        <v>627</v>
      </c>
      <c r="C271" s="907"/>
      <c r="D271" s="443" t="s">
        <v>627</v>
      </c>
    </row>
    <row r="272" spans="1:4" ht="16" thickBot="1" x14ac:dyDescent="0.3">
      <c r="A272" s="76" t="s">
        <v>337</v>
      </c>
      <c r="B272" s="249" t="s">
        <v>628</v>
      </c>
      <c r="C272" s="907"/>
      <c r="D272" s="443" t="s">
        <v>628</v>
      </c>
    </row>
    <row r="273" spans="1:4" ht="16" thickBot="1" x14ac:dyDescent="0.3">
      <c r="A273" s="76">
        <v>272</v>
      </c>
      <c r="B273" s="254" t="s">
        <v>70</v>
      </c>
      <c r="C273" s="907"/>
      <c r="D273" s="447" t="s">
        <v>70</v>
      </c>
    </row>
    <row r="274" spans="1:4" ht="16" thickBot="1" x14ac:dyDescent="0.3">
      <c r="A274" s="76">
        <v>273</v>
      </c>
      <c r="B274" s="254" t="s">
        <v>71</v>
      </c>
      <c r="C274" s="907"/>
      <c r="D274" s="447" t="s">
        <v>71</v>
      </c>
    </row>
    <row r="275" spans="1:4" ht="16" thickBot="1" x14ac:dyDescent="0.3">
      <c r="A275" s="76">
        <v>274</v>
      </c>
      <c r="B275" s="254" t="s">
        <v>72</v>
      </c>
      <c r="C275" s="907"/>
      <c r="D275" s="447" t="s">
        <v>72</v>
      </c>
    </row>
    <row r="276" spans="1:4" ht="16" thickBot="1" x14ac:dyDescent="0.3">
      <c r="A276" s="76" t="s">
        <v>337</v>
      </c>
      <c r="B276" s="249" t="s">
        <v>629</v>
      </c>
      <c r="C276" s="907"/>
      <c r="D276" s="443" t="s">
        <v>629</v>
      </c>
    </row>
    <row r="277" spans="1:4" x14ac:dyDescent="0.25">
      <c r="A277" s="76" t="s">
        <v>337</v>
      </c>
      <c r="B277" s="399" t="s">
        <v>630</v>
      </c>
      <c r="C277" s="907"/>
      <c r="D277" s="443" t="s">
        <v>630</v>
      </c>
    </row>
    <row r="278" spans="1:4" ht="16" thickBot="1" x14ac:dyDescent="0.3">
      <c r="A278" s="76" t="s">
        <v>337</v>
      </c>
      <c r="B278" s="260" t="s">
        <v>631</v>
      </c>
      <c r="C278" s="907"/>
      <c r="D278" s="435" t="s">
        <v>631</v>
      </c>
    </row>
    <row r="279" spans="1:4" ht="16" thickBot="1" x14ac:dyDescent="0.3">
      <c r="A279" s="76" t="s">
        <v>337</v>
      </c>
      <c r="B279" s="222" t="s">
        <v>632</v>
      </c>
      <c r="C279" s="907"/>
      <c r="D279" s="435" t="s">
        <v>632</v>
      </c>
    </row>
    <row r="280" spans="1:4" ht="16" thickBot="1" x14ac:dyDescent="0.3">
      <c r="A280" s="76" t="s">
        <v>337</v>
      </c>
      <c r="B280" s="261" t="s">
        <v>633</v>
      </c>
      <c r="C280" s="907"/>
      <c r="D280" s="435" t="s">
        <v>633</v>
      </c>
    </row>
    <row r="281" spans="1:4" ht="26" x14ac:dyDescent="0.25">
      <c r="A281" s="76" t="s">
        <v>337</v>
      </c>
      <c r="B281" s="223" t="s">
        <v>634</v>
      </c>
      <c r="C281" s="907"/>
      <c r="D281" s="436" t="s">
        <v>634</v>
      </c>
    </row>
    <row r="282" spans="1:4" x14ac:dyDescent="0.25">
      <c r="A282" s="76" t="s">
        <v>337</v>
      </c>
      <c r="B282" s="245" t="s">
        <v>635</v>
      </c>
      <c r="C282" s="910"/>
      <c r="D282" s="442" t="s">
        <v>635</v>
      </c>
    </row>
    <row r="283" spans="1:4" x14ac:dyDescent="0.25">
      <c r="A283" s="76" t="s">
        <v>337</v>
      </c>
      <c r="B283" s="245" t="s">
        <v>636</v>
      </c>
      <c r="C283" s="910"/>
      <c r="D283" s="442" t="s">
        <v>636</v>
      </c>
    </row>
    <row r="284" spans="1:4" ht="39" x14ac:dyDescent="0.25">
      <c r="A284" s="76" t="s">
        <v>337</v>
      </c>
      <c r="B284" s="223" t="s">
        <v>637</v>
      </c>
      <c r="C284" s="907"/>
      <c r="D284" s="436" t="s">
        <v>637</v>
      </c>
    </row>
    <row r="285" spans="1:4" ht="40.5" thickBot="1" x14ac:dyDescent="0.3">
      <c r="A285" s="76" t="s">
        <v>337</v>
      </c>
      <c r="B285" s="255" t="s">
        <v>638</v>
      </c>
      <c r="C285" s="910"/>
      <c r="D285" s="442" t="s">
        <v>638</v>
      </c>
    </row>
    <row r="286" spans="1:4" ht="39" x14ac:dyDescent="0.25">
      <c r="A286" s="76" t="s">
        <v>337</v>
      </c>
      <c r="B286" s="223" t="s">
        <v>639</v>
      </c>
      <c r="C286" s="907"/>
      <c r="D286" s="436" t="s">
        <v>639</v>
      </c>
    </row>
    <row r="287" spans="1:4" ht="16" thickBot="1" x14ac:dyDescent="0.3">
      <c r="A287" s="76" t="s">
        <v>337</v>
      </c>
      <c r="B287" s="255" t="s">
        <v>640</v>
      </c>
      <c r="C287" s="910"/>
      <c r="D287" s="442" t="s">
        <v>640</v>
      </c>
    </row>
    <row r="288" spans="1:4" ht="26.5" thickBot="1" x14ac:dyDescent="0.3">
      <c r="A288" s="76" t="s">
        <v>337</v>
      </c>
      <c r="B288" s="223" t="s">
        <v>641</v>
      </c>
      <c r="C288" s="907"/>
      <c r="D288" s="436" t="s">
        <v>641</v>
      </c>
    </row>
    <row r="289" spans="1:4" ht="16" thickBot="1" x14ac:dyDescent="0.3">
      <c r="A289" s="76" t="s">
        <v>337</v>
      </c>
      <c r="B289" s="248" t="s">
        <v>642</v>
      </c>
      <c r="C289" s="907"/>
      <c r="D289" s="443" t="s">
        <v>642</v>
      </c>
    </row>
    <row r="290" spans="1:4" ht="21.5" thickBot="1" x14ac:dyDescent="0.3">
      <c r="A290" s="76" t="s">
        <v>337</v>
      </c>
      <c r="B290" s="249" t="s">
        <v>643</v>
      </c>
      <c r="C290" s="907"/>
      <c r="D290" s="443" t="s">
        <v>643</v>
      </c>
    </row>
    <row r="291" spans="1:4" ht="16" thickBot="1" x14ac:dyDescent="0.3">
      <c r="A291" s="76" t="s">
        <v>337</v>
      </c>
      <c r="B291" s="249" t="s">
        <v>644</v>
      </c>
      <c r="C291" s="907"/>
      <c r="D291" s="443" t="s">
        <v>644</v>
      </c>
    </row>
    <row r="292" spans="1:4" ht="39" x14ac:dyDescent="0.25">
      <c r="A292" s="76" t="s">
        <v>337</v>
      </c>
      <c r="B292" s="223" t="s">
        <v>645</v>
      </c>
      <c r="C292" s="907"/>
      <c r="D292" s="436" t="s">
        <v>645</v>
      </c>
    </row>
    <row r="293" spans="1:4" ht="40.5" thickBot="1" x14ac:dyDescent="0.3">
      <c r="A293" s="76" t="s">
        <v>337</v>
      </c>
      <c r="B293" s="255" t="s">
        <v>646</v>
      </c>
      <c r="C293" s="910"/>
      <c r="D293" s="442" t="s">
        <v>646</v>
      </c>
    </row>
    <row r="294" spans="1:4" ht="26" x14ac:dyDescent="0.25">
      <c r="A294" s="76" t="s">
        <v>337</v>
      </c>
      <c r="B294" s="223" t="s">
        <v>647</v>
      </c>
      <c r="C294" s="907"/>
      <c r="D294" s="436" t="s">
        <v>648</v>
      </c>
    </row>
    <row r="295" spans="1:4" ht="20.5" thickBot="1" x14ac:dyDescent="0.3">
      <c r="A295" s="76" t="s">
        <v>337</v>
      </c>
      <c r="B295" s="252" t="s">
        <v>649</v>
      </c>
      <c r="C295" s="913"/>
      <c r="D295" s="442" t="s">
        <v>649</v>
      </c>
    </row>
    <row r="296" spans="1:4" ht="16" thickBot="1" x14ac:dyDescent="0.3">
      <c r="A296" s="76" t="s">
        <v>337</v>
      </c>
      <c r="B296" s="249" t="s">
        <v>650</v>
      </c>
      <c r="C296" s="907"/>
      <c r="D296" s="443" t="s">
        <v>650</v>
      </c>
    </row>
    <row r="297" spans="1:4" ht="16" thickBot="1" x14ac:dyDescent="0.3">
      <c r="A297" s="76" t="s">
        <v>337</v>
      </c>
      <c r="B297" s="249" t="s">
        <v>651</v>
      </c>
      <c r="C297" s="907"/>
      <c r="D297" s="443" t="s">
        <v>651</v>
      </c>
    </row>
    <row r="298" spans="1:4" ht="16" thickBot="1" x14ac:dyDescent="0.3">
      <c r="A298" s="76" t="s">
        <v>337</v>
      </c>
      <c r="B298" s="249" t="s">
        <v>652</v>
      </c>
      <c r="C298" s="907"/>
      <c r="D298" s="443" t="s">
        <v>652</v>
      </c>
    </row>
    <row r="299" spans="1:4" ht="16" thickBot="1" x14ac:dyDescent="0.3">
      <c r="A299" s="76" t="s">
        <v>337</v>
      </c>
      <c r="B299" s="249" t="s">
        <v>653</v>
      </c>
      <c r="C299" s="907"/>
      <c r="D299" s="443" t="s">
        <v>653</v>
      </c>
    </row>
    <row r="300" spans="1:4" ht="39" x14ac:dyDescent="0.25">
      <c r="A300" s="76" t="s">
        <v>337</v>
      </c>
      <c r="B300" s="223" t="s">
        <v>654</v>
      </c>
      <c r="C300" s="907"/>
      <c r="D300" s="436" t="s">
        <v>655</v>
      </c>
    </row>
    <row r="301" spans="1:4" ht="30.5" thickBot="1" x14ac:dyDescent="0.3">
      <c r="A301" s="76" t="s">
        <v>337</v>
      </c>
      <c r="B301" s="252" t="s">
        <v>656</v>
      </c>
      <c r="C301" s="913"/>
      <c r="D301" s="442" t="s">
        <v>656</v>
      </c>
    </row>
    <row r="302" spans="1:4" ht="16" thickBot="1" x14ac:dyDescent="0.3">
      <c r="A302" s="76" t="s">
        <v>337</v>
      </c>
      <c r="B302" s="249" t="s">
        <v>657</v>
      </c>
      <c r="C302" s="907"/>
      <c r="D302" s="443" t="s">
        <v>657</v>
      </c>
    </row>
    <row r="303" spans="1:4" ht="52.5" thickBot="1" x14ac:dyDescent="0.3">
      <c r="A303" s="76" t="s">
        <v>337</v>
      </c>
      <c r="B303" s="223" t="s">
        <v>658</v>
      </c>
      <c r="C303" s="907"/>
      <c r="D303" s="436" t="s">
        <v>658</v>
      </c>
    </row>
    <row r="304" spans="1:4" ht="16" thickBot="1" x14ac:dyDescent="0.3">
      <c r="A304" s="76" t="s">
        <v>337</v>
      </c>
      <c r="B304" s="248" t="s">
        <v>659</v>
      </c>
      <c r="C304" s="907"/>
      <c r="D304" s="443" t="s">
        <v>659</v>
      </c>
    </row>
    <row r="305" spans="1:4" ht="16" thickBot="1" x14ac:dyDescent="0.3">
      <c r="A305" s="76" t="s">
        <v>337</v>
      </c>
      <c r="B305" s="249" t="s">
        <v>660</v>
      </c>
      <c r="C305" s="907"/>
      <c r="D305" s="443" t="s">
        <v>660</v>
      </c>
    </row>
    <row r="306" spans="1:4" ht="16" thickBot="1" x14ac:dyDescent="0.3">
      <c r="A306" s="76" t="s">
        <v>337</v>
      </c>
      <c r="B306" s="249" t="s">
        <v>661</v>
      </c>
      <c r="C306" s="907"/>
      <c r="D306" s="443" t="s">
        <v>661</v>
      </c>
    </row>
    <row r="307" spans="1:4" ht="16" thickBot="1" x14ac:dyDescent="0.3">
      <c r="A307" s="76" t="s">
        <v>337</v>
      </c>
      <c r="B307" s="249" t="s">
        <v>662</v>
      </c>
      <c r="C307" s="907"/>
      <c r="D307" s="443" t="s">
        <v>662</v>
      </c>
    </row>
    <row r="308" spans="1:4" ht="20" x14ac:dyDescent="0.25">
      <c r="A308" s="76" t="s">
        <v>337</v>
      </c>
      <c r="B308" s="228" t="s">
        <v>663</v>
      </c>
      <c r="C308" s="907"/>
      <c r="D308" s="434" t="s">
        <v>664</v>
      </c>
    </row>
    <row r="309" spans="1:4" x14ac:dyDescent="0.25">
      <c r="A309" s="76" t="s">
        <v>337</v>
      </c>
      <c r="B309" s="238" t="s">
        <v>665</v>
      </c>
      <c r="C309" s="984"/>
      <c r="D309" s="439" t="s">
        <v>665</v>
      </c>
    </row>
    <row r="310" spans="1:4" ht="40" x14ac:dyDescent="0.25">
      <c r="A310" s="76" t="s">
        <v>337</v>
      </c>
      <c r="B310" s="247" t="s">
        <v>666</v>
      </c>
      <c r="C310" s="913"/>
      <c r="D310" s="442" t="s">
        <v>666</v>
      </c>
    </row>
    <row r="311" spans="1:4" ht="20" x14ac:dyDescent="0.25">
      <c r="A311" s="76" t="s">
        <v>337</v>
      </c>
      <c r="B311" s="262" t="s">
        <v>667</v>
      </c>
      <c r="C311" s="913"/>
      <c r="D311" s="444" t="s">
        <v>667</v>
      </c>
    </row>
    <row r="312" spans="1:4" ht="26" x14ac:dyDescent="0.25">
      <c r="A312" s="76" t="s">
        <v>337</v>
      </c>
      <c r="B312" s="223" t="s">
        <v>668</v>
      </c>
      <c r="C312" s="907"/>
      <c r="D312" s="436" t="s">
        <v>668</v>
      </c>
    </row>
    <row r="313" spans="1:4" ht="26.5" thickBot="1" x14ac:dyDescent="0.3">
      <c r="A313" s="76" t="s">
        <v>337</v>
      </c>
      <c r="B313" s="223" t="s">
        <v>669</v>
      </c>
      <c r="C313" s="907"/>
      <c r="D313" s="436" t="s">
        <v>669</v>
      </c>
    </row>
    <row r="314" spans="1:4" ht="16" thickBot="1" x14ac:dyDescent="0.3">
      <c r="A314" s="76" t="s">
        <v>337</v>
      </c>
      <c r="B314" s="248" t="s">
        <v>670</v>
      </c>
      <c r="C314" s="907"/>
      <c r="D314" s="443" t="s">
        <v>671</v>
      </c>
    </row>
    <row r="315" spans="1:4" ht="26" x14ac:dyDescent="0.25">
      <c r="A315" s="76" t="s">
        <v>337</v>
      </c>
      <c r="B315" s="223" t="s">
        <v>672</v>
      </c>
      <c r="C315" s="907"/>
      <c r="D315" s="436" t="s">
        <v>672</v>
      </c>
    </row>
    <row r="316" spans="1:4" x14ac:dyDescent="0.25">
      <c r="A316" s="76" t="s">
        <v>337</v>
      </c>
      <c r="B316" s="243"/>
      <c r="C316" s="912"/>
      <c r="D316" s="412"/>
    </row>
    <row r="317" spans="1:4" x14ac:dyDescent="0.25">
      <c r="A317" s="76" t="s">
        <v>337</v>
      </c>
      <c r="B317" s="222" t="s">
        <v>673</v>
      </c>
      <c r="C317" s="907"/>
      <c r="D317" s="435" t="s">
        <v>673</v>
      </c>
    </row>
    <row r="318" spans="1:4" ht="62.5" x14ac:dyDescent="0.25">
      <c r="A318" s="76" t="s">
        <v>337</v>
      </c>
      <c r="B318" s="222" t="s">
        <v>674</v>
      </c>
      <c r="C318" s="907"/>
      <c r="D318" s="435" t="s">
        <v>674</v>
      </c>
    </row>
    <row r="319" spans="1:4" ht="26" x14ac:dyDescent="0.25">
      <c r="A319" s="76" t="s">
        <v>337</v>
      </c>
      <c r="B319" s="223" t="s">
        <v>675</v>
      </c>
      <c r="C319" s="907"/>
      <c r="D319" s="436" t="s">
        <v>675</v>
      </c>
    </row>
    <row r="320" spans="1:4" ht="52" x14ac:dyDescent="0.25">
      <c r="A320" s="76" t="s">
        <v>337</v>
      </c>
      <c r="B320" s="223" t="s">
        <v>676</v>
      </c>
      <c r="C320" s="907"/>
      <c r="D320" s="436" t="s">
        <v>676</v>
      </c>
    </row>
    <row r="321" spans="1:4" ht="26" x14ac:dyDescent="0.25">
      <c r="A321" s="76" t="s">
        <v>337</v>
      </c>
      <c r="B321" s="223" t="s">
        <v>677</v>
      </c>
      <c r="C321" s="907"/>
      <c r="D321" s="436" t="s">
        <v>677</v>
      </c>
    </row>
    <row r="322" spans="1:4" ht="36" x14ac:dyDescent="0.25">
      <c r="A322" s="76" t="s">
        <v>337</v>
      </c>
      <c r="B322" s="228" t="s">
        <v>678</v>
      </c>
      <c r="C322" s="907"/>
      <c r="D322" s="434" t="s">
        <v>678</v>
      </c>
    </row>
    <row r="323" spans="1:4" x14ac:dyDescent="0.25">
      <c r="A323" s="76" t="s">
        <v>337</v>
      </c>
      <c r="B323" s="235" t="s">
        <v>679</v>
      </c>
      <c r="C323" s="908"/>
      <c r="D323" s="436" t="s">
        <v>679</v>
      </c>
    </row>
    <row r="324" spans="1:4" ht="30" x14ac:dyDescent="0.25">
      <c r="A324" s="76" t="s">
        <v>337</v>
      </c>
      <c r="B324" s="239" t="s">
        <v>680</v>
      </c>
      <c r="C324" s="910"/>
      <c r="D324" s="442" t="s">
        <v>680</v>
      </c>
    </row>
    <row r="325" spans="1:4" ht="16" thickBot="1" x14ac:dyDescent="0.3">
      <c r="A325" s="76" t="s">
        <v>337</v>
      </c>
      <c r="B325" s="239" t="s">
        <v>681</v>
      </c>
      <c r="C325" s="910"/>
      <c r="D325" s="442" t="s">
        <v>681</v>
      </c>
    </row>
    <row r="326" spans="1:4" ht="16" thickBot="1" x14ac:dyDescent="0.3">
      <c r="A326" s="76" t="s">
        <v>337</v>
      </c>
      <c r="B326" s="248" t="s">
        <v>682</v>
      </c>
      <c r="C326" s="907"/>
      <c r="D326" s="443" t="s">
        <v>682</v>
      </c>
    </row>
    <row r="327" spans="1:4" ht="16" thickBot="1" x14ac:dyDescent="0.3">
      <c r="A327" s="76" t="s">
        <v>337</v>
      </c>
      <c r="B327" s="249" t="s">
        <v>683</v>
      </c>
      <c r="C327" s="907"/>
      <c r="D327" s="443" t="s">
        <v>683</v>
      </c>
    </row>
    <row r="328" spans="1:4" ht="39" x14ac:dyDescent="0.25">
      <c r="A328" s="76" t="s">
        <v>337</v>
      </c>
      <c r="B328" s="235" t="s">
        <v>684</v>
      </c>
      <c r="C328" s="908"/>
      <c r="D328" s="436" t="s">
        <v>684</v>
      </c>
    </row>
    <row r="329" spans="1:4" ht="30" x14ac:dyDescent="0.25">
      <c r="A329" s="76" t="s">
        <v>337</v>
      </c>
      <c r="B329" s="245" t="s">
        <v>685</v>
      </c>
      <c r="C329" s="910"/>
      <c r="D329" s="442" t="s">
        <v>685</v>
      </c>
    </row>
    <row r="330" spans="1:4" ht="39" x14ac:dyDescent="0.25">
      <c r="A330" s="76" t="s">
        <v>337</v>
      </c>
      <c r="B330" s="235" t="s">
        <v>686</v>
      </c>
      <c r="C330" s="908"/>
      <c r="D330" s="436" t="s">
        <v>686</v>
      </c>
    </row>
    <row r="331" spans="1:4" ht="40" x14ac:dyDescent="0.25">
      <c r="A331" s="76" t="s">
        <v>337</v>
      </c>
      <c r="B331" s="245" t="s">
        <v>687</v>
      </c>
      <c r="C331" s="910"/>
      <c r="D331" s="442" t="s">
        <v>687</v>
      </c>
    </row>
    <row r="332" spans="1:4" ht="39" x14ac:dyDescent="0.25">
      <c r="A332" s="76" t="s">
        <v>337</v>
      </c>
      <c r="B332" s="235" t="s">
        <v>688</v>
      </c>
      <c r="C332" s="908"/>
      <c r="D332" s="436" t="s">
        <v>688</v>
      </c>
    </row>
    <row r="333" spans="1:4" ht="60" x14ac:dyDescent="0.25">
      <c r="A333" s="76" t="s">
        <v>337</v>
      </c>
      <c r="B333" s="263" t="s">
        <v>689</v>
      </c>
      <c r="C333" s="910"/>
      <c r="D333" s="441" t="s">
        <v>689</v>
      </c>
    </row>
    <row r="334" spans="1:4" ht="60.5" thickBot="1" x14ac:dyDescent="0.3">
      <c r="A334" s="76" t="s">
        <v>337</v>
      </c>
      <c r="B334" s="263" t="s">
        <v>690</v>
      </c>
      <c r="C334" s="910"/>
      <c r="D334" s="441" t="s">
        <v>690</v>
      </c>
    </row>
    <row r="335" spans="1:4" ht="16" thickBot="1" x14ac:dyDescent="0.3">
      <c r="A335" s="76" t="s">
        <v>337</v>
      </c>
      <c r="B335" s="264" t="s">
        <v>691</v>
      </c>
      <c r="C335" s="908"/>
      <c r="D335" s="448" t="s">
        <v>692</v>
      </c>
    </row>
    <row r="336" spans="1:4" ht="16" thickBot="1" x14ac:dyDescent="0.3">
      <c r="A336" s="76" t="s">
        <v>337</v>
      </c>
      <c r="B336" s="265" t="s">
        <v>693</v>
      </c>
      <c r="C336" s="908"/>
      <c r="D336" s="448" t="s">
        <v>694</v>
      </c>
    </row>
    <row r="337" spans="1:4" ht="16" thickBot="1" x14ac:dyDescent="0.3">
      <c r="A337" s="76" t="s">
        <v>337</v>
      </c>
      <c r="B337" s="265" t="s">
        <v>695</v>
      </c>
      <c r="C337" s="908"/>
      <c r="D337" s="448" t="s">
        <v>696</v>
      </c>
    </row>
    <row r="338" spans="1:4" ht="16" thickBot="1" x14ac:dyDescent="0.3">
      <c r="A338" s="76" t="s">
        <v>337</v>
      </c>
      <c r="B338" s="265" t="s">
        <v>697</v>
      </c>
      <c r="C338" s="908"/>
      <c r="D338" s="448" t="s">
        <v>698</v>
      </c>
    </row>
    <row r="339" spans="1:4" ht="16" thickBot="1" x14ac:dyDescent="0.3">
      <c r="A339" s="76" t="s">
        <v>337</v>
      </c>
      <c r="B339" s="266" t="s">
        <v>699</v>
      </c>
      <c r="C339" s="908"/>
      <c r="D339" s="447" t="s">
        <v>700</v>
      </c>
    </row>
    <row r="340" spans="1:4" x14ac:dyDescent="0.25">
      <c r="A340" s="76" t="s">
        <v>337</v>
      </c>
      <c r="B340" s="267" t="s">
        <v>701</v>
      </c>
      <c r="C340" s="908"/>
      <c r="D340" s="448" t="s">
        <v>702</v>
      </c>
    </row>
    <row r="341" spans="1:4" ht="39" x14ac:dyDescent="0.25">
      <c r="A341" s="76" t="s">
        <v>337</v>
      </c>
      <c r="B341" s="223" t="s">
        <v>703</v>
      </c>
      <c r="C341" s="907"/>
      <c r="D341" s="436" t="s">
        <v>703</v>
      </c>
    </row>
    <row r="342" spans="1:4" x14ac:dyDescent="0.25">
      <c r="A342" s="76" t="s">
        <v>337</v>
      </c>
      <c r="B342" s="238" t="s">
        <v>704</v>
      </c>
      <c r="C342" s="984"/>
      <c r="D342" s="439" t="s">
        <v>704</v>
      </c>
    </row>
    <row r="343" spans="1:4" ht="26" x14ac:dyDescent="0.25">
      <c r="A343" s="76" t="s">
        <v>337</v>
      </c>
      <c r="B343" s="235" t="s">
        <v>705</v>
      </c>
      <c r="C343" s="908"/>
      <c r="D343" s="436" t="s">
        <v>705</v>
      </c>
    </row>
    <row r="344" spans="1:4" ht="20" x14ac:dyDescent="0.25">
      <c r="A344" s="76" t="s">
        <v>337</v>
      </c>
      <c r="B344" s="245" t="s">
        <v>706</v>
      </c>
      <c r="C344" s="910"/>
      <c r="D344" s="442" t="s">
        <v>706</v>
      </c>
    </row>
    <row r="345" spans="1:4" ht="26" x14ac:dyDescent="0.25">
      <c r="A345" s="76" t="s">
        <v>337</v>
      </c>
      <c r="B345" s="235" t="s">
        <v>707</v>
      </c>
      <c r="C345" s="908"/>
      <c r="D345" s="436" t="s">
        <v>707</v>
      </c>
    </row>
    <row r="346" spans="1:4" ht="30" x14ac:dyDescent="0.25">
      <c r="A346" s="76" t="s">
        <v>337</v>
      </c>
      <c r="B346" s="245" t="s">
        <v>708</v>
      </c>
      <c r="C346" s="910"/>
      <c r="D346" s="442" t="s">
        <v>708</v>
      </c>
    </row>
    <row r="347" spans="1:4" ht="26" x14ac:dyDescent="0.25">
      <c r="A347" s="76" t="s">
        <v>337</v>
      </c>
      <c r="B347" s="235" t="s">
        <v>709</v>
      </c>
      <c r="C347" s="908"/>
      <c r="D347" s="436" t="s">
        <v>709</v>
      </c>
    </row>
    <row r="348" spans="1:4" ht="30" x14ac:dyDescent="0.25">
      <c r="A348" s="76" t="s">
        <v>337</v>
      </c>
      <c r="B348" s="245" t="s">
        <v>710</v>
      </c>
      <c r="C348" s="910"/>
      <c r="D348" s="442" t="s">
        <v>710</v>
      </c>
    </row>
    <row r="349" spans="1:4" ht="26" x14ac:dyDescent="0.25">
      <c r="A349" s="76" t="s">
        <v>337</v>
      </c>
      <c r="B349" s="235" t="s">
        <v>711</v>
      </c>
      <c r="C349" s="908"/>
      <c r="D349" s="436" t="s">
        <v>711</v>
      </c>
    </row>
    <row r="350" spans="1:4" ht="30" x14ac:dyDescent="0.25">
      <c r="A350" s="76" t="s">
        <v>337</v>
      </c>
      <c r="B350" s="245" t="s">
        <v>712</v>
      </c>
      <c r="C350" s="910"/>
      <c r="D350" s="442" t="s">
        <v>712</v>
      </c>
    </row>
    <row r="351" spans="1:4" ht="26" x14ac:dyDescent="0.25">
      <c r="A351" s="76" t="s">
        <v>337</v>
      </c>
      <c r="B351" s="235" t="s">
        <v>713</v>
      </c>
      <c r="C351" s="908"/>
      <c r="D351" s="436" t="s">
        <v>713</v>
      </c>
    </row>
    <row r="352" spans="1:4" ht="20" x14ac:dyDescent="0.25">
      <c r="A352" s="76" t="s">
        <v>337</v>
      </c>
      <c r="B352" s="245" t="s">
        <v>714</v>
      </c>
      <c r="C352" s="910"/>
      <c r="D352" s="442" t="s">
        <v>714</v>
      </c>
    </row>
    <row r="353" spans="1:4" ht="26" x14ac:dyDescent="0.25">
      <c r="A353" s="76" t="s">
        <v>337</v>
      </c>
      <c r="B353" s="235" t="s">
        <v>715</v>
      </c>
      <c r="C353" s="908"/>
      <c r="D353" s="436" t="s">
        <v>715</v>
      </c>
    </row>
    <row r="354" spans="1:4" ht="30" x14ac:dyDescent="0.25">
      <c r="A354" s="76" t="s">
        <v>337</v>
      </c>
      <c r="B354" s="245" t="s">
        <v>716</v>
      </c>
      <c r="C354" s="910"/>
      <c r="D354" s="442" t="s">
        <v>716</v>
      </c>
    </row>
    <row r="355" spans="1:4" ht="52" x14ac:dyDescent="0.25">
      <c r="A355" s="76" t="s">
        <v>337</v>
      </c>
      <c r="B355" s="223" t="s">
        <v>717</v>
      </c>
      <c r="C355" s="907"/>
      <c r="D355" s="436" t="s">
        <v>718</v>
      </c>
    </row>
    <row r="356" spans="1:4" ht="26" x14ac:dyDescent="0.25">
      <c r="A356" s="76" t="s">
        <v>337</v>
      </c>
      <c r="B356" s="223" t="s">
        <v>719</v>
      </c>
      <c r="C356" s="907"/>
      <c r="D356" s="436" t="s">
        <v>720</v>
      </c>
    </row>
    <row r="357" spans="1:4" ht="39" x14ac:dyDescent="0.25">
      <c r="A357" s="76" t="s">
        <v>337</v>
      </c>
      <c r="B357" s="223" t="s">
        <v>721</v>
      </c>
      <c r="C357" s="907"/>
      <c r="D357" s="436" t="s">
        <v>721</v>
      </c>
    </row>
    <row r="358" spans="1:4" ht="26.5" thickBot="1" x14ac:dyDescent="0.3">
      <c r="A358" s="76" t="s">
        <v>337</v>
      </c>
      <c r="B358" s="235" t="s">
        <v>722</v>
      </c>
      <c r="C358" s="908"/>
      <c r="D358" s="436" t="s">
        <v>722</v>
      </c>
    </row>
    <row r="359" spans="1:4" ht="16" thickBot="1" x14ac:dyDescent="0.3">
      <c r="A359" s="76" t="s">
        <v>337</v>
      </c>
      <c r="B359" s="248" t="s">
        <v>723</v>
      </c>
      <c r="C359" s="907"/>
      <c r="D359" s="443" t="s">
        <v>723</v>
      </c>
    </row>
    <row r="360" spans="1:4" ht="16" thickBot="1" x14ac:dyDescent="0.3">
      <c r="A360" s="76" t="s">
        <v>337</v>
      </c>
      <c r="B360" s="249" t="s">
        <v>724</v>
      </c>
      <c r="C360" s="907"/>
      <c r="D360" s="443" t="s">
        <v>724</v>
      </c>
    </row>
    <row r="361" spans="1:4" ht="52" x14ac:dyDescent="0.25">
      <c r="A361" s="76" t="s">
        <v>337</v>
      </c>
      <c r="B361" s="235" t="s">
        <v>725</v>
      </c>
      <c r="C361" s="908"/>
      <c r="D361" s="436" t="s">
        <v>725</v>
      </c>
    </row>
    <row r="362" spans="1:4" ht="30" x14ac:dyDescent="0.25">
      <c r="A362" s="76" t="s">
        <v>337</v>
      </c>
      <c r="B362" s="239" t="s">
        <v>726</v>
      </c>
      <c r="C362" s="910"/>
      <c r="D362" s="442" t="s">
        <v>726</v>
      </c>
    </row>
    <row r="363" spans="1:4" ht="16" thickBot="1" x14ac:dyDescent="0.3">
      <c r="A363" s="76" t="s">
        <v>337</v>
      </c>
      <c r="B363" s="239" t="s">
        <v>727</v>
      </c>
      <c r="C363" s="910"/>
      <c r="D363" s="442" t="s">
        <v>727</v>
      </c>
    </row>
    <row r="364" spans="1:4" ht="16" thickBot="1" x14ac:dyDescent="0.3">
      <c r="A364" s="76" t="s">
        <v>337</v>
      </c>
      <c r="B364" s="248" t="s">
        <v>728</v>
      </c>
      <c r="C364" s="907"/>
      <c r="D364" s="443" t="s">
        <v>728</v>
      </c>
    </row>
    <row r="365" spans="1:4" ht="16" thickBot="1" x14ac:dyDescent="0.3">
      <c r="A365" s="76" t="s">
        <v>337</v>
      </c>
      <c r="B365" s="249" t="s">
        <v>729</v>
      </c>
      <c r="C365" s="907"/>
      <c r="D365" s="443" t="s">
        <v>729</v>
      </c>
    </row>
    <row r="366" spans="1:4" x14ac:dyDescent="0.25">
      <c r="A366" s="76">
        <v>365</v>
      </c>
      <c r="B366" s="238" t="s">
        <v>730</v>
      </c>
      <c r="C366" s="984"/>
      <c r="D366" s="439" t="s">
        <v>730</v>
      </c>
    </row>
    <row r="367" spans="1:4" x14ac:dyDescent="0.25">
      <c r="A367" s="76">
        <v>366</v>
      </c>
      <c r="B367" s="223" t="s">
        <v>2041</v>
      </c>
      <c r="C367" s="907" t="s">
        <v>2025</v>
      </c>
      <c r="D367" s="436" t="s">
        <v>731</v>
      </c>
    </row>
    <row r="368" spans="1:4" x14ac:dyDescent="0.25">
      <c r="A368" s="76">
        <v>367</v>
      </c>
      <c r="B368" s="268" t="s">
        <v>732</v>
      </c>
      <c r="C368" s="914"/>
      <c r="D368" s="435" t="s">
        <v>732</v>
      </c>
    </row>
    <row r="369" spans="1:4" x14ac:dyDescent="0.25">
      <c r="A369" s="76">
        <v>368</v>
      </c>
      <c r="B369" s="268" t="s">
        <v>733</v>
      </c>
      <c r="C369" s="914"/>
      <c r="D369" s="435" t="s">
        <v>733</v>
      </c>
    </row>
    <row r="370" spans="1:4" x14ac:dyDescent="0.25">
      <c r="A370" s="76">
        <v>369</v>
      </c>
      <c r="B370" s="268" t="s">
        <v>734</v>
      </c>
      <c r="C370" s="914"/>
      <c r="D370" s="435" t="s">
        <v>734</v>
      </c>
    </row>
    <row r="371" spans="1:4" x14ac:dyDescent="0.25">
      <c r="A371" s="76">
        <v>370</v>
      </c>
      <c r="B371" s="268" t="s">
        <v>735</v>
      </c>
      <c r="C371" s="914"/>
      <c r="D371" s="435" t="s">
        <v>735</v>
      </c>
    </row>
    <row r="372" spans="1:4" x14ac:dyDescent="0.25">
      <c r="A372" s="76">
        <v>371</v>
      </c>
      <c r="B372" s="268" t="s">
        <v>736</v>
      </c>
      <c r="C372" s="914"/>
      <c r="D372" s="435" t="s">
        <v>736</v>
      </c>
    </row>
    <row r="373" spans="1:4" x14ac:dyDescent="0.25">
      <c r="A373" s="76">
        <v>372</v>
      </c>
      <c r="B373" s="268" t="s">
        <v>737</v>
      </c>
      <c r="C373" s="914"/>
      <c r="D373" s="435" t="s">
        <v>737</v>
      </c>
    </row>
    <row r="374" spans="1:4" x14ac:dyDescent="0.25">
      <c r="A374" s="76">
        <v>373</v>
      </c>
      <c r="B374" s="268" t="s">
        <v>738</v>
      </c>
      <c r="C374" s="914"/>
      <c r="D374" s="435" t="s">
        <v>738</v>
      </c>
    </row>
    <row r="375" spans="1:4" x14ac:dyDescent="0.25">
      <c r="A375" s="76">
        <v>374</v>
      </c>
      <c r="B375" s="268" t="s">
        <v>739</v>
      </c>
      <c r="C375" s="914"/>
      <c r="D375" s="435" t="s">
        <v>739</v>
      </c>
    </row>
    <row r="376" spans="1:4" x14ac:dyDescent="0.25">
      <c r="A376" s="76">
        <v>375</v>
      </c>
      <c r="B376" s="268" t="s">
        <v>740</v>
      </c>
      <c r="C376" s="914"/>
      <c r="D376" s="435" t="s">
        <v>740</v>
      </c>
    </row>
    <row r="377" spans="1:4" x14ac:dyDescent="0.25">
      <c r="A377" s="76">
        <v>376</v>
      </c>
      <c r="B377" s="268" t="s">
        <v>741</v>
      </c>
      <c r="C377" s="914"/>
      <c r="D377" s="435" t="s">
        <v>741</v>
      </c>
    </row>
    <row r="378" spans="1:4" x14ac:dyDescent="0.25">
      <c r="A378" s="76">
        <v>377</v>
      </c>
      <c r="B378" s="268" t="s">
        <v>742</v>
      </c>
      <c r="C378" s="914"/>
      <c r="D378" s="435" t="s">
        <v>742</v>
      </c>
    </row>
    <row r="379" spans="1:4" x14ac:dyDescent="0.25">
      <c r="A379" s="76">
        <v>378</v>
      </c>
      <c r="B379" s="268" t="s">
        <v>743</v>
      </c>
      <c r="C379" s="914"/>
      <c r="D379" s="435" t="s">
        <v>743</v>
      </c>
    </row>
    <row r="380" spans="1:4" x14ac:dyDescent="0.25">
      <c r="A380" s="76">
        <v>379</v>
      </c>
      <c r="B380" s="268" t="s">
        <v>744</v>
      </c>
      <c r="C380" s="914"/>
      <c r="D380" s="435" t="s">
        <v>744</v>
      </c>
    </row>
    <row r="381" spans="1:4" x14ac:dyDescent="0.25">
      <c r="A381" s="76">
        <v>380</v>
      </c>
      <c r="B381" s="268" t="s">
        <v>745</v>
      </c>
      <c r="C381" s="914"/>
      <c r="D381" s="435" t="s">
        <v>745</v>
      </c>
    </row>
    <row r="382" spans="1:4" x14ac:dyDescent="0.25">
      <c r="A382" s="76">
        <v>381</v>
      </c>
      <c r="B382" s="268" t="s">
        <v>746</v>
      </c>
      <c r="C382" s="914"/>
      <c r="D382" s="435" t="s">
        <v>746</v>
      </c>
    </row>
    <row r="383" spans="1:4" x14ac:dyDescent="0.25">
      <c r="A383" s="76">
        <v>382</v>
      </c>
      <c r="B383" s="268" t="s">
        <v>747</v>
      </c>
      <c r="C383" s="914"/>
      <c r="D383" s="435" t="s">
        <v>747</v>
      </c>
    </row>
    <row r="384" spans="1:4" x14ac:dyDescent="0.25">
      <c r="A384" s="76">
        <v>383</v>
      </c>
      <c r="B384" s="268" t="s">
        <v>748</v>
      </c>
      <c r="C384" s="914"/>
      <c r="D384" s="435" t="s">
        <v>748</v>
      </c>
    </row>
    <row r="385" spans="1:4" x14ac:dyDescent="0.25">
      <c r="A385" s="76">
        <v>384</v>
      </c>
      <c r="B385" s="268" t="s">
        <v>749</v>
      </c>
      <c r="C385" s="914"/>
      <c r="D385" s="435" t="s">
        <v>749</v>
      </c>
    </row>
    <row r="386" spans="1:4" x14ac:dyDescent="0.25">
      <c r="A386" s="76">
        <v>385</v>
      </c>
      <c r="B386" s="268" t="s">
        <v>750</v>
      </c>
      <c r="C386" s="914"/>
      <c r="D386" s="435" t="s">
        <v>750</v>
      </c>
    </row>
    <row r="387" spans="1:4" x14ac:dyDescent="0.25">
      <c r="A387" s="76">
        <v>386</v>
      </c>
      <c r="B387" s="268" t="s">
        <v>751</v>
      </c>
      <c r="C387" s="914"/>
      <c r="D387" s="435" t="s">
        <v>751</v>
      </c>
    </row>
    <row r="388" spans="1:4" x14ac:dyDescent="0.25">
      <c r="A388" s="76">
        <v>387</v>
      </c>
      <c r="B388" s="268" t="s">
        <v>752</v>
      </c>
      <c r="C388" s="914"/>
      <c r="D388" s="435" t="s">
        <v>752</v>
      </c>
    </row>
    <row r="389" spans="1:4" x14ac:dyDescent="0.25">
      <c r="A389" s="76">
        <v>388</v>
      </c>
      <c r="B389" s="268" t="s">
        <v>753</v>
      </c>
      <c r="C389" s="914"/>
      <c r="D389" s="435" t="s">
        <v>753</v>
      </c>
    </row>
    <row r="390" spans="1:4" x14ac:dyDescent="0.25">
      <c r="A390" s="76">
        <v>389</v>
      </c>
      <c r="B390" s="268" t="s">
        <v>754</v>
      </c>
      <c r="C390" s="914"/>
      <c r="D390" s="435" t="s">
        <v>754</v>
      </c>
    </row>
    <row r="391" spans="1:4" x14ac:dyDescent="0.25">
      <c r="A391" s="76">
        <v>390</v>
      </c>
      <c r="B391" s="268" t="s">
        <v>755</v>
      </c>
      <c r="C391" s="914"/>
      <c r="D391" s="435" t="s">
        <v>755</v>
      </c>
    </row>
    <row r="392" spans="1:4" x14ac:dyDescent="0.25">
      <c r="A392" s="76">
        <v>391</v>
      </c>
      <c r="B392" s="268" t="s">
        <v>756</v>
      </c>
      <c r="C392" s="914"/>
      <c r="D392" s="435" t="s">
        <v>756</v>
      </c>
    </row>
    <row r="393" spans="1:4" x14ac:dyDescent="0.25">
      <c r="A393" s="76">
        <v>392</v>
      </c>
      <c r="B393" s="268" t="s">
        <v>757</v>
      </c>
      <c r="C393" s="914"/>
      <c r="D393" s="435" t="s">
        <v>757</v>
      </c>
    </row>
    <row r="394" spans="1:4" x14ac:dyDescent="0.25">
      <c r="A394" s="76">
        <v>393</v>
      </c>
      <c r="B394" s="268" t="s">
        <v>758</v>
      </c>
      <c r="C394" s="914"/>
      <c r="D394" s="435" t="s">
        <v>758</v>
      </c>
    </row>
    <row r="395" spans="1:4" x14ac:dyDescent="0.25">
      <c r="A395" s="76">
        <v>394</v>
      </c>
      <c r="B395" s="268" t="s">
        <v>759</v>
      </c>
      <c r="C395" s="914"/>
      <c r="D395" s="435" t="s">
        <v>759</v>
      </c>
    </row>
    <row r="396" spans="1:4" x14ac:dyDescent="0.25">
      <c r="A396" s="76">
        <v>395</v>
      </c>
      <c r="B396" s="268" t="s">
        <v>760</v>
      </c>
      <c r="C396" s="914"/>
      <c r="D396" s="435" t="s">
        <v>760</v>
      </c>
    </row>
    <row r="397" spans="1:4" x14ac:dyDescent="0.25">
      <c r="A397" s="76">
        <v>396</v>
      </c>
      <c r="B397" s="268" t="s">
        <v>761</v>
      </c>
      <c r="C397" s="914"/>
      <c r="D397" s="435" t="s">
        <v>761</v>
      </c>
    </row>
    <row r="398" spans="1:4" x14ac:dyDescent="0.25">
      <c r="A398" s="76">
        <v>397</v>
      </c>
      <c r="B398" s="268" t="s">
        <v>762</v>
      </c>
      <c r="C398" s="914"/>
      <c r="D398" s="435" t="s">
        <v>762</v>
      </c>
    </row>
    <row r="399" spans="1:4" s="78" customFormat="1" ht="16" thickBot="1" x14ac:dyDescent="0.3">
      <c r="A399" s="76">
        <v>398</v>
      </c>
      <c r="B399" s="269" t="s">
        <v>763</v>
      </c>
      <c r="C399" s="914"/>
      <c r="D399" s="435" t="s">
        <v>763</v>
      </c>
    </row>
    <row r="400" spans="1:4" x14ac:dyDescent="0.25">
      <c r="A400" s="77">
        <v>399</v>
      </c>
      <c r="B400" s="268" t="s">
        <v>764</v>
      </c>
      <c r="C400" s="914"/>
      <c r="D400" s="435" t="s">
        <v>764</v>
      </c>
    </row>
    <row r="401" spans="1:4" x14ac:dyDescent="0.25">
      <c r="A401" s="76">
        <v>400</v>
      </c>
      <c r="B401" s="268" t="s">
        <v>765</v>
      </c>
      <c r="C401" s="914"/>
      <c r="D401" s="435" t="s">
        <v>765</v>
      </c>
    </row>
    <row r="402" spans="1:4" x14ac:dyDescent="0.25">
      <c r="A402" s="76">
        <v>401</v>
      </c>
      <c r="B402" s="268" t="s">
        <v>766</v>
      </c>
      <c r="C402" s="914"/>
      <c r="D402" s="435" t="s">
        <v>766</v>
      </c>
    </row>
    <row r="403" spans="1:4" x14ac:dyDescent="0.25">
      <c r="A403" s="76">
        <v>402</v>
      </c>
      <c r="B403" s="268" t="s">
        <v>767</v>
      </c>
      <c r="C403" s="914"/>
      <c r="D403" s="435" t="s">
        <v>767</v>
      </c>
    </row>
    <row r="404" spans="1:4" x14ac:dyDescent="0.25">
      <c r="A404" s="76">
        <v>403</v>
      </c>
      <c r="B404" s="268" t="s">
        <v>768</v>
      </c>
      <c r="C404" s="914"/>
      <c r="D404" s="435" t="s">
        <v>768</v>
      </c>
    </row>
    <row r="405" spans="1:4" x14ac:dyDescent="0.25">
      <c r="A405" s="76">
        <v>404</v>
      </c>
      <c r="B405" s="268" t="s">
        <v>769</v>
      </c>
      <c r="C405" s="914"/>
      <c r="D405" s="435" t="s">
        <v>769</v>
      </c>
    </row>
    <row r="406" spans="1:4" x14ac:dyDescent="0.25">
      <c r="A406" s="76">
        <v>405</v>
      </c>
      <c r="B406" s="268" t="s">
        <v>770</v>
      </c>
      <c r="C406" s="914"/>
      <c r="D406" s="435" t="s">
        <v>770</v>
      </c>
    </row>
    <row r="407" spans="1:4" x14ac:dyDescent="0.25">
      <c r="A407" s="76">
        <v>406</v>
      </c>
      <c r="B407" s="268" t="s">
        <v>771</v>
      </c>
      <c r="C407" s="914"/>
      <c r="D407" s="435" t="s">
        <v>771</v>
      </c>
    </row>
    <row r="408" spans="1:4" x14ac:dyDescent="0.25">
      <c r="A408" s="76">
        <v>407</v>
      </c>
      <c r="B408" s="268" t="s">
        <v>772</v>
      </c>
      <c r="C408" s="914"/>
      <c r="D408" s="435" t="s">
        <v>772</v>
      </c>
    </row>
    <row r="409" spans="1:4" x14ac:dyDescent="0.25">
      <c r="A409" s="76">
        <v>408</v>
      </c>
      <c r="B409" s="268" t="s">
        <v>773</v>
      </c>
      <c r="C409" s="914"/>
      <c r="D409" s="435" t="s">
        <v>773</v>
      </c>
    </row>
    <row r="410" spans="1:4" x14ac:dyDescent="0.25">
      <c r="A410" s="76">
        <v>409</v>
      </c>
      <c r="B410" s="268" t="s">
        <v>774</v>
      </c>
      <c r="C410" s="914"/>
      <c r="D410" s="435" t="s">
        <v>774</v>
      </c>
    </row>
    <row r="411" spans="1:4" x14ac:dyDescent="0.25">
      <c r="A411" s="76">
        <v>410</v>
      </c>
      <c r="B411" s="268" t="s">
        <v>775</v>
      </c>
      <c r="C411" s="914"/>
      <c r="D411" s="435" t="s">
        <v>775</v>
      </c>
    </row>
    <row r="412" spans="1:4" x14ac:dyDescent="0.25">
      <c r="A412" s="76">
        <v>411</v>
      </c>
      <c r="B412" s="268" t="s">
        <v>776</v>
      </c>
      <c r="C412" s="914"/>
      <c r="D412" s="435" t="s">
        <v>776</v>
      </c>
    </row>
    <row r="413" spans="1:4" x14ac:dyDescent="0.25">
      <c r="A413" s="76">
        <v>412</v>
      </c>
      <c r="B413" s="268" t="s">
        <v>777</v>
      </c>
      <c r="C413" s="914"/>
      <c r="D413" s="435" t="s">
        <v>777</v>
      </c>
    </row>
    <row r="414" spans="1:4" x14ac:dyDescent="0.25">
      <c r="A414" s="76">
        <v>413</v>
      </c>
      <c r="B414" s="268" t="s">
        <v>778</v>
      </c>
      <c r="C414" s="914"/>
      <c r="D414" s="435" t="s">
        <v>778</v>
      </c>
    </row>
    <row r="415" spans="1:4" x14ac:dyDescent="0.25">
      <c r="A415" s="76">
        <v>414</v>
      </c>
      <c r="B415" s="268" t="s">
        <v>779</v>
      </c>
      <c r="C415" s="914"/>
      <c r="D415" s="435" t="s">
        <v>779</v>
      </c>
    </row>
    <row r="416" spans="1:4" x14ac:dyDescent="0.25">
      <c r="A416" s="76">
        <v>415</v>
      </c>
      <c r="B416" s="268" t="s">
        <v>780</v>
      </c>
      <c r="C416" s="914"/>
      <c r="D416" s="435" t="s">
        <v>780</v>
      </c>
    </row>
    <row r="417" spans="1:4" x14ac:dyDescent="0.25">
      <c r="A417" s="76">
        <v>416</v>
      </c>
      <c r="B417" s="268" t="s">
        <v>781</v>
      </c>
      <c r="C417" s="914"/>
      <c r="D417" s="435" t="s">
        <v>781</v>
      </c>
    </row>
    <row r="418" spans="1:4" x14ac:dyDescent="0.25">
      <c r="A418" s="76">
        <v>417</v>
      </c>
      <c r="B418" s="268" t="s">
        <v>782</v>
      </c>
      <c r="C418" s="914"/>
      <c r="D418" s="435" t="s">
        <v>782</v>
      </c>
    </row>
    <row r="419" spans="1:4" x14ac:dyDescent="0.25">
      <c r="A419" s="76">
        <v>418</v>
      </c>
      <c r="B419" s="268" t="s">
        <v>783</v>
      </c>
      <c r="C419" s="914"/>
      <c r="D419" s="435" t="s">
        <v>783</v>
      </c>
    </row>
    <row r="420" spans="1:4" x14ac:dyDescent="0.25">
      <c r="A420" s="76">
        <v>419</v>
      </c>
      <c r="B420" s="268" t="s">
        <v>784</v>
      </c>
      <c r="C420" s="914"/>
      <c r="D420" s="435" t="s">
        <v>784</v>
      </c>
    </row>
    <row r="421" spans="1:4" x14ac:dyDescent="0.25">
      <c r="A421" s="76">
        <v>420</v>
      </c>
      <c r="B421" s="268" t="s">
        <v>785</v>
      </c>
      <c r="C421" s="914"/>
      <c r="D421" s="435" t="s">
        <v>785</v>
      </c>
    </row>
    <row r="422" spans="1:4" x14ac:dyDescent="0.25">
      <c r="A422" s="76">
        <v>421</v>
      </c>
      <c r="B422" s="270" t="s">
        <v>786</v>
      </c>
      <c r="C422" s="915"/>
      <c r="D422" s="412" t="s">
        <v>786</v>
      </c>
    </row>
    <row r="423" spans="1:4" x14ac:dyDescent="0.25">
      <c r="A423" s="76">
        <v>422</v>
      </c>
      <c r="B423" s="268" t="s">
        <v>787</v>
      </c>
      <c r="C423" s="914"/>
      <c r="D423" s="435" t="s">
        <v>787</v>
      </c>
    </row>
    <row r="424" spans="1:4" x14ac:dyDescent="0.25">
      <c r="A424" s="76">
        <v>423</v>
      </c>
      <c r="B424" s="268" t="s">
        <v>788</v>
      </c>
      <c r="C424" s="914"/>
      <c r="D424" s="435" t="s">
        <v>788</v>
      </c>
    </row>
    <row r="425" spans="1:4" x14ac:dyDescent="0.25">
      <c r="A425" s="76">
        <v>424</v>
      </c>
      <c r="B425" s="268" t="s">
        <v>789</v>
      </c>
      <c r="C425" s="914"/>
      <c r="D425" s="435" t="s">
        <v>789</v>
      </c>
    </row>
    <row r="426" spans="1:4" x14ac:dyDescent="0.25">
      <c r="A426" s="76">
        <v>425</v>
      </c>
      <c r="B426" s="270" t="s">
        <v>790</v>
      </c>
      <c r="C426" s="915"/>
      <c r="D426" s="412" t="s">
        <v>790</v>
      </c>
    </row>
    <row r="427" spans="1:4" x14ac:dyDescent="0.25">
      <c r="A427" s="76">
        <v>426</v>
      </c>
      <c r="B427" s="268" t="s">
        <v>791</v>
      </c>
      <c r="C427" s="914"/>
      <c r="D427" s="435" t="s">
        <v>791</v>
      </c>
    </row>
    <row r="428" spans="1:4" x14ac:dyDescent="0.25">
      <c r="A428" s="76">
        <v>427</v>
      </c>
      <c r="B428" s="268" t="s">
        <v>792</v>
      </c>
      <c r="C428" s="914"/>
      <c r="D428" s="435" t="s">
        <v>792</v>
      </c>
    </row>
    <row r="429" spans="1:4" x14ac:dyDescent="0.25">
      <c r="A429" s="76">
        <v>428</v>
      </c>
      <c r="B429" s="268" t="s">
        <v>793</v>
      </c>
      <c r="C429" s="914"/>
      <c r="D429" s="435" t="s">
        <v>793</v>
      </c>
    </row>
    <row r="430" spans="1:4" x14ac:dyDescent="0.25">
      <c r="A430" s="76">
        <v>429</v>
      </c>
      <c r="B430" s="268" t="s">
        <v>794</v>
      </c>
      <c r="C430" s="914"/>
      <c r="D430" s="435" t="s">
        <v>794</v>
      </c>
    </row>
    <row r="431" spans="1:4" x14ac:dyDescent="0.25">
      <c r="A431" s="76">
        <v>430</v>
      </c>
      <c r="B431" s="268" t="s">
        <v>795</v>
      </c>
      <c r="C431" s="914"/>
      <c r="D431" s="435" t="s">
        <v>795</v>
      </c>
    </row>
    <row r="432" spans="1:4" x14ac:dyDescent="0.25">
      <c r="A432" s="76">
        <v>431</v>
      </c>
      <c r="B432" s="268" t="s">
        <v>796</v>
      </c>
      <c r="C432" s="914"/>
      <c r="D432" s="435" t="s">
        <v>796</v>
      </c>
    </row>
    <row r="433" spans="1:4" x14ac:dyDescent="0.25">
      <c r="A433" s="76">
        <v>432</v>
      </c>
      <c r="B433" s="268" t="s">
        <v>797</v>
      </c>
      <c r="C433" s="914"/>
      <c r="D433" s="435" t="s">
        <v>797</v>
      </c>
    </row>
    <row r="434" spans="1:4" x14ac:dyDescent="0.25">
      <c r="A434" s="76">
        <v>433</v>
      </c>
      <c r="B434" s="268" t="s">
        <v>798</v>
      </c>
      <c r="C434" s="914"/>
      <c r="D434" s="435" t="s">
        <v>798</v>
      </c>
    </row>
    <row r="435" spans="1:4" x14ac:dyDescent="0.25">
      <c r="A435" s="76">
        <v>434</v>
      </c>
      <c r="B435" s="268" t="s">
        <v>799</v>
      </c>
      <c r="C435" s="914"/>
      <c r="D435" s="435" t="s">
        <v>799</v>
      </c>
    </row>
    <row r="436" spans="1:4" x14ac:dyDescent="0.25">
      <c r="A436" s="76">
        <v>435</v>
      </c>
      <c r="B436" s="268" t="s">
        <v>800</v>
      </c>
      <c r="C436" s="914"/>
      <c r="D436" s="435" t="s">
        <v>800</v>
      </c>
    </row>
    <row r="437" spans="1:4" x14ac:dyDescent="0.25">
      <c r="A437" s="76">
        <v>436</v>
      </c>
      <c r="B437" s="268" t="s">
        <v>801</v>
      </c>
      <c r="C437" s="914"/>
      <c r="D437" s="435" t="s">
        <v>801</v>
      </c>
    </row>
    <row r="438" spans="1:4" x14ac:dyDescent="0.25">
      <c r="A438" s="76">
        <v>437</v>
      </c>
      <c r="B438" s="268" t="s">
        <v>802</v>
      </c>
      <c r="C438" s="914"/>
      <c r="D438" s="435" t="s">
        <v>802</v>
      </c>
    </row>
    <row r="439" spans="1:4" x14ac:dyDescent="0.25">
      <c r="A439" s="76">
        <v>438</v>
      </c>
      <c r="B439" s="268" t="s">
        <v>803</v>
      </c>
      <c r="C439" s="914"/>
      <c r="D439" s="435" t="s">
        <v>803</v>
      </c>
    </row>
    <row r="440" spans="1:4" x14ac:dyDescent="0.25">
      <c r="A440" s="76">
        <v>439</v>
      </c>
      <c r="B440" s="270" t="s">
        <v>804</v>
      </c>
      <c r="C440" s="915"/>
      <c r="D440" s="412" t="s">
        <v>804</v>
      </c>
    </row>
    <row r="441" spans="1:4" x14ac:dyDescent="0.25">
      <c r="A441" s="76">
        <v>440</v>
      </c>
      <c r="B441" s="270" t="s">
        <v>805</v>
      </c>
      <c r="C441" s="915"/>
      <c r="D441" s="412" t="s">
        <v>805</v>
      </c>
    </row>
    <row r="442" spans="1:4" x14ac:dyDescent="0.25">
      <c r="A442" s="76">
        <v>441</v>
      </c>
      <c r="B442" s="268" t="s">
        <v>806</v>
      </c>
      <c r="C442" s="914"/>
      <c r="D442" s="435" t="s">
        <v>806</v>
      </c>
    </row>
    <row r="443" spans="1:4" x14ac:dyDescent="0.25">
      <c r="A443" s="76">
        <v>442</v>
      </c>
      <c r="B443" s="268" t="s">
        <v>807</v>
      </c>
      <c r="C443" s="914"/>
      <c r="D443" s="435" t="s">
        <v>807</v>
      </c>
    </row>
    <row r="444" spans="1:4" x14ac:dyDescent="0.25">
      <c r="A444" s="76">
        <v>443</v>
      </c>
      <c r="B444" s="268" t="s">
        <v>808</v>
      </c>
      <c r="C444" s="914"/>
      <c r="D444" s="435" t="s">
        <v>808</v>
      </c>
    </row>
    <row r="445" spans="1:4" x14ac:dyDescent="0.25">
      <c r="A445" s="76">
        <v>444</v>
      </c>
      <c r="B445" s="268" t="s">
        <v>809</v>
      </c>
      <c r="C445" s="914"/>
      <c r="D445" s="435" t="s">
        <v>809</v>
      </c>
    </row>
    <row r="446" spans="1:4" x14ac:dyDescent="0.25">
      <c r="A446" s="76">
        <v>445</v>
      </c>
      <c r="B446" s="268" t="s">
        <v>810</v>
      </c>
      <c r="C446" s="914"/>
      <c r="D446" s="435" t="s">
        <v>810</v>
      </c>
    </row>
    <row r="447" spans="1:4" x14ac:dyDescent="0.25">
      <c r="A447" s="76">
        <v>446</v>
      </c>
      <c r="B447" s="268" t="s">
        <v>811</v>
      </c>
      <c r="C447" s="914"/>
      <c r="D447" s="435" t="s">
        <v>811</v>
      </c>
    </row>
    <row r="448" spans="1:4" x14ac:dyDescent="0.25">
      <c r="A448" s="76">
        <v>447</v>
      </c>
      <c r="B448" s="268" t="s">
        <v>812</v>
      </c>
      <c r="C448" s="914"/>
      <c r="D448" s="435" t="s">
        <v>812</v>
      </c>
    </row>
    <row r="449" spans="1:4" x14ac:dyDescent="0.25">
      <c r="A449" s="76">
        <v>448</v>
      </c>
      <c r="B449" s="270" t="s">
        <v>813</v>
      </c>
      <c r="C449" s="915"/>
      <c r="D449" s="412" t="s">
        <v>813</v>
      </c>
    </row>
    <row r="450" spans="1:4" x14ac:dyDescent="0.25">
      <c r="A450" s="76">
        <v>449</v>
      </c>
      <c r="B450" s="270" t="s">
        <v>814</v>
      </c>
      <c r="C450" s="915"/>
      <c r="D450" s="412" t="s">
        <v>814</v>
      </c>
    </row>
    <row r="451" spans="1:4" x14ac:dyDescent="0.25">
      <c r="A451" s="76">
        <v>450</v>
      </c>
      <c r="B451" s="268" t="s">
        <v>815</v>
      </c>
      <c r="C451" s="914"/>
      <c r="D451" s="435" t="s">
        <v>815</v>
      </c>
    </row>
    <row r="452" spans="1:4" x14ac:dyDescent="0.25">
      <c r="A452" s="76">
        <v>451</v>
      </c>
      <c r="B452" s="268" t="s">
        <v>816</v>
      </c>
      <c r="C452" s="914"/>
      <c r="D452" s="435" t="s">
        <v>816</v>
      </c>
    </row>
    <row r="453" spans="1:4" x14ac:dyDescent="0.25">
      <c r="A453" s="76">
        <v>452</v>
      </c>
      <c r="B453" s="268" t="s">
        <v>817</v>
      </c>
      <c r="C453" s="914"/>
      <c r="D453" s="435" t="s">
        <v>817</v>
      </c>
    </row>
    <row r="454" spans="1:4" x14ac:dyDescent="0.25">
      <c r="A454" s="76">
        <v>453</v>
      </c>
      <c r="B454" s="268" t="s">
        <v>818</v>
      </c>
      <c r="C454" s="914"/>
      <c r="D454" s="435" t="s">
        <v>818</v>
      </c>
    </row>
    <row r="455" spans="1:4" x14ac:dyDescent="0.25">
      <c r="A455" s="76">
        <v>454</v>
      </c>
      <c r="B455" s="268" t="s">
        <v>819</v>
      </c>
      <c r="C455" s="914"/>
      <c r="D455" s="435" t="s">
        <v>819</v>
      </c>
    </row>
    <row r="456" spans="1:4" x14ac:dyDescent="0.25">
      <c r="A456" s="76">
        <v>455</v>
      </c>
      <c r="B456" s="268" t="s">
        <v>820</v>
      </c>
      <c r="C456" s="914"/>
      <c r="D456" s="435" t="s">
        <v>820</v>
      </c>
    </row>
    <row r="457" spans="1:4" x14ac:dyDescent="0.25">
      <c r="A457" s="76">
        <v>456</v>
      </c>
      <c r="B457" s="268" t="s">
        <v>821</v>
      </c>
      <c r="C457" s="914"/>
      <c r="D457" s="435" t="s">
        <v>821</v>
      </c>
    </row>
    <row r="458" spans="1:4" x14ac:dyDescent="0.25">
      <c r="A458" s="76">
        <v>457</v>
      </c>
      <c r="B458" s="268" t="s">
        <v>822</v>
      </c>
      <c r="C458" s="914"/>
      <c r="D458" s="435" t="s">
        <v>822</v>
      </c>
    </row>
    <row r="459" spans="1:4" x14ac:dyDescent="0.25">
      <c r="A459" s="76">
        <v>458</v>
      </c>
      <c r="B459" s="268" t="s">
        <v>823</v>
      </c>
      <c r="C459" s="914"/>
      <c r="D459" s="435" t="s">
        <v>823</v>
      </c>
    </row>
    <row r="460" spans="1:4" x14ac:dyDescent="0.25">
      <c r="A460" s="76">
        <v>459</v>
      </c>
      <c r="B460" s="270" t="s">
        <v>824</v>
      </c>
      <c r="C460" s="915"/>
      <c r="D460" s="412" t="s">
        <v>824</v>
      </c>
    </row>
    <row r="461" spans="1:4" x14ac:dyDescent="0.25">
      <c r="A461" s="76">
        <v>460</v>
      </c>
      <c r="B461" s="268" t="s">
        <v>825</v>
      </c>
      <c r="C461" s="914"/>
      <c r="D461" s="435" t="s">
        <v>825</v>
      </c>
    </row>
    <row r="462" spans="1:4" x14ac:dyDescent="0.25">
      <c r="A462" s="76">
        <v>461</v>
      </c>
      <c r="B462" s="268" t="s">
        <v>826</v>
      </c>
      <c r="C462" s="914"/>
      <c r="D462" s="435" t="s">
        <v>826</v>
      </c>
    </row>
    <row r="463" spans="1:4" x14ac:dyDescent="0.25">
      <c r="A463" s="76" t="s">
        <v>337</v>
      </c>
      <c r="B463" s="268" t="s">
        <v>827</v>
      </c>
      <c r="C463" s="914"/>
      <c r="D463" s="435" t="s">
        <v>827</v>
      </c>
    </row>
    <row r="464" spans="1:4" x14ac:dyDescent="0.25">
      <c r="A464" s="76">
        <v>463</v>
      </c>
      <c r="B464" s="268" t="s">
        <v>828</v>
      </c>
      <c r="C464" s="914"/>
      <c r="D464" s="435" t="s">
        <v>828</v>
      </c>
    </row>
    <row r="465" spans="1:4" x14ac:dyDescent="0.25">
      <c r="A465" s="76">
        <v>464</v>
      </c>
      <c r="B465" s="268" t="s">
        <v>829</v>
      </c>
      <c r="C465" s="914"/>
      <c r="D465" s="435" t="s">
        <v>829</v>
      </c>
    </row>
    <row r="466" spans="1:4" x14ac:dyDescent="0.25">
      <c r="A466" s="76">
        <v>465</v>
      </c>
      <c r="B466" s="268" t="s">
        <v>830</v>
      </c>
      <c r="C466" s="914"/>
      <c r="D466" s="435" t="s">
        <v>830</v>
      </c>
    </row>
    <row r="467" spans="1:4" x14ac:dyDescent="0.25">
      <c r="A467" s="76">
        <v>466</v>
      </c>
      <c r="B467" s="268" t="s">
        <v>831</v>
      </c>
      <c r="C467" s="914"/>
      <c r="D467" s="435" t="s">
        <v>831</v>
      </c>
    </row>
    <row r="468" spans="1:4" x14ac:dyDescent="0.25">
      <c r="A468" s="76">
        <v>467</v>
      </c>
      <c r="B468" s="268" t="s">
        <v>832</v>
      </c>
      <c r="C468" s="914"/>
      <c r="D468" s="435" t="s">
        <v>832</v>
      </c>
    </row>
    <row r="469" spans="1:4" x14ac:dyDescent="0.25">
      <c r="A469" s="76">
        <v>468</v>
      </c>
      <c r="B469" s="268" t="s">
        <v>833</v>
      </c>
      <c r="C469" s="914"/>
      <c r="D469" s="435" t="s">
        <v>833</v>
      </c>
    </row>
    <row r="470" spans="1:4" x14ac:dyDescent="0.25">
      <c r="A470" s="76">
        <v>469</v>
      </c>
      <c r="B470" s="268" t="s">
        <v>834</v>
      </c>
      <c r="C470" s="914"/>
      <c r="D470" s="435" t="s">
        <v>834</v>
      </c>
    </row>
    <row r="471" spans="1:4" x14ac:dyDescent="0.25">
      <c r="A471" s="76">
        <v>470</v>
      </c>
      <c r="B471" s="268" t="s">
        <v>835</v>
      </c>
      <c r="C471" s="914"/>
      <c r="D471" s="435" t="s">
        <v>835</v>
      </c>
    </row>
    <row r="472" spans="1:4" x14ac:dyDescent="0.25">
      <c r="A472" s="76" t="s">
        <v>337</v>
      </c>
      <c r="B472" s="268" t="s">
        <v>836</v>
      </c>
      <c r="C472" s="914"/>
      <c r="D472" s="435" t="s">
        <v>836</v>
      </c>
    </row>
    <row r="473" spans="1:4" x14ac:dyDescent="0.25">
      <c r="A473" s="76">
        <v>472</v>
      </c>
      <c r="B473" s="268" t="s">
        <v>837</v>
      </c>
      <c r="C473" s="914"/>
      <c r="D473" s="435" t="s">
        <v>837</v>
      </c>
    </row>
    <row r="474" spans="1:4" x14ac:dyDescent="0.25">
      <c r="A474" s="76">
        <v>473</v>
      </c>
      <c r="B474" s="268" t="s">
        <v>838</v>
      </c>
      <c r="C474" s="914"/>
      <c r="D474" s="435" t="s">
        <v>838</v>
      </c>
    </row>
    <row r="475" spans="1:4" x14ac:dyDescent="0.25">
      <c r="A475" s="76">
        <v>474</v>
      </c>
      <c r="B475" s="268" t="s">
        <v>839</v>
      </c>
      <c r="C475" s="914"/>
      <c r="D475" s="435" t="s">
        <v>839</v>
      </c>
    </row>
    <row r="476" spans="1:4" x14ac:dyDescent="0.25">
      <c r="A476" s="76">
        <v>475</v>
      </c>
      <c r="B476" s="268" t="s">
        <v>840</v>
      </c>
      <c r="C476" s="914"/>
      <c r="D476" s="435" t="s">
        <v>840</v>
      </c>
    </row>
    <row r="477" spans="1:4" x14ac:dyDescent="0.25">
      <c r="A477" s="76">
        <v>476</v>
      </c>
      <c r="B477" s="268" t="s">
        <v>841</v>
      </c>
      <c r="C477" s="914"/>
      <c r="D477" s="435" t="s">
        <v>841</v>
      </c>
    </row>
    <row r="478" spans="1:4" x14ac:dyDescent="0.25">
      <c r="A478" s="76">
        <v>477</v>
      </c>
      <c r="B478" s="268" t="s">
        <v>842</v>
      </c>
      <c r="C478" s="914"/>
      <c r="D478" s="435" t="s">
        <v>842</v>
      </c>
    </row>
    <row r="479" spans="1:4" x14ac:dyDescent="0.25">
      <c r="A479" s="76">
        <v>478</v>
      </c>
      <c r="B479" s="268" t="s">
        <v>843</v>
      </c>
      <c r="C479" s="914"/>
      <c r="D479" s="435" t="s">
        <v>843</v>
      </c>
    </row>
    <row r="480" spans="1:4" x14ac:dyDescent="0.25">
      <c r="A480" s="76">
        <v>479</v>
      </c>
      <c r="B480" s="270" t="s">
        <v>844</v>
      </c>
      <c r="C480" s="915"/>
      <c r="D480" s="412" t="s">
        <v>844</v>
      </c>
    </row>
    <row r="481" spans="1:4" x14ac:dyDescent="0.25">
      <c r="A481" s="76">
        <v>480</v>
      </c>
      <c r="B481" s="268" t="s">
        <v>845</v>
      </c>
      <c r="C481" s="914"/>
      <c r="D481" s="435" t="s">
        <v>845</v>
      </c>
    </row>
    <row r="482" spans="1:4" x14ac:dyDescent="0.25">
      <c r="A482" s="76">
        <v>481</v>
      </c>
      <c r="B482" s="268" t="s">
        <v>846</v>
      </c>
      <c r="C482" s="914"/>
      <c r="D482" s="435" t="s">
        <v>846</v>
      </c>
    </row>
    <row r="483" spans="1:4" x14ac:dyDescent="0.25">
      <c r="A483" s="76">
        <v>482</v>
      </c>
      <c r="B483" s="268" t="s">
        <v>847</v>
      </c>
      <c r="C483" s="914"/>
      <c r="D483" s="435" t="s">
        <v>847</v>
      </c>
    </row>
    <row r="484" spans="1:4" x14ac:dyDescent="0.25">
      <c r="A484" s="76">
        <v>483</v>
      </c>
      <c r="B484" s="268" t="s">
        <v>848</v>
      </c>
      <c r="C484" s="914"/>
      <c r="D484" s="435" t="s">
        <v>848</v>
      </c>
    </row>
    <row r="485" spans="1:4" x14ac:dyDescent="0.25">
      <c r="A485" s="76">
        <v>484</v>
      </c>
      <c r="B485" s="268" t="s">
        <v>849</v>
      </c>
      <c r="C485" s="914"/>
      <c r="D485" s="435" t="s">
        <v>849</v>
      </c>
    </row>
    <row r="486" spans="1:4" x14ac:dyDescent="0.25">
      <c r="A486" s="76">
        <v>485</v>
      </c>
      <c r="B486" s="268" t="s">
        <v>850</v>
      </c>
      <c r="C486" s="914"/>
      <c r="D486" s="435" t="s">
        <v>850</v>
      </c>
    </row>
    <row r="487" spans="1:4" x14ac:dyDescent="0.25">
      <c r="A487" s="76">
        <v>486</v>
      </c>
      <c r="B487" s="268" t="s">
        <v>851</v>
      </c>
      <c r="C487" s="914"/>
      <c r="D487" s="435" t="s">
        <v>851</v>
      </c>
    </row>
    <row r="488" spans="1:4" x14ac:dyDescent="0.25">
      <c r="A488" s="76">
        <v>487</v>
      </c>
      <c r="B488" s="268" t="s">
        <v>852</v>
      </c>
      <c r="C488" s="914"/>
      <c r="D488" s="435" t="s">
        <v>852</v>
      </c>
    </row>
    <row r="489" spans="1:4" x14ac:dyDescent="0.25">
      <c r="A489" s="76">
        <v>488</v>
      </c>
      <c r="B489" s="268" t="s">
        <v>853</v>
      </c>
      <c r="C489" s="914"/>
      <c r="D489" s="435" t="s">
        <v>853</v>
      </c>
    </row>
    <row r="490" spans="1:4" x14ac:dyDescent="0.25">
      <c r="A490" s="76">
        <v>489</v>
      </c>
      <c r="B490" s="268" t="s">
        <v>854</v>
      </c>
      <c r="C490" s="914"/>
      <c r="D490" s="435" t="s">
        <v>854</v>
      </c>
    </row>
    <row r="491" spans="1:4" x14ac:dyDescent="0.25">
      <c r="A491" s="76">
        <v>490</v>
      </c>
      <c r="B491" s="268" t="s">
        <v>855</v>
      </c>
      <c r="C491" s="914"/>
      <c r="D491" s="435" t="s">
        <v>855</v>
      </c>
    </row>
    <row r="492" spans="1:4" x14ac:dyDescent="0.25">
      <c r="A492" s="76">
        <v>491</v>
      </c>
      <c r="B492" s="268" t="s">
        <v>856</v>
      </c>
      <c r="C492" s="914"/>
      <c r="D492" s="435" t="s">
        <v>856</v>
      </c>
    </row>
    <row r="493" spans="1:4" x14ac:dyDescent="0.25">
      <c r="A493" s="76">
        <v>492</v>
      </c>
      <c r="B493" s="268" t="s">
        <v>857</v>
      </c>
      <c r="C493" s="914"/>
      <c r="D493" s="435" t="s">
        <v>857</v>
      </c>
    </row>
    <row r="494" spans="1:4" x14ac:dyDescent="0.25">
      <c r="A494" s="76">
        <v>493</v>
      </c>
      <c r="B494" s="268" t="s">
        <v>858</v>
      </c>
      <c r="C494" s="914"/>
      <c r="D494" s="435" t="s">
        <v>858</v>
      </c>
    </row>
    <row r="495" spans="1:4" x14ac:dyDescent="0.25">
      <c r="A495" s="76">
        <v>494</v>
      </c>
      <c r="B495" s="268" t="s">
        <v>859</v>
      </c>
      <c r="C495" s="914"/>
      <c r="D495" s="435" t="s">
        <v>859</v>
      </c>
    </row>
    <row r="496" spans="1:4" x14ac:dyDescent="0.25">
      <c r="A496" s="76">
        <v>495</v>
      </c>
      <c r="B496" s="268" t="s">
        <v>860</v>
      </c>
      <c r="C496" s="914"/>
      <c r="D496" s="435" t="s">
        <v>860</v>
      </c>
    </row>
    <row r="497" spans="1:4" x14ac:dyDescent="0.25">
      <c r="A497" s="76">
        <v>496</v>
      </c>
      <c r="B497" s="268" t="s">
        <v>861</v>
      </c>
      <c r="C497" s="914"/>
      <c r="D497" s="435" t="s">
        <v>861</v>
      </c>
    </row>
    <row r="498" spans="1:4" x14ac:dyDescent="0.25">
      <c r="A498" s="76">
        <v>497</v>
      </c>
      <c r="B498" s="268" t="s">
        <v>862</v>
      </c>
      <c r="C498" s="914"/>
      <c r="D498" s="435" t="s">
        <v>862</v>
      </c>
    </row>
    <row r="499" spans="1:4" x14ac:dyDescent="0.25">
      <c r="A499" s="76">
        <v>498</v>
      </c>
      <c r="B499" s="268" t="s">
        <v>863</v>
      </c>
      <c r="C499" s="914"/>
      <c r="D499" s="435" t="s">
        <v>863</v>
      </c>
    </row>
    <row r="500" spans="1:4" x14ac:dyDescent="0.25">
      <c r="A500" s="76">
        <v>499</v>
      </c>
      <c r="B500" s="268" t="s">
        <v>864</v>
      </c>
      <c r="C500" s="914"/>
      <c r="D500" s="435" t="s">
        <v>864</v>
      </c>
    </row>
    <row r="501" spans="1:4" x14ac:dyDescent="0.25">
      <c r="A501" s="76">
        <v>500</v>
      </c>
      <c r="B501" s="270" t="s">
        <v>865</v>
      </c>
      <c r="C501" s="915"/>
      <c r="D501" s="412" t="s">
        <v>865</v>
      </c>
    </row>
    <row r="502" spans="1:4" x14ac:dyDescent="0.25">
      <c r="A502" s="76">
        <v>501</v>
      </c>
      <c r="B502" s="268" t="s">
        <v>866</v>
      </c>
      <c r="C502" s="914"/>
      <c r="D502" s="435" t="s">
        <v>866</v>
      </c>
    </row>
    <row r="503" spans="1:4" x14ac:dyDescent="0.25">
      <c r="A503" s="76">
        <v>502</v>
      </c>
      <c r="B503" s="268" t="s">
        <v>867</v>
      </c>
      <c r="C503" s="914"/>
      <c r="D503" s="435" t="s">
        <v>867</v>
      </c>
    </row>
    <row r="504" spans="1:4" x14ac:dyDescent="0.25">
      <c r="A504" s="76">
        <v>503</v>
      </c>
      <c r="B504" s="268" t="s">
        <v>868</v>
      </c>
      <c r="C504" s="914"/>
      <c r="D504" s="435" t="s">
        <v>868</v>
      </c>
    </row>
    <row r="505" spans="1:4" x14ac:dyDescent="0.25">
      <c r="A505" s="76">
        <v>504</v>
      </c>
      <c r="B505" s="268" t="s">
        <v>869</v>
      </c>
      <c r="C505" s="914"/>
      <c r="D505" s="435" t="s">
        <v>869</v>
      </c>
    </row>
    <row r="506" spans="1:4" x14ac:dyDescent="0.25">
      <c r="A506" s="76">
        <v>505</v>
      </c>
      <c r="B506" s="268" t="s">
        <v>870</v>
      </c>
      <c r="C506" s="914"/>
      <c r="D506" s="435" t="s">
        <v>870</v>
      </c>
    </row>
    <row r="507" spans="1:4" x14ac:dyDescent="0.25">
      <c r="A507" s="76">
        <v>506</v>
      </c>
      <c r="B507" s="268" t="s">
        <v>871</v>
      </c>
      <c r="C507" s="914"/>
      <c r="D507" s="435" t="s">
        <v>871</v>
      </c>
    </row>
    <row r="508" spans="1:4" x14ac:dyDescent="0.25">
      <c r="A508" s="76" t="s">
        <v>337</v>
      </c>
      <c r="B508" s="268" t="s">
        <v>872</v>
      </c>
      <c r="C508" s="914"/>
      <c r="D508" s="435" t="s">
        <v>872</v>
      </c>
    </row>
    <row r="509" spans="1:4" x14ac:dyDescent="0.25">
      <c r="A509" s="76">
        <v>508</v>
      </c>
      <c r="B509" s="268" t="s">
        <v>873</v>
      </c>
      <c r="C509" s="914"/>
      <c r="D509" s="435" t="s">
        <v>873</v>
      </c>
    </row>
    <row r="510" spans="1:4" x14ac:dyDescent="0.25">
      <c r="A510" s="76">
        <v>509</v>
      </c>
      <c r="B510" s="268" t="s">
        <v>874</v>
      </c>
      <c r="C510" s="914"/>
      <c r="D510" s="435" t="s">
        <v>874</v>
      </c>
    </row>
    <row r="511" spans="1:4" x14ac:dyDescent="0.25">
      <c r="A511" s="76">
        <v>510</v>
      </c>
      <c r="B511" s="268" t="s">
        <v>875</v>
      </c>
      <c r="C511" s="914"/>
      <c r="D511" s="435" t="s">
        <v>875</v>
      </c>
    </row>
    <row r="512" spans="1:4" x14ac:dyDescent="0.25">
      <c r="A512" s="76">
        <v>511</v>
      </c>
      <c r="B512" s="268" t="s">
        <v>876</v>
      </c>
      <c r="C512" s="914"/>
      <c r="D512" s="435" t="s">
        <v>876</v>
      </c>
    </row>
    <row r="513" spans="1:4" x14ac:dyDescent="0.25">
      <c r="A513" s="76">
        <v>512</v>
      </c>
      <c r="B513" s="268" t="s">
        <v>877</v>
      </c>
      <c r="C513" s="914"/>
      <c r="D513" s="435" t="s">
        <v>877</v>
      </c>
    </row>
    <row r="514" spans="1:4" x14ac:dyDescent="0.25">
      <c r="A514" s="76">
        <v>513</v>
      </c>
      <c r="B514" s="268" t="s">
        <v>878</v>
      </c>
      <c r="C514" s="914"/>
      <c r="D514" s="435" t="s">
        <v>878</v>
      </c>
    </row>
    <row r="515" spans="1:4" x14ac:dyDescent="0.25">
      <c r="A515" s="76">
        <v>514</v>
      </c>
      <c r="B515" s="268" t="s">
        <v>879</v>
      </c>
      <c r="C515" s="914"/>
      <c r="D515" s="435" t="s">
        <v>879</v>
      </c>
    </row>
    <row r="516" spans="1:4" x14ac:dyDescent="0.25">
      <c r="A516" s="76">
        <v>515</v>
      </c>
      <c r="B516" s="268" t="s">
        <v>880</v>
      </c>
      <c r="C516" s="914"/>
      <c r="D516" s="435" t="s">
        <v>880</v>
      </c>
    </row>
    <row r="517" spans="1:4" x14ac:dyDescent="0.25">
      <c r="A517" s="76">
        <v>516</v>
      </c>
      <c r="B517" s="268" t="s">
        <v>881</v>
      </c>
      <c r="C517" s="914"/>
      <c r="D517" s="435" t="s">
        <v>881</v>
      </c>
    </row>
    <row r="518" spans="1:4" x14ac:dyDescent="0.25">
      <c r="A518" s="76">
        <v>517</v>
      </c>
      <c r="B518" s="268" t="s">
        <v>882</v>
      </c>
      <c r="C518" s="914"/>
      <c r="D518" s="435" t="s">
        <v>882</v>
      </c>
    </row>
    <row r="519" spans="1:4" x14ac:dyDescent="0.25">
      <c r="A519" s="76">
        <v>518</v>
      </c>
      <c r="B519" s="268" t="s">
        <v>883</v>
      </c>
      <c r="C519" s="914"/>
      <c r="D519" s="435" t="s">
        <v>883</v>
      </c>
    </row>
    <row r="520" spans="1:4" x14ac:dyDescent="0.25">
      <c r="A520" s="76">
        <v>519</v>
      </c>
      <c r="B520" s="268" t="s">
        <v>884</v>
      </c>
      <c r="C520" s="914"/>
      <c r="D520" s="435" t="s">
        <v>884</v>
      </c>
    </row>
    <row r="521" spans="1:4" x14ac:dyDescent="0.25">
      <c r="A521" s="76">
        <v>520</v>
      </c>
      <c r="B521" s="268" t="s">
        <v>885</v>
      </c>
      <c r="C521" s="914"/>
      <c r="D521" s="435" t="s">
        <v>885</v>
      </c>
    </row>
    <row r="522" spans="1:4" x14ac:dyDescent="0.25">
      <c r="A522" s="76">
        <v>521</v>
      </c>
      <c r="B522" s="268" t="s">
        <v>886</v>
      </c>
      <c r="C522" s="914"/>
      <c r="D522" s="435" t="s">
        <v>886</v>
      </c>
    </row>
    <row r="523" spans="1:4" x14ac:dyDescent="0.25">
      <c r="A523" s="76">
        <v>522</v>
      </c>
      <c r="B523" s="268" t="s">
        <v>887</v>
      </c>
      <c r="C523" s="914"/>
      <c r="D523" s="435" t="s">
        <v>887</v>
      </c>
    </row>
    <row r="524" spans="1:4" x14ac:dyDescent="0.25">
      <c r="A524" s="76" t="s">
        <v>337</v>
      </c>
      <c r="B524" s="268" t="s">
        <v>888</v>
      </c>
      <c r="C524" s="914"/>
      <c r="D524" s="435" t="s">
        <v>888</v>
      </c>
    </row>
    <row r="525" spans="1:4" x14ac:dyDescent="0.25">
      <c r="A525" s="76">
        <v>524</v>
      </c>
      <c r="B525" s="268" t="s">
        <v>889</v>
      </c>
      <c r="C525" s="914"/>
      <c r="D525" s="435" t="s">
        <v>889</v>
      </c>
    </row>
    <row r="526" spans="1:4" x14ac:dyDescent="0.25">
      <c r="A526" s="76">
        <v>525</v>
      </c>
      <c r="B526" s="268" t="s">
        <v>890</v>
      </c>
      <c r="C526" s="914"/>
      <c r="D526" s="435" t="s">
        <v>890</v>
      </c>
    </row>
    <row r="527" spans="1:4" x14ac:dyDescent="0.25">
      <c r="A527" s="76">
        <v>526</v>
      </c>
      <c r="B527" s="268" t="s">
        <v>891</v>
      </c>
      <c r="C527" s="914"/>
      <c r="D527" s="435" t="s">
        <v>891</v>
      </c>
    </row>
    <row r="528" spans="1:4" ht="12.65" customHeight="1" x14ac:dyDescent="0.25">
      <c r="A528" s="76">
        <v>527</v>
      </c>
      <c r="B528" s="268" t="s">
        <v>892</v>
      </c>
      <c r="C528" s="914"/>
      <c r="D528" s="435" t="s">
        <v>892</v>
      </c>
    </row>
    <row r="529" spans="1:4" x14ac:dyDescent="0.25">
      <c r="A529" s="76">
        <v>528</v>
      </c>
      <c r="B529" s="268" t="s">
        <v>893</v>
      </c>
      <c r="C529" s="914"/>
      <c r="D529" s="435" t="s">
        <v>893</v>
      </c>
    </row>
    <row r="530" spans="1:4" x14ac:dyDescent="0.25">
      <c r="A530" s="76">
        <v>529</v>
      </c>
      <c r="B530" s="268" t="s">
        <v>894</v>
      </c>
      <c r="C530" s="914"/>
      <c r="D530" s="435" t="s">
        <v>894</v>
      </c>
    </row>
    <row r="531" spans="1:4" x14ac:dyDescent="0.25">
      <c r="A531" s="76">
        <v>530</v>
      </c>
      <c r="B531" s="268" t="s">
        <v>895</v>
      </c>
      <c r="C531" s="914"/>
      <c r="D531" s="435" t="s">
        <v>895</v>
      </c>
    </row>
    <row r="532" spans="1:4" x14ac:dyDescent="0.25">
      <c r="A532" s="76">
        <v>531</v>
      </c>
      <c r="B532" s="268" t="s">
        <v>896</v>
      </c>
      <c r="C532" s="914"/>
      <c r="D532" s="435" t="s">
        <v>896</v>
      </c>
    </row>
    <row r="533" spans="1:4" x14ac:dyDescent="0.25">
      <c r="A533" s="76">
        <v>532</v>
      </c>
      <c r="B533" s="270" t="s">
        <v>897</v>
      </c>
      <c r="C533" s="915"/>
      <c r="D533" s="412" t="s">
        <v>897</v>
      </c>
    </row>
    <row r="534" spans="1:4" x14ac:dyDescent="0.25">
      <c r="A534" s="76">
        <v>533</v>
      </c>
      <c r="B534" s="268" t="s">
        <v>898</v>
      </c>
      <c r="C534" s="914"/>
      <c r="D534" s="435" t="s">
        <v>898</v>
      </c>
    </row>
    <row r="535" spans="1:4" x14ac:dyDescent="0.25">
      <c r="A535" s="76">
        <v>534</v>
      </c>
      <c r="B535" s="268" t="s">
        <v>899</v>
      </c>
      <c r="C535" s="914"/>
      <c r="D535" s="435" t="s">
        <v>899</v>
      </c>
    </row>
    <row r="536" spans="1:4" x14ac:dyDescent="0.25">
      <c r="A536" s="76">
        <v>535</v>
      </c>
      <c r="B536" s="268" t="s">
        <v>900</v>
      </c>
      <c r="C536" s="914"/>
      <c r="D536" s="435" t="s">
        <v>900</v>
      </c>
    </row>
    <row r="537" spans="1:4" x14ac:dyDescent="0.25">
      <c r="A537" s="76">
        <v>536</v>
      </c>
      <c r="B537" s="268" t="s">
        <v>901</v>
      </c>
      <c r="C537" s="914"/>
      <c r="D537" s="435" t="s">
        <v>901</v>
      </c>
    </row>
    <row r="538" spans="1:4" x14ac:dyDescent="0.25">
      <c r="A538" s="76">
        <v>537</v>
      </c>
      <c r="B538" s="268" t="s">
        <v>902</v>
      </c>
      <c r="C538" s="914"/>
      <c r="D538" s="435" t="s">
        <v>902</v>
      </c>
    </row>
    <row r="539" spans="1:4" x14ac:dyDescent="0.25">
      <c r="A539" s="76">
        <v>538</v>
      </c>
      <c r="B539" s="268" t="s">
        <v>903</v>
      </c>
      <c r="C539" s="914"/>
      <c r="D539" s="435" t="s">
        <v>903</v>
      </c>
    </row>
    <row r="540" spans="1:4" ht="12.65" customHeight="1" x14ac:dyDescent="0.25">
      <c r="A540" s="76">
        <v>539</v>
      </c>
      <c r="B540" s="268" t="s">
        <v>904</v>
      </c>
      <c r="C540" s="914"/>
      <c r="D540" s="435" t="s">
        <v>904</v>
      </c>
    </row>
    <row r="541" spans="1:4" x14ac:dyDescent="0.25">
      <c r="A541" s="76">
        <v>540</v>
      </c>
      <c r="B541" s="268" t="s">
        <v>905</v>
      </c>
      <c r="C541" s="914"/>
      <c r="D541" s="435" t="s">
        <v>905</v>
      </c>
    </row>
    <row r="542" spans="1:4" x14ac:dyDescent="0.25">
      <c r="A542" s="76">
        <v>541</v>
      </c>
      <c r="B542" s="268" t="s">
        <v>906</v>
      </c>
      <c r="C542" s="914"/>
      <c r="D542" s="435" t="s">
        <v>906</v>
      </c>
    </row>
    <row r="543" spans="1:4" x14ac:dyDescent="0.25">
      <c r="A543" s="76">
        <v>542</v>
      </c>
      <c r="B543" s="268" t="s">
        <v>907</v>
      </c>
      <c r="C543" s="914"/>
      <c r="D543" s="435" t="s">
        <v>907</v>
      </c>
    </row>
    <row r="544" spans="1:4" x14ac:dyDescent="0.25">
      <c r="A544" s="76">
        <v>543</v>
      </c>
      <c r="B544" s="268" t="s">
        <v>908</v>
      </c>
      <c r="C544" s="914"/>
      <c r="D544" s="435" t="s">
        <v>908</v>
      </c>
    </row>
    <row r="545" spans="1:4" x14ac:dyDescent="0.25">
      <c r="A545" s="76">
        <v>544</v>
      </c>
      <c r="B545" s="270" t="s">
        <v>909</v>
      </c>
      <c r="C545" s="915"/>
      <c r="D545" s="412" t="s">
        <v>909</v>
      </c>
    </row>
    <row r="546" spans="1:4" x14ac:dyDescent="0.25">
      <c r="A546" s="76">
        <v>545</v>
      </c>
      <c r="B546" s="270" t="s">
        <v>910</v>
      </c>
      <c r="C546" s="915"/>
      <c r="D546" s="412" t="s">
        <v>910</v>
      </c>
    </row>
    <row r="547" spans="1:4" x14ac:dyDescent="0.25">
      <c r="A547" s="76" t="s">
        <v>337</v>
      </c>
      <c r="B547" s="268" t="s">
        <v>911</v>
      </c>
      <c r="C547" s="914"/>
      <c r="D547" s="435" t="s">
        <v>911</v>
      </c>
    </row>
    <row r="548" spans="1:4" x14ac:dyDescent="0.25">
      <c r="A548" s="76">
        <v>547</v>
      </c>
      <c r="B548" s="268" t="s">
        <v>912</v>
      </c>
      <c r="C548" s="914"/>
      <c r="D548" s="435" t="s">
        <v>912</v>
      </c>
    </row>
    <row r="549" spans="1:4" x14ac:dyDescent="0.25">
      <c r="A549" s="76">
        <v>548</v>
      </c>
      <c r="B549" s="268" t="s">
        <v>913</v>
      </c>
      <c r="C549" s="914"/>
      <c r="D549" s="435" t="s">
        <v>913</v>
      </c>
    </row>
    <row r="550" spans="1:4" x14ac:dyDescent="0.25">
      <c r="A550" s="76">
        <v>549</v>
      </c>
      <c r="B550" s="270" t="s">
        <v>914</v>
      </c>
      <c r="C550" s="915"/>
      <c r="D550" s="412" t="s">
        <v>914</v>
      </c>
    </row>
    <row r="551" spans="1:4" x14ac:dyDescent="0.25">
      <c r="A551" s="76" t="s">
        <v>337</v>
      </c>
      <c r="B551" s="268" t="s">
        <v>915</v>
      </c>
      <c r="C551" s="914"/>
      <c r="D551" s="435" t="s">
        <v>915</v>
      </c>
    </row>
    <row r="552" spans="1:4" x14ac:dyDescent="0.25">
      <c r="A552" s="76">
        <v>551</v>
      </c>
      <c r="B552" s="268" t="s">
        <v>916</v>
      </c>
      <c r="C552" s="914"/>
      <c r="D552" s="435" t="s">
        <v>916</v>
      </c>
    </row>
    <row r="553" spans="1:4" x14ac:dyDescent="0.25">
      <c r="A553" s="76">
        <v>552</v>
      </c>
      <c r="B553" s="268" t="s">
        <v>917</v>
      </c>
      <c r="C553" s="914"/>
      <c r="D553" s="435" t="s">
        <v>917</v>
      </c>
    </row>
    <row r="554" spans="1:4" x14ac:dyDescent="0.25">
      <c r="A554" s="76">
        <v>553</v>
      </c>
      <c r="B554" s="268" t="s">
        <v>918</v>
      </c>
      <c r="C554" s="914"/>
      <c r="D554" s="435" t="s">
        <v>918</v>
      </c>
    </row>
    <row r="555" spans="1:4" x14ac:dyDescent="0.25">
      <c r="A555" s="76">
        <v>554</v>
      </c>
      <c r="B555" s="268" t="s">
        <v>919</v>
      </c>
      <c r="C555" s="914"/>
      <c r="D555" s="435" t="s">
        <v>919</v>
      </c>
    </row>
    <row r="556" spans="1:4" x14ac:dyDescent="0.25">
      <c r="A556" s="76">
        <v>555</v>
      </c>
      <c r="B556" s="268" t="s">
        <v>920</v>
      </c>
      <c r="C556" s="914"/>
      <c r="D556" s="435" t="s">
        <v>920</v>
      </c>
    </row>
    <row r="557" spans="1:4" x14ac:dyDescent="0.25">
      <c r="A557" s="76">
        <v>556</v>
      </c>
      <c r="B557" s="268" t="s">
        <v>921</v>
      </c>
      <c r="C557" s="914"/>
      <c r="D557" s="435" t="s">
        <v>921</v>
      </c>
    </row>
    <row r="558" spans="1:4" x14ac:dyDescent="0.25">
      <c r="A558" s="76">
        <v>557</v>
      </c>
      <c r="B558" s="268" t="s">
        <v>922</v>
      </c>
      <c r="C558" s="914"/>
      <c r="D558" s="435" t="s">
        <v>922</v>
      </c>
    </row>
    <row r="559" spans="1:4" x14ac:dyDescent="0.25">
      <c r="A559" s="76">
        <v>558</v>
      </c>
      <c r="B559" s="268" t="s">
        <v>923</v>
      </c>
      <c r="C559" s="914"/>
      <c r="D559" s="435" t="s">
        <v>923</v>
      </c>
    </row>
    <row r="560" spans="1:4" x14ac:dyDescent="0.25">
      <c r="A560" s="76">
        <v>559</v>
      </c>
      <c r="B560" s="268" t="s">
        <v>924</v>
      </c>
      <c r="C560" s="914"/>
      <c r="D560" s="435" t="s">
        <v>924</v>
      </c>
    </row>
    <row r="561" spans="1:4" x14ac:dyDescent="0.25">
      <c r="A561" s="76">
        <v>560</v>
      </c>
      <c r="B561" s="268" t="s">
        <v>925</v>
      </c>
      <c r="C561" s="914"/>
      <c r="D561" s="435" t="s">
        <v>925</v>
      </c>
    </row>
    <row r="562" spans="1:4" x14ac:dyDescent="0.25">
      <c r="A562" s="76">
        <v>561</v>
      </c>
      <c r="B562" s="268" t="s">
        <v>926</v>
      </c>
      <c r="C562" s="914"/>
      <c r="D562" s="435" t="s">
        <v>926</v>
      </c>
    </row>
    <row r="563" spans="1:4" x14ac:dyDescent="0.25">
      <c r="A563" s="76">
        <v>562</v>
      </c>
      <c r="B563" s="268" t="s">
        <v>927</v>
      </c>
      <c r="C563" s="914"/>
      <c r="D563" s="435" t="s">
        <v>927</v>
      </c>
    </row>
    <row r="564" spans="1:4" x14ac:dyDescent="0.25">
      <c r="A564" s="76">
        <v>563</v>
      </c>
      <c r="B564" s="268" t="s">
        <v>928</v>
      </c>
      <c r="C564" s="914"/>
      <c r="D564" s="435" t="s">
        <v>928</v>
      </c>
    </row>
    <row r="565" spans="1:4" x14ac:dyDescent="0.25">
      <c r="A565" s="76">
        <v>564</v>
      </c>
      <c r="B565" s="268" t="s">
        <v>929</v>
      </c>
      <c r="C565" s="914"/>
      <c r="D565" s="435" t="s">
        <v>929</v>
      </c>
    </row>
    <row r="566" spans="1:4" x14ac:dyDescent="0.25">
      <c r="A566" s="76">
        <v>565</v>
      </c>
      <c r="B566" s="268" t="s">
        <v>930</v>
      </c>
      <c r="C566" s="914"/>
      <c r="D566" s="435" t="s">
        <v>930</v>
      </c>
    </row>
    <row r="567" spans="1:4" x14ac:dyDescent="0.25">
      <c r="A567" s="76">
        <v>566</v>
      </c>
      <c r="B567" s="268" t="s">
        <v>931</v>
      </c>
      <c r="C567" s="914"/>
      <c r="D567" s="435" t="s">
        <v>931</v>
      </c>
    </row>
    <row r="568" spans="1:4" x14ac:dyDescent="0.25">
      <c r="A568" s="76">
        <v>567</v>
      </c>
      <c r="B568" s="268" t="s">
        <v>932</v>
      </c>
      <c r="C568" s="914"/>
      <c r="D568" s="435" t="s">
        <v>932</v>
      </c>
    </row>
    <row r="569" spans="1:4" x14ac:dyDescent="0.25">
      <c r="A569" s="76">
        <v>568</v>
      </c>
      <c r="B569" s="268" t="s">
        <v>933</v>
      </c>
      <c r="C569" s="914"/>
      <c r="D569" s="435" t="s">
        <v>933</v>
      </c>
    </row>
    <row r="570" spans="1:4" x14ac:dyDescent="0.25">
      <c r="A570" s="76">
        <v>569</v>
      </c>
      <c r="B570" s="268" t="s">
        <v>934</v>
      </c>
      <c r="C570" s="914"/>
      <c r="D570" s="435" t="s">
        <v>934</v>
      </c>
    </row>
    <row r="571" spans="1:4" x14ac:dyDescent="0.25">
      <c r="A571" s="76">
        <v>570</v>
      </c>
      <c r="B571" s="268" t="s">
        <v>935</v>
      </c>
      <c r="C571" s="914"/>
      <c r="D571" s="435" t="s">
        <v>935</v>
      </c>
    </row>
    <row r="572" spans="1:4" x14ac:dyDescent="0.25">
      <c r="A572" s="76">
        <v>571</v>
      </c>
      <c r="B572" s="268" t="s">
        <v>936</v>
      </c>
      <c r="C572" s="914"/>
      <c r="D572" s="435" t="s">
        <v>936</v>
      </c>
    </row>
    <row r="573" spans="1:4" x14ac:dyDescent="0.25">
      <c r="A573" s="76">
        <v>572</v>
      </c>
      <c r="B573" s="268" t="s">
        <v>937</v>
      </c>
      <c r="C573" s="914"/>
      <c r="D573" s="435" t="s">
        <v>937</v>
      </c>
    </row>
    <row r="574" spans="1:4" x14ac:dyDescent="0.25">
      <c r="A574" s="76">
        <v>573</v>
      </c>
      <c r="B574" s="268" t="s">
        <v>938</v>
      </c>
      <c r="C574" s="914"/>
      <c r="D574" s="435" t="s">
        <v>938</v>
      </c>
    </row>
    <row r="575" spans="1:4" x14ac:dyDescent="0.25">
      <c r="A575" s="76">
        <v>574</v>
      </c>
      <c r="B575" s="268" t="s">
        <v>939</v>
      </c>
      <c r="C575" s="914"/>
      <c r="D575" s="435" t="s">
        <v>939</v>
      </c>
    </row>
    <row r="576" spans="1:4" x14ac:dyDescent="0.25">
      <c r="A576" s="76">
        <v>575</v>
      </c>
      <c r="B576" s="268" t="s">
        <v>940</v>
      </c>
      <c r="C576" s="914"/>
      <c r="D576" s="435" t="s">
        <v>940</v>
      </c>
    </row>
    <row r="577" spans="1:4" x14ac:dyDescent="0.25">
      <c r="A577" s="76">
        <v>576</v>
      </c>
      <c r="B577" s="268" t="s">
        <v>941</v>
      </c>
      <c r="C577" s="914"/>
      <c r="D577" s="435" t="s">
        <v>941</v>
      </c>
    </row>
    <row r="578" spans="1:4" x14ac:dyDescent="0.25">
      <c r="A578" s="76" t="s">
        <v>337</v>
      </c>
      <c r="B578" s="270" t="s">
        <v>942</v>
      </c>
      <c r="C578" s="915"/>
      <c r="D578" s="412" t="s">
        <v>942</v>
      </c>
    </row>
    <row r="579" spans="1:4" x14ac:dyDescent="0.25">
      <c r="A579" s="76">
        <v>578</v>
      </c>
      <c r="B579" s="268" t="s">
        <v>943</v>
      </c>
      <c r="C579" s="914"/>
      <c r="D579" s="435" t="s">
        <v>943</v>
      </c>
    </row>
    <row r="580" spans="1:4" x14ac:dyDescent="0.25">
      <c r="A580" s="76">
        <v>579</v>
      </c>
      <c r="B580" s="268" t="s">
        <v>944</v>
      </c>
      <c r="C580" s="914"/>
      <c r="D580" s="435" t="s">
        <v>944</v>
      </c>
    </row>
    <row r="581" spans="1:4" x14ac:dyDescent="0.25">
      <c r="A581" s="76">
        <v>580</v>
      </c>
      <c r="B581" s="268" t="s">
        <v>945</v>
      </c>
      <c r="C581" s="914"/>
      <c r="D581" s="435" t="s">
        <v>945</v>
      </c>
    </row>
    <row r="582" spans="1:4" x14ac:dyDescent="0.25">
      <c r="A582" s="76">
        <v>581</v>
      </c>
      <c r="B582" s="268" t="s">
        <v>946</v>
      </c>
      <c r="C582" s="914"/>
      <c r="D582" s="435" t="s">
        <v>946</v>
      </c>
    </row>
    <row r="583" spans="1:4" x14ac:dyDescent="0.25">
      <c r="A583" s="76">
        <v>582</v>
      </c>
      <c r="B583" s="268" t="s">
        <v>947</v>
      </c>
      <c r="C583" s="914"/>
      <c r="D583" s="435" t="s">
        <v>947</v>
      </c>
    </row>
    <row r="584" spans="1:4" x14ac:dyDescent="0.25">
      <c r="A584" s="76">
        <v>583</v>
      </c>
      <c r="B584" s="268" t="s">
        <v>948</v>
      </c>
      <c r="C584" s="914"/>
      <c r="D584" s="435" t="s">
        <v>948</v>
      </c>
    </row>
    <row r="585" spans="1:4" x14ac:dyDescent="0.25">
      <c r="A585" s="76" t="s">
        <v>337</v>
      </c>
      <c r="B585" s="268" t="s">
        <v>949</v>
      </c>
      <c r="C585" s="914"/>
      <c r="D585" s="435" t="s">
        <v>949</v>
      </c>
    </row>
    <row r="586" spans="1:4" x14ac:dyDescent="0.25">
      <c r="A586" s="76">
        <v>585</v>
      </c>
      <c r="B586" s="268" t="s">
        <v>950</v>
      </c>
      <c r="C586" s="914"/>
      <c r="D586" s="435" t="s">
        <v>950</v>
      </c>
    </row>
    <row r="587" spans="1:4" x14ac:dyDescent="0.25">
      <c r="A587" s="76">
        <v>586</v>
      </c>
      <c r="B587" s="268" t="s">
        <v>951</v>
      </c>
      <c r="C587" s="914"/>
      <c r="D587" s="435" t="s">
        <v>951</v>
      </c>
    </row>
    <row r="588" spans="1:4" x14ac:dyDescent="0.25">
      <c r="A588" s="76">
        <v>587</v>
      </c>
      <c r="B588" s="268" t="s">
        <v>952</v>
      </c>
      <c r="C588" s="914"/>
      <c r="D588" s="435" t="s">
        <v>952</v>
      </c>
    </row>
    <row r="589" spans="1:4" x14ac:dyDescent="0.25">
      <c r="A589" s="76">
        <v>588</v>
      </c>
      <c r="B589" s="268" t="s">
        <v>953</v>
      </c>
      <c r="C589" s="914"/>
      <c r="D589" s="435" t="s">
        <v>953</v>
      </c>
    </row>
    <row r="590" spans="1:4" x14ac:dyDescent="0.25">
      <c r="A590" s="76">
        <v>589</v>
      </c>
      <c r="B590" s="268" t="s">
        <v>954</v>
      </c>
      <c r="C590" s="914"/>
      <c r="D590" s="435" t="s">
        <v>954</v>
      </c>
    </row>
    <row r="591" spans="1:4" x14ac:dyDescent="0.25">
      <c r="A591" s="76">
        <v>590</v>
      </c>
      <c r="B591" s="268" t="s">
        <v>955</v>
      </c>
      <c r="C591" s="914"/>
      <c r="D591" s="435" t="s">
        <v>955</v>
      </c>
    </row>
    <row r="592" spans="1:4" x14ac:dyDescent="0.25">
      <c r="A592" s="76">
        <v>591</v>
      </c>
      <c r="B592" s="270" t="s">
        <v>956</v>
      </c>
      <c r="C592" s="915"/>
      <c r="D592" s="412" t="s">
        <v>956</v>
      </c>
    </row>
    <row r="593" spans="1:4" x14ac:dyDescent="0.25">
      <c r="A593" s="76">
        <v>592</v>
      </c>
      <c r="B593" s="270" t="s">
        <v>957</v>
      </c>
      <c r="C593" s="915"/>
      <c r="D593" s="412" t="s">
        <v>957</v>
      </c>
    </row>
    <row r="594" spans="1:4" x14ac:dyDescent="0.25">
      <c r="A594" s="76">
        <v>593</v>
      </c>
      <c r="B594" s="270" t="s">
        <v>958</v>
      </c>
      <c r="C594" s="915"/>
      <c r="D594" s="412" t="s">
        <v>958</v>
      </c>
    </row>
    <row r="595" spans="1:4" x14ac:dyDescent="0.25">
      <c r="A595" s="76">
        <v>594</v>
      </c>
      <c r="B595" s="268" t="s">
        <v>959</v>
      </c>
      <c r="C595" s="914"/>
      <c r="D595" s="435" t="s">
        <v>959</v>
      </c>
    </row>
    <row r="596" spans="1:4" x14ac:dyDescent="0.25">
      <c r="A596" s="76">
        <v>595</v>
      </c>
      <c r="B596" s="268" t="s">
        <v>960</v>
      </c>
      <c r="C596" s="914"/>
      <c r="D596" s="435" t="s">
        <v>960</v>
      </c>
    </row>
    <row r="597" spans="1:4" x14ac:dyDescent="0.25">
      <c r="A597" s="76">
        <v>596</v>
      </c>
      <c r="B597" s="268" t="s">
        <v>961</v>
      </c>
      <c r="C597" s="914"/>
      <c r="D597" s="435" t="s">
        <v>961</v>
      </c>
    </row>
    <row r="598" spans="1:4" x14ac:dyDescent="0.25">
      <c r="A598" s="76">
        <v>597</v>
      </c>
      <c r="B598" s="270" t="s">
        <v>962</v>
      </c>
      <c r="C598" s="915"/>
      <c r="D598" s="412" t="s">
        <v>962</v>
      </c>
    </row>
    <row r="599" spans="1:4" x14ac:dyDescent="0.25">
      <c r="A599" s="76">
        <v>598</v>
      </c>
      <c r="B599" s="268" t="s">
        <v>963</v>
      </c>
      <c r="C599" s="914"/>
      <c r="D599" s="435" t="s">
        <v>963</v>
      </c>
    </row>
    <row r="600" spans="1:4" x14ac:dyDescent="0.25">
      <c r="A600" s="76">
        <v>599</v>
      </c>
      <c r="B600" s="268" t="s">
        <v>964</v>
      </c>
      <c r="C600" s="914"/>
      <c r="D600" s="435" t="s">
        <v>964</v>
      </c>
    </row>
    <row r="601" spans="1:4" x14ac:dyDescent="0.25">
      <c r="A601" s="76">
        <v>600</v>
      </c>
      <c r="B601" s="268" t="s">
        <v>965</v>
      </c>
      <c r="C601" s="914"/>
      <c r="D601" s="435" t="s">
        <v>965</v>
      </c>
    </row>
    <row r="602" spans="1:4" x14ac:dyDescent="0.25">
      <c r="A602" s="76">
        <v>601</v>
      </c>
      <c r="B602" s="268" t="s">
        <v>966</v>
      </c>
      <c r="C602" s="914"/>
      <c r="D602" s="435" t="s">
        <v>966</v>
      </c>
    </row>
    <row r="603" spans="1:4" x14ac:dyDescent="0.25">
      <c r="A603" s="76">
        <v>602</v>
      </c>
      <c r="B603" s="268" t="s">
        <v>967</v>
      </c>
      <c r="C603" s="914"/>
      <c r="D603" s="435" t="s">
        <v>967</v>
      </c>
    </row>
    <row r="604" spans="1:4" x14ac:dyDescent="0.25">
      <c r="A604" s="76">
        <v>603</v>
      </c>
      <c r="B604" s="268" t="s">
        <v>968</v>
      </c>
      <c r="C604" s="914"/>
      <c r="D604" s="435" t="s">
        <v>968</v>
      </c>
    </row>
    <row r="605" spans="1:4" x14ac:dyDescent="0.25">
      <c r="A605" s="76">
        <v>604</v>
      </c>
      <c r="B605" s="271" t="s">
        <v>969</v>
      </c>
      <c r="C605" s="916"/>
      <c r="D605" s="435" t="s">
        <v>969</v>
      </c>
    </row>
    <row r="606" spans="1:4" x14ac:dyDescent="0.25">
      <c r="A606" s="76">
        <v>605</v>
      </c>
      <c r="B606" s="271" t="s">
        <v>970</v>
      </c>
      <c r="C606" s="916"/>
      <c r="D606" s="435" t="s">
        <v>970</v>
      </c>
    </row>
    <row r="607" spans="1:4" x14ac:dyDescent="0.25">
      <c r="A607" s="76">
        <v>606</v>
      </c>
      <c r="B607" s="271" t="s">
        <v>971</v>
      </c>
      <c r="C607" s="916"/>
      <c r="D607" s="435" t="s">
        <v>971</v>
      </c>
    </row>
    <row r="608" spans="1:4" x14ac:dyDescent="0.25">
      <c r="A608" s="76">
        <v>607</v>
      </c>
      <c r="B608" s="271" t="s">
        <v>972</v>
      </c>
      <c r="C608" s="916"/>
      <c r="D608" s="435" t="s">
        <v>972</v>
      </c>
    </row>
    <row r="609" spans="1:4" x14ac:dyDescent="0.25">
      <c r="A609" s="76">
        <v>608</v>
      </c>
      <c r="B609" s="271" t="s">
        <v>973</v>
      </c>
      <c r="C609" s="916"/>
      <c r="D609" s="435" t="s">
        <v>973</v>
      </c>
    </row>
    <row r="610" spans="1:4" x14ac:dyDescent="0.25">
      <c r="A610" s="76">
        <v>609</v>
      </c>
      <c r="B610" s="268" t="s">
        <v>974</v>
      </c>
      <c r="C610" s="914"/>
      <c r="D610" s="435" t="s">
        <v>974</v>
      </c>
    </row>
    <row r="611" spans="1:4" x14ac:dyDescent="0.25">
      <c r="A611" s="76">
        <v>610</v>
      </c>
      <c r="B611" s="268" t="s">
        <v>975</v>
      </c>
      <c r="C611" s="914"/>
      <c r="D611" s="435" t="s">
        <v>975</v>
      </c>
    </row>
    <row r="612" spans="1:4" x14ac:dyDescent="0.25">
      <c r="A612" s="76">
        <v>611</v>
      </c>
      <c r="B612" s="268" t="s">
        <v>976</v>
      </c>
      <c r="C612" s="914"/>
      <c r="D612" s="435" t="s">
        <v>976</v>
      </c>
    </row>
    <row r="613" spans="1:4" x14ac:dyDescent="0.25">
      <c r="A613" s="76">
        <v>612</v>
      </c>
      <c r="B613" s="268" t="s">
        <v>977</v>
      </c>
      <c r="C613" s="914"/>
      <c r="D613" s="435" t="s">
        <v>977</v>
      </c>
    </row>
    <row r="614" spans="1:4" x14ac:dyDescent="0.25">
      <c r="A614" s="76">
        <v>613</v>
      </c>
      <c r="B614" s="268" t="s">
        <v>978</v>
      </c>
      <c r="C614" s="914"/>
      <c r="D614" s="435" t="s">
        <v>978</v>
      </c>
    </row>
    <row r="615" spans="1:4" x14ac:dyDescent="0.25">
      <c r="A615" s="76">
        <v>614</v>
      </c>
      <c r="B615" s="268" t="s">
        <v>979</v>
      </c>
      <c r="C615" s="914"/>
      <c r="D615" s="435" t="s">
        <v>979</v>
      </c>
    </row>
    <row r="616" spans="1:4" x14ac:dyDescent="0.25">
      <c r="A616" s="76">
        <v>615</v>
      </c>
      <c r="B616" s="268" t="s">
        <v>980</v>
      </c>
      <c r="C616" s="914"/>
      <c r="D616" s="435" t="s">
        <v>980</v>
      </c>
    </row>
    <row r="617" spans="1:4" x14ac:dyDescent="0.25">
      <c r="A617" s="76">
        <v>616</v>
      </c>
      <c r="B617" s="268" t="s">
        <v>981</v>
      </c>
      <c r="C617" s="914"/>
      <c r="D617" s="435" t="s">
        <v>981</v>
      </c>
    </row>
    <row r="618" spans="1:4" x14ac:dyDescent="0.25">
      <c r="A618" s="76">
        <v>617</v>
      </c>
      <c r="B618" s="268" t="s">
        <v>982</v>
      </c>
      <c r="C618" s="914"/>
      <c r="D618" s="435" t="s">
        <v>982</v>
      </c>
    </row>
    <row r="619" spans="1:4" x14ac:dyDescent="0.25">
      <c r="A619" s="76">
        <v>618</v>
      </c>
      <c r="B619" s="268" t="s">
        <v>983</v>
      </c>
      <c r="C619" s="914"/>
      <c r="D619" s="435" t="s">
        <v>983</v>
      </c>
    </row>
    <row r="620" spans="1:4" x14ac:dyDescent="0.25">
      <c r="A620" s="76">
        <v>619</v>
      </c>
      <c r="B620" s="268" t="s">
        <v>984</v>
      </c>
      <c r="C620" s="914"/>
      <c r="D620" s="435" t="s">
        <v>984</v>
      </c>
    </row>
    <row r="621" spans="1:4" x14ac:dyDescent="0.25">
      <c r="A621" s="76">
        <v>620</v>
      </c>
      <c r="B621" s="268" t="s">
        <v>985</v>
      </c>
      <c r="C621" s="914"/>
      <c r="D621" s="435" t="s">
        <v>985</v>
      </c>
    </row>
    <row r="622" spans="1:4" ht="12.65" customHeight="1" x14ac:dyDescent="0.25">
      <c r="A622" s="76">
        <v>621</v>
      </c>
      <c r="B622" s="268" t="s">
        <v>986</v>
      </c>
      <c r="C622" s="914"/>
      <c r="D622" s="435" t="s">
        <v>986</v>
      </c>
    </row>
    <row r="623" spans="1:4" ht="12.65" customHeight="1" x14ac:dyDescent="0.25">
      <c r="A623" s="76">
        <v>622</v>
      </c>
      <c r="B623" s="268" t="s">
        <v>987</v>
      </c>
      <c r="C623" s="914"/>
      <c r="D623" s="435" t="s">
        <v>987</v>
      </c>
    </row>
    <row r="624" spans="1:4" x14ac:dyDescent="0.25">
      <c r="A624" s="76">
        <v>623</v>
      </c>
      <c r="B624" s="268" t="s">
        <v>988</v>
      </c>
      <c r="C624" s="914"/>
      <c r="D624" s="435" t="s">
        <v>988</v>
      </c>
    </row>
    <row r="625" spans="1:4" x14ac:dyDescent="0.25">
      <c r="A625" s="76">
        <v>624</v>
      </c>
      <c r="B625" s="268" t="s">
        <v>989</v>
      </c>
      <c r="C625" s="914"/>
      <c r="D625" s="435" t="s">
        <v>989</v>
      </c>
    </row>
    <row r="626" spans="1:4" x14ac:dyDescent="0.25">
      <c r="A626" s="76">
        <v>625</v>
      </c>
      <c r="B626" s="268" t="s">
        <v>990</v>
      </c>
      <c r="C626" s="914"/>
      <c r="D626" s="435" t="s">
        <v>990</v>
      </c>
    </row>
    <row r="627" spans="1:4" x14ac:dyDescent="0.25">
      <c r="A627" s="76">
        <v>626</v>
      </c>
      <c r="B627" s="268" t="s">
        <v>991</v>
      </c>
      <c r="C627" s="914"/>
      <c r="D627" s="435" t="s">
        <v>991</v>
      </c>
    </row>
    <row r="628" spans="1:4" x14ac:dyDescent="0.25">
      <c r="A628" s="76">
        <v>627</v>
      </c>
      <c r="B628" s="268" t="s">
        <v>992</v>
      </c>
      <c r="C628" s="914"/>
      <c r="D628" s="435" t="s">
        <v>992</v>
      </c>
    </row>
    <row r="629" spans="1:4" ht="12.65" customHeight="1" x14ac:dyDescent="0.25">
      <c r="A629" s="76">
        <v>628</v>
      </c>
      <c r="B629" s="268" t="s">
        <v>993</v>
      </c>
      <c r="C629" s="914"/>
      <c r="D629" s="435" t="s">
        <v>993</v>
      </c>
    </row>
    <row r="630" spans="1:4" x14ac:dyDescent="0.25">
      <c r="A630" s="76">
        <v>629</v>
      </c>
      <c r="B630" s="268" t="s">
        <v>994</v>
      </c>
      <c r="C630" s="914"/>
      <c r="D630" s="435" t="s">
        <v>994</v>
      </c>
    </row>
    <row r="631" spans="1:4" x14ac:dyDescent="0.25">
      <c r="A631" s="76">
        <v>630</v>
      </c>
      <c r="B631" s="268" t="s">
        <v>995</v>
      </c>
      <c r="C631" s="914"/>
      <c r="D631" s="435" t="s">
        <v>995</v>
      </c>
    </row>
    <row r="632" spans="1:4" x14ac:dyDescent="0.25">
      <c r="A632" s="76">
        <v>631</v>
      </c>
      <c r="B632" s="268" t="s">
        <v>996</v>
      </c>
      <c r="C632" s="914"/>
      <c r="D632" s="435" t="s">
        <v>996</v>
      </c>
    </row>
    <row r="633" spans="1:4" x14ac:dyDescent="0.25">
      <c r="A633" s="76">
        <v>632</v>
      </c>
      <c r="B633" s="268" t="s">
        <v>997</v>
      </c>
      <c r="C633" s="914"/>
      <c r="D633" s="435" t="s">
        <v>997</v>
      </c>
    </row>
    <row r="634" spans="1:4" x14ac:dyDescent="0.25">
      <c r="A634" s="76">
        <v>633</v>
      </c>
      <c r="B634" s="268" t="s">
        <v>998</v>
      </c>
      <c r="C634" s="914"/>
      <c r="D634" s="435" t="s">
        <v>998</v>
      </c>
    </row>
    <row r="635" spans="1:4" x14ac:dyDescent="0.25">
      <c r="A635" s="76">
        <v>634</v>
      </c>
      <c r="B635" s="268" t="s">
        <v>999</v>
      </c>
      <c r="C635" s="914"/>
      <c r="D635" s="435" t="s">
        <v>999</v>
      </c>
    </row>
    <row r="636" spans="1:4" x14ac:dyDescent="0.25">
      <c r="A636" s="76">
        <v>635</v>
      </c>
      <c r="B636" s="268" t="s">
        <v>1000</v>
      </c>
      <c r="C636" s="914"/>
      <c r="D636" s="435" t="s">
        <v>1000</v>
      </c>
    </row>
    <row r="637" spans="1:4" x14ac:dyDescent="0.25">
      <c r="A637" s="76">
        <v>636</v>
      </c>
      <c r="B637" s="268" t="s">
        <v>1001</v>
      </c>
      <c r="C637" s="914"/>
      <c r="D637" s="435" t="s">
        <v>1001</v>
      </c>
    </row>
    <row r="638" spans="1:4" x14ac:dyDescent="0.25">
      <c r="A638" s="76">
        <v>637</v>
      </c>
      <c r="B638" s="268" t="s">
        <v>1002</v>
      </c>
      <c r="C638" s="914"/>
      <c r="D638" s="435" t="s">
        <v>1002</v>
      </c>
    </row>
    <row r="639" spans="1:4" x14ac:dyDescent="0.25">
      <c r="A639" s="76">
        <v>638</v>
      </c>
      <c r="B639" s="268" t="s">
        <v>1003</v>
      </c>
      <c r="C639" s="914"/>
      <c r="D639" s="435" t="s">
        <v>1003</v>
      </c>
    </row>
    <row r="640" spans="1:4" x14ac:dyDescent="0.25">
      <c r="A640" s="76">
        <v>639</v>
      </c>
      <c r="B640" s="268" t="s">
        <v>1004</v>
      </c>
      <c r="C640" s="914"/>
      <c r="D640" s="435" t="s">
        <v>1004</v>
      </c>
    </row>
    <row r="641" spans="1:4" x14ac:dyDescent="0.25">
      <c r="A641" s="76">
        <v>640</v>
      </c>
      <c r="B641" s="268" t="s">
        <v>1005</v>
      </c>
      <c r="C641" s="914"/>
      <c r="D641" s="435" t="s">
        <v>1005</v>
      </c>
    </row>
    <row r="642" spans="1:4" x14ac:dyDescent="0.25">
      <c r="A642" s="76">
        <v>641</v>
      </c>
      <c r="B642" s="268" t="s">
        <v>1006</v>
      </c>
      <c r="C642" s="914"/>
      <c r="D642" s="435" t="s">
        <v>1006</v>
      </c>
    </row>
    <row r="643" spans="1:4" x14ac:dyDescent="0.25">
      <c r="A643" s="76">
        <v>642</v>
      </c>
      <c r="B643" s="268" t="s">
        <v>1007</v>
      </c>
      <c r="C643" s="914"/>
      <c r="D643" s="435" t="s">
        <v>1007</v>
      </c>
    </row>
    <row r="644" spans="1:4" x14ac:dyDescent="0.25">
      <c r="A644" s="76">
        <v>643</v>
      </c>
      <c r="B644" s="268" t="s">
        <v>1008</v>
      </c>
      <c r="C644" s="914"/>
      <c r="D644" s="435" t="s">
        <v>1008</v>
      </c>
    </row>
    <row r="645" spans="1:4" x14ac:dyDescent="0.25">
      <c r="A645" s="76">
        <v>644</v>
      </c>
      <c r="B645" s="268" t="s">
        <v>1009</v>
      </c>
      <c r="C645" s="914"/>
      <c r="D645" s="435" t="s">
        <v>1009</v>
      </c>
    </row>
    <row r="646" spans="1:4" x14ac:dyDescent="0.25">
      <c r="A646" s="76">
        <v>645</v>
      </c>
      <c r="B646" s="268" t="s">
        <v>1010</v>
      </c>
      <c r="C646" s="914"/>
      <c r="D646" s="435" t="s">
        <v>1010</v>
      </c>
    </row>
    <row r="647" spans="1:4" x14ac:dyDescent="0.25">
      <c r="A647" s="76">
        <v>646</v>
      </c>
      <c r="B647" s="268" t="s">
        <v>1011</v>
      </c>
      <c r="C647" s="914"/>
      <c r="D647" s="435" t="s">
        <v>1011</v>
      </c>
    </row>
    <row r="648" spans="1:4" x14ac:dyDescent="0.25">
      <c r="A648" s="76">
        <v>647</v>
      </c>
      <c r="B648" s="268" t="s">
        <v>1012</v>
      </c>
      <c r="C648" s="914"/>
      <c r="D648" s="435" t="s">
        <v>1012</v>
      </c>
    </row>
    <row r="649" spans="1:4" x14ac:dyDescent="0.25">
      <c r="A649" s="76">
        <v>648</v>
      </c>
      <c r="B649" s="268" t="s">
        <v>1013</v>
      </c>
      <c r="C649" s="914"/>
      <c r="D649" s="435" t="s">
        <v>1013</v>
      </c>
    </row>
    <row r="650" spans="1:4" x14ac:dyDescent="0.25">
      <c r="A650" s="76">
        <v>649</v>
      </c>
      <c r="B650" s="268" t="s">
        <v>1014</v>
      </c>
      <c r="C650" s="914"/>
      <c r="D650" s="435" t="s">
        <v>1014</v>
      </c>
    </row>
    <row r="651" spans="1:4" x14ac:dyDescent="0.25">
      <c r="A651" s="76">
        <v>650</v>
      </c>
      <c r="B651" s="268" t="s">
        <v>57</v>
      </c>
      <c r="C651" s="914"/>
      <c r="D651" s="435" t="s">
        <v>57</v>
      </c>
    </row>
    <row r="652" spans="1:4" ht="12.65" customHeight="1" x14ac:dyDescent="0.25">
      <c r="A652" s="76">
        <v>651</v>
      </c>
      <c r="B652" s="268" t="s">
        <v>1015</v>
      </c>
      <c r="C652" s="914"/>
      <c r="D652" s="435" t="s">
        <v>1015</v>
      </c>
    </row>
    <row r="653" spans="1:4" x14ac:dyDescent="0.25">
      <c r="A653" s="76">
        <v>652</v>
      </c>
      <c r="B653" s="268" t="s">
        <v>1016</v>
      </c>
      <c r="C653" s="914"/>
      <c r="D653" s="435" t="s">
        <v>1016</v>
      </c>
    </row>
    <row r="654" spans="1:4" x14ac:dyDescent="0.25">
      <c r="A654" s="76">
        <v>653</v>
      </c>
      <c r="B654" s="268" t="s">
        <v>1017</v>
      </c>
      <c r="C654" s="914"/>
      <c r="D654" s="435" t="s">
        <v>1017</v>
      </c>
    </row>
    <row r="655" spans="1:4" ht="12.65" customHeight="1" x14ac:dyDescent="0.25">
      <c r="A655" s="76">
        <v>654</v>
      </c>
      <c r="B655" s="268" t="s">
        <v>1018</v>
      </c>
      <c r="C655" s="914"/>
      <c r="D655" s="435" t="s">
        <v>1018</v>
      </c>
    </row>
    <row r="656" spans="1:4" x14ac:dyDescent="0.25">
      <c r="A656" s="76">
        <v>655</v>
      </c>
      <c r="B656" s="268" t="s">
        <v>1019</v>
      </c>
      <c r="C656" s="914"/>
      <c r="D656" s="435" t="s">
        <v>1019</v>
      </c>
    </row>
    <row r="657" spans="1:4" x14ac:dyDescent="0.25">
      <c r="A657" s="76">
        <v>656</v>
      </c>
      <c r="B657" s="268" t="s">
        <v>1020</v>
      </c>
      <c r="C657" s="914"/>
      <c r="D657" s="435" t="s">
        <v>1020</v>
      </c>
    </row>
    <row r="658" spans="1:4" x14ac:dyDescent="0.25">
      <c r="A658" s="76">
        <v>657</v>
      </c>
      <c r="B658" s="268" t="s">
        <v>1021</v>
      </c>
      <c r="C658" s="914"/>
      <c r="D658" s="435" t="s">
        <v>1021</v>
      </c>
    </row>
    <row r="659" spans="1:4" x14ac:dyDescent="0.25">
      <c r="A659" s="76">
        <v>658</v>
      </c>
      <c r="B659" s="268" t="s">
        <v>1022</v>
      </c>
      <c r="C659" s="914"/>
      <c r="D659" s="435" t="s">
        <v>1022</v>
      </c>
    </row>
    <row r="660" spans="1:4" x14ac:dyDescent="0.25">
      <c r="A660" s="76">
        <v>659</v>
      </c>
      <c r="B660" s="268" t="s">
        <v>1023</v>
      </c>
      <c r="C660" s="914"/>
      <c r="D660" s="435" t="s">
        <v>1023</v>
      </c>
    </row>
    <row r="661" spans="1:4" ht="12.65" customHeight="1" x14ac:dyDescent="0.25">
      <c r="A661" s="76">
        <v>660</v>
      </c>
      <c r="B661" s="268" t="s">
        <v>1024</v>
      </c>
      <c r="C661" s="914"/>
      <c r="D661" s="435" t="s">
        <v>1024</v>
      </c>
    </row>
    <row r="662" spans="1:4" x14ac:dyDescent="0.25">
      <c r="A662" s="76">
        <v>661</v>
      </c>
      <c r="B662" s="268" t="s">
        <v>1025</v>
      </c>
      <c r="C662" s="914"/>
      <c r="D662" s="435" t="s">
        <v>1025</v>
      </c>
    </row>
    <row r="663" spans="1:4" x14ac:dyDescent="0.25">
      <c r="A663" s="76">
        <v>662</v>
      </c>
      <c r="B663" s="268" t="s">
        <v>1026</v>
      </c>
      <c r="C663" s="914"/>
      <c r="D663" s="435" t="s">
        <v>1026</v>
      </c>
    </row>
    <row r="664" spans="1:4" x14ac:dyDescent="0.25">
      <c r="A664" s="76">
        <v>663</v>
      </c>
      <c r="B664" s="268" t="s">
        <v>1027</v>
      </c>
      <c r="C664" s="914"/>
      <c r="D664" s="435" t="s">
        <v>1027</v>
      </c>
    </row>
    <row r="665" spans="1:4" x14ac:dyDescent="0.25">
      <c r="A665" s="76">
        <v>664</v>
      </c>
      <c r="B665" s="268" t="s">
        <v>1028</v>
      </c>
      <c r="C665" s="914"/>
      <c r="D665" s="435" t="s">
        <v>1028</v>
      </c>
    </row>
    <row r="666" spans="1:4" x14ac:dyDescent="0.25">
      <c r="A666" s="76" t="s">
        <v>337</v>
      </c>
      <c r="B666" s="272" t="s">
        <v>1029</v>
      </c>
      <c r="C666" s="913"/>
      <c r="D666" s="438" t="s">
        <v>1029</v>
      </c>
    </row>
    <row r="667" spans="1:4" x14ac:dyDescent="0.25">
      <c r="A667" s="76" t="s">
        <v>337</v>
      </c>
      <c r="B667" s="268" t="s">
        <v>1030</v>
      </c>
      <c r="C667" s="914"/>
      <c r="D667" s="435" t="s">
        <v>1030</v>
      </c>
    </row>
    <row r="668" spans="1:4" x14ac:dyDescent="0.25">
      <c r="A668" s="76">
        <v>667</v>
      </c>
      <c r="B668" s="268" t="s">
        <v>1031</v>
      </c>
      <c r="C668" s="914"/>
      <c r="D668" s="435" t="s">
        <v>1031</v>
      </c>
    </row>
    <row r="669" spans="1:4" x14ac:dyDescent="0.25">
      <c r="A669" s="76">
        <v>668</v>
      </c>
      <c r="B669" s="268" t="s">
        <v>1032</v>
      </c>
      <c r="C669" s="914"/>
      <c r="D669" s="435" t="s">
        <v>1032</v>
      </c>
    </row>
    <row r="670" spans="1:4" x14ac:dyDescent="0.25">
      <c r="A670" s="76">
        <v>669</v>
      </c>
      <c r="B670" s="268" t="s">
        <v>1033</v>
      </c>
      <c r="C670" s="914"/>
      <c r="D670" s="435" t="s">
        <v>1033</v>
      </c>
    </row>
    <row r="671" spans="1:4" x14ac:dyDescent="0.25">
      <c r="A671" s="76">
        <v>670</v>
      </c>
      <c r="B671" s="268" t="s">
        <v>1034</v>
      </c>
      <c r="C671" s="914"/>
      <c r="D671" s="435" t="s">
        <v>1034</v>
      </c>
    </row>
    <row r="672" spans="1:4" x14ac:dyDescent="0.25">
      <c r="A672" s="76">
        <v>671</v>
      </c>
      <c r="B672" s="268" t="s">
        <v>1035</v>
      </c>
      <c r="C672" s="914"/>
      <c r="D672" s="435" t="s">
        <v>1035</v>
      </c>
    </row>
    <row r="673" spans="1:4" x14ac:dyDescent="0.25">
      <c r="A673" s="76">
        <v>672</v>
      </c>
      <c r="B673" s="268" t="s">
        <v>1036</v>
      </c>
      <c r="C673" s="914"/>
      <c r="D673" s="435" t="s">
        <v>1036</v>
      </c>
    </row>
    <row r="674" spans="1:4" x14ac:dyDescent="0.25">
      <c r="A674" s="76">
        <v>673</v>
      </c>
      <c r="B674" s="268" t="s">
        <v>1037</v>
      </c>
      <c r="C674" s="914"/>
      <c r="D674" s="435" t="s">
        <v>1037</v>
      </c>
    </row>
    <row r="675" spans="1:4" ht="12.65" customHeight="1" x14ac:dyDescent="0.25">
      <c r="A675" s="76">
        <v>674</v>
      </c>
      <c r="B675" s="268" t="s">
        <v>1038</v>
      </c>
      <c r="C675" s="914"/>
      <c r="D675" s="435" t="s">
        <v>1038</v>
      </c>
    </row>
    <row r="676" spans="1:4" ht="12.65" customHeight="1" x14ac:dyDescent="0.25">
      <c r="A676" s="76">
        <v>675</v>
      </c>
      <c r="B676" s="268" t="s">
        <v>1039</v>
      </c>
      <c r="C676" s="914"/>
      <c r="D676" s="435" t="s">
        <v>1039</v>
      </c>
    </row>
    <row r="677" spans="1:4" x14ac:dyDescent="0.25">
      <c r="A677" s="76">
        <v>676</v>
      </c>
      <c r="B677" s="268" t="s">
        <v>1040</v>
      </c>
      <c r="C677" s="914"/>
      <c r="D677" s="435" t="s">
        <v>1040</v>
      </c>
    </row>
    <row r="678" spans="1:4" x14ac:dyDescent="0.25">
      <c r="A678" s="76">
        <v>677</v>
      </c>
      <c r="B678" s="268" t="s">
        <v>1041</v>
      </c>
      <c r="C678" s="914"/>
      <c r="D678" s="435" t="s">
        <v>1041</v>
      </c>
    </row>
    <row r="679" spans="1:4" x14ac:dyDescent="0.25">
      <c r="A679" s="76">
        <v>678</v>
      </c>
      <c r="B679" s="268" t="s">
        <v>1042</v>
      </c>
      <c r="C679" s="914"/>
      <c r="D679" s="435" t="s">
        <v>1042</v>
      </c>
    </row>
    <row r="680" spans="1:4" x14ac:dyDescent="0.25">
      <c r="A680" s="76">
        <v>679</v>
      </c>
      <c r="B680" s="268" t="s">
        <v>1043</v>
      </c>
      <c r="C680" s="914"/>
      <c r="D680" s="435" t="s">
        <v>1043</v>
      </c>
    </row>
    <row r="681" spans="1:4" x14ac:dyDescent="0.25">
      <c r="A681" s="76">
        <v>680</v>
      </c>
      <c r="B681" s="268" t="s">
        <v>1044</v>
      </c>
      <c r="C681" s="914"/>
      <c r="D681" s="435" t="s">
        <v>1044</v>
      </c>
    </row>
    <row r="682" spans="1:4" x14ac:dyDescent="0.25">
      <c r="A682" s="76">
        <v>681</v>
      </c>
      <c r="B682" s="268" t="s">
        <v>1045</v>
      </c>
      <c r="C682" s="914"/>
      <c r="D682" s="435" t="s">
        <v>1045</v>
      </c>
    </row>
    <row r="683" spans="1:4" x14ac:dyDescent="0.25">
      <c r="A683" s="76">
        <v>682</v>
      </c>
      <c r="B683" s="268" t="s">
        <v>1046</v>
      </c>
      <c r="C683" s="914"/>
      <c r="D683" s="435" t="s">
        <v>1046</v>
      </c>
    </row>
    <row r="684" spans="1:4" x14ac:dyDescent="0.25">
      <c r="A684" s="76">
        <v>683</v>
      </c>
      <c r="B684" s="268" t="s">
        <v>1047</v>
      </c>
      <c r="C684" s="914"/>
      <c r="D684" s="435" t="s">
        <v>1047</v>
      </c>
    </row>
    <row r="685" spans="1:4" x14ac:dyDescent="0.25">
      <c r="A685" s="76">
        <v>684</v>
      </c>
      <c r="B685" s="268" t="s">
        <v>1048</v>
      </c>
      <c r="C685" s="914"/>
      <c r="D685" s="435" t="s">
        <v>1048</v>
      </c>
    </row>
    <row r="686" spans="1:4" x14ac:dyDescent="0.25">
      <c r="A686" s="76">
        <v>685</v>
      </c>
      <c r="B686" s="268" t="s">
        <v>1049</v>
      </c>
      <c r="C686" s="914"/>
      <c r="D686" s="435" t="s">
        <v>1049</v>
      </c>
    </row>
    <row r="687" spans="1:4" x14ac:dyDescent="0.25">
      <c r="A687" s="76">
        <v>686</v>
      </c>
      <c r="B687" s="268" t="s">
        <v>1050</v>
      </c>
      <c r="C687" s="914"/>
      <c r="D687" s="435" t="s">
        <v>1050</v>
      </c>
    </row>
    <row r="688" spans="1:4" x14ac:dyDescent="0.25">
      <c r="A688" s="76">
        <v>687</v>
      </c>
      <c r="B688" s="268" t="s">
        <v>1051</v>
      </c>
      <c r="C688" s="914"/>
      <c r="D688" s="435" t="s">
        <v>1051</v>
      </c>
    </row>
    <row r="689" spans="1:4" x14ac:dyDescent="0.25">
      <c r="A689" s="76">
        <v>688</v>
      </c>
      <c r="B689" s="268" t="s">
        <v>1052</v>
      </c>
      <c r="C689" s="914"/>
      <c r="D689" s="435" t="s">
        <v>1052</v>
      </c>
    </row>
    <row r="690" spans="1:4" x14ac:dyDescent="0.25">
      <c r="A690" s="76">
        <v>689</v>
      </c>
      <c r="B690" s="268" t="s">
        <v>1053</v>
      </c>
      <c r="C690" s="914"/>
      <c r="D690" s="435" t="s">
        <v>1053</v>
      </c>
    </row>
    <row r="691" spans="1:4" x14ac:dyDescent="0.25">
      <c r="A691" s="76">
        <v>690</v>
      </c>
      <c r="B691" s="268" t="s">
        <v>1054</v>
      </c>
      <c r="C691" s="914"/>
      <c r="D691" s="435" t="s">
        <v>1054</v>
      </c>
    </row>
    <row r="692" spans="1:4" x14ac:dyDescent="0.25">
      <c r="A692" s="76">
        <v>691</v>
      </c>
      <c r="B692" s="268" t="s">
        <v>1055</v>
      </c>
      <c r="C692" s="914"/>
      <c r="D692" s="435" t="s">
        <v>1055</v>
      </c>
    </row>
    <row r="693" spans="1:4" x14ac:dyDescent="0.25">
      <c r="A693" s="76">
        <v>692</v>
      </c>
      <c r="B693" s="268" t="s">
        <v>1056</v>
      </c>
      <c r="C693" s="914"/>
      <c r="D693" s="435" t="s">
        <v>1056</v>
      </c>
    </row>
    <row r="694" spans="1:4" x14ac:dyDescent="0.25">
      <c r="A694" s="76">
        <v>693</v>
      </c>
      <c r="B694" s="268" t="s">
        <v>1057</v>
      </c>
      <c r="C694" s="914"/>
      <c r="D694" s="435" t="s">
        <v>1057</v>
      </c>
    </row>
    <row r="695" spans="1:4" x14ac:dyDescent="0.25">
      <c r="A695" s="76">
        <v>694</v>
      </c>
      <c r="B695" s="268" t="s">
        <v>1058</v>
      </c>
      <c r="C695" s="914"/>
      <c r="D695" s="435" t="s">
        <v>1058</v>
      </c>
    </row>
    <row r="696" spans="1:4" x14ac:dyDescent="0.25">
      <c r="A696" s="76">
        <v>695</v>
      </c>
      <c r="B696" s="268" t="s">
        <v>1059</v>
      </c>
      <c r="C696" s="914"/>
      <c r="D696" s="435" t="s">
        <v>1059</v>
      </c>
    </row>
    <row r="697" spans="1:4" x14ac:dyDescent="0.25">
      <c r="A697" s="76">
        <v>696</v>
      </c>
      <c r="B697" s="268" t="s">
        <v>1060</v>
      </c>
      <c r="C697" s="914"/>
      <c r="D697" s="435" t="s">
        <v>1060</v>
      </c>
    </row>
    <row r="698" spans="1:4" x14ac:dyDescent="0.25">
      <c r="A698" s="76">
        <v>697</v>
      </c>
      <c r="B698" s="268" t="s">
        <v>1061</v>
      </c>
      <c r="C698" s="914"/>
      <c r="D698" s="435" t="s">
        <v>1061</v>
      </c>
    </row>
    <row r="699" spans="1:4" x14ac:dyDescent="0.25">
      <c r="A699" s="76">
        <v>698</v>
      </c>
      <c r="B699" s="268" t="s">
        <v>1062</v>
      </c>
      <c r="C699" s="914"/>
      <c r="D699" s="435" t="s">
        <v>1062</v>
      </c>
    </row>
    <row r="700" spans="1:4" x14ac:dyDescent="0.25">
      <c r="A700" s="76">
        <v>699</v>
      </c>
      <c r="B700" s="268" t="s">
        <v>1063</v>
      </c>
      <c r="C700" s="914"/>
      <c r="D700" s="435" t="s">
        <v>1063</v>
      </c>
    </row>
    <row r="701" spans="1:4" x14ac:dyDescent="0.25">
      <c r="A701" s="76">
        <v>700</v>
      </c>
      <c r="B701" s="268" t="s">
        <v>1064</v>
      </c>
      <c r="C701" s="914"/>
      <c r="D701" s="435" t="s">
        <v>1064</v>
      </c>
    </row>
    <row r="702" spans="1:4" x14ac:dyDescent="0.25">
      <c r="A702" s="76">
        <v>701</v>
      </c>
      <c r="B702" s="268" t="s">
        <v>1065</v>
      </c>
      <c r="C702" s="914"/>
      <c r="D702" s="435" t="s">
        <v>1065</v>
      </c>
    </row>
    <row r="703" spans="1:4" x14ac:dyDescent="0.25">
      <c r="A703" s="76">
        <v>702</v>
      </c>
      <c r="B703" s="268" t="s">
        <v>1066</v>
      </c>
      <c r="C703" s="914"/>
      <c r="D703" s="435" t="s">
        <v>1066</v>
      </c>
    </row>
    <row r="704" spans="1:4" x14ac:dyDescent="0.25">
      <c r="A704" s="76">
        <v>703</v>
      </c>
      <c r="B704" s="268" t="s">
        <v>1067</v>
      </c>
      <c r="C704" s="914"/>
      <c r="D704" s="435" t="s">
        <v>1067</v>
      </c>
    </row>
    <row r="705" spans="1:4" x14ac:dyDescent="0.25">
      <c r="A705" s="76">
        <v>704</v>
      </c>
      <c r="B705" s="268" t="s">
        <v>1068</v>
      </c>
      <c r="C705" s="914"/>
      <c r="D705" s="435" t="s">
        <v>1068</v>
      </c>
    </row>
    <row r="706" spans="1:4" x14ac:dyDescent="0.25">
      <c r="A706" s="76">
        <v>705</v>
      </c>
      <c r="B706" s="268" t="s">
        <v>1069</v>
      </c>
      <c r="C706" s="914"/>
      <c r="D706" s="435" t="s">
        <v>1069</v>
      </c>
    </row>
    <row r="707" spans="1:4" x14ac:dyDescent="0.25">
      <c r="A707" s="76">
        <v>706</v>
      </c>
      <c r="B707" s="268" t="s">
        <v>1070</v>
      </c>
      <c r="C707" s="914"/>
      <c r="D707" s="435" t="s">
        <v>1070</v>
      </c>
    </row>
    <row r="708" spans="1:4" x14ac:dyDescent="0.25">
      <c r="A708" s="76">
        <v>707</v>
      </c>
      <c r="B708" s="268" t="s">
        <v>1071</v>
      </c>
      <c r="C708" s="914"/>
      <c r="D708" s="435" t="s">
        <v>1071</v>
      </c>
    </row>
    <row r="709" spans="1:4" x14ac:dyDescent="0.25">
      <c r="A709" s="76">
        <v>708</v>
      </c>
      <c r="B709" s="268" t="s">
        <v>1072</v>
      </c>
      <c r="C709" s="914"/>
      <c r="D709" s="435" t="s">
        <v>1072</v>
      </c>
    </row>
    <row r="710" spans="1:4" x14ac:dyDescent="0.25">
      <c r="A710" s="76">
        <v>709</v>
      </c>
      <c r="B710" s="268" t="s">
        <v>1073</v>
      </c>
      <c r="C710" s="914"/>
      <c r="D710" s="435" t="s">
        <v>1073</v>
      </c>
    </row>
    <row r="711" spans="1:4" x14ac:dyDescent="0.25">
      <c r="A711" s="76">
        <v>710</v>
      </c>
      <c r="B711" s="268" t="s">
        <v>1074</v>
      </c>
      <c r="C711" s="914"/>
      <c r="D711" s="435" t="s">
        <v>1074</v>
      </c>
    </row>
    <row r="712" spans="1:4" x14ac:dyDescent="0.25">
      <c r="A712" s="76">
        <v>711</v>
      </c>
      <c r="B712" s="268" t="s">
        <v>1075</v>
      </c>
      <c r="C712" s="914"/>
      <c r="D712" s="435" t="s">
        <v>1075</v>
      </c>
    </row>
    <row r="713" spans="1:4" x14ac:dyDescent="0.25">
      <c r="A713" s="76">
        <v>712</v>
      </c>
      <c r="B713" s="268" t="s">
        <v>1076</v>
      </c>
      <c r="C713" s="914"/>
      <c r="D713" s="435" t="s">
        <v>1076</v>
      </c>
    </row>
    <row r="714" spans="1:4" x14ac:dyDescent="0.25">
      <c r="A714" s="76">
        <v>713</v>
      </c>
      <c r="B714" s="268" t="s">
        <v>1077</v>
      </c>
      <c r="C714" s="914"/>
      <c r="D714" s="435" t="s">
        <v>1077</v>
      </c>
    </row>
    <row r="715" spans="1:4" x14ac:dyDescent="0.25">
      <c r="A715" s="76">
        <v>714</v>
      </c>
      <c r="B715" s="268" t="s">
        <v>1078</v>
      </c>
      <c r="C715" s="914"/>
      <c r="D715" s="435" t="s">
        <v>1078</v>
      </c>
    </row>
    <row r="716" spans="1:4" x14ac:dyDescent="0.25">
      <c r="A716" s="76">
        <v>715</v>
      </c>
      <c r="B716" s="268" t="s">
        <v>1079</v>
      </c>
      <c r="C716" s="914"/>
      <c r="D716" s="435" t="s">
        <v>1079</v>
      </c>
    </row>
    <row r="717" spans="1:4" x14ac:dyDescent="0.25">
      <c r="A717" s="76">
        <v>716</v>
      </c>
      <c r="B717" s="268" t="s">
        <v>1080</v>
      </c>
      <c r="C717" s="914"/>
      <c r="D717" s="435" t="s">
        <v>1080</v>
      </c>
    </row>
    <row r="718" spans="1:4" x14ac:dyDescent="0.25">
      <c r="A718" s="76">
        <v>717</v>
      </c>
      <c r="B718" s="268" t="s">
        <v>1081</v>
      </c>
      <c r="C718" s="914"/>
      <c r="D718" s="435" t="s">
        <v>1081</v>
      </c>
    </row>
    <row r="719" spans="1:4" x14ac:dyDescent="0.25">
      <c r="A719" s="76">
        <v>718</v>
      </c>
      <c r="B719" s="268" t="s">
        <v>1082</v>
      </c>
      <c r="C719" s="914"/>
      <c r="D719" s="435" t="s">
        <v>1082</v>
      </c>
    </row>
    <row r="720" spans="1:4" x14ac:dyDescent="0.25">
      <c r="A720" s="76" t="s">
        <v>337</v>
      </c>
      <c r="B720" s="268" t="s">
        <v>1083</v>
      </c>
      <c r="C720" s="914"/>
      <c r="D720" s="435" t="s">
        <v>1083</v>
      </c>
    </row>
    <row r="721" spans="1:4" x14ac:dyDescent="0.25">
      <c r="A721" s="76">
        <v>720</v>
      </c>
      <c r="B721" s="268" t="s">
        <v>1084</v>
      </c>
      <c r="C721" s="914"/>
      <c r="D721" s="435" t="s">
        <v>1084</v>
      </c>
    </row>
    <row r="722" spans="1:4" x14ac:dyDescent="0.25">
      <c r="A722" s="76">
        <v>721</v>
      </c>
      <c r="B722" s="268" t="s">
        <v>1085</v>
      </c>
      <c r="C722" s="914"/>
      <c r="D722" s="435" t="s">
        <v>1085</v>
      </c>
    </row>
    <row r="723" spans="1:4" ht="25" x14ac:dyDescent="0.25">
      <c r="A723" s="76">
        <v>722</v>
      </c>
      <c r="B723" s="268" t="s">
        <v>1086</v>
      </c>
      <c r="C723" s="914"/>
      <c r="D723" s="435" t="s">
        <v>1086</v>
      </c>
    </row>
    <row r="724" spans="1:4" x14ac:dyDescent="0.25">
      <c r="A724" s="76">
        <v>723</v>
      </c>
      <c r="B724" s="268" t="s">
        <v>1087</v>
      </c>
      <c r="C724" s="914"/>
      <c r="D724" s="435" t="s">
        <v>1087</v>
      </c>
    </row>
    <row r="725" spans="1:4" x14ac:dyDescent="0.25">
      <c r="A725" s="76">
        <v>724</v>
      </c>
      <c r="B725" s="268" t="s">
        <v>1088</v>
      </c>
      <c r="C725" s="914"/>
      <c r="D725" s="435" t="s">
        <v>1088</v>
      </c>
    </row>
    <row r="726" spans="1:4" x14ac:dyDescent="0.25">
      <c r="A726" s="76">
        <v>725</v>
      </c>
      <c r="B726" s="268" t="s">
        <v>1089</v>
      </c>
      <c r="C726" s="914"/>
      <c r="D726" s="435" t="s">
        <v>1089</v>
      </c>
    </row>
    <row r="727" spans="1:4" x14ac:dyDescent="0.25">
      <c r="A727" s="76">
        <v>726</v>
      </c>
      <c r="B727" s="268" t="s">
        <v>1090</v>
      </c>
      <c r="C727" s="914"/>
      <c r="D727" s="435" t="s">
        <v>1090</v>
      </c>
    </row>
    <row r="728" spans="1:4" x14ac:dyDescent="0.25">
      <c r="A728" s="76">
        <v>727</v>
      </c>
      <c r="B728" s="268" t="s">
        <v>1091</v>
      </c>
      <c r="C728" s="914"/>
      <c r="D728" s="435" t="s">
        <v>1091</v>
      </c>
    </row>
    <row r="729" spans="1:4" x14ac:dyDescent="0.25">
      <c r="A729" s="76">
        <v>728</v>
      </c>
      <c r="B729" s="268" t="s">
        <v>1092</v>
      </c>
      <c r="C729" s="914"/>
      <c r="D729" s="435" t="s">
        <v>1092</v>
      </c>
    </row>
    <row r="730" spans="1:4" x14ac:dyDescent="0.25">
      <c r="A730" s="76">
        <v>729</v>
      </c>
      <c r="B730" s="268" t="s">
        <v>1093</v>
      </c>
      <c r="C730" s="914"/>
      <c r="D730" s="435" t="s">
        <v>1093</v>
      </c>
    </row>
    <row r="731" spans="1:4" x14ac:dyDescent="0.25">
      <c r="A731" s="76">
        <v>730</v>
      </c>
      <c r="B731" s="268" t="s">
        <v>1094</v>
      </c>
      <c r="C731" s="914"/>
      <c r="D731" s="435" t="s">
        <v>1094</v>
      </c>
    </row>
    <row r="732" spans="1:4" x14ac:dyDescent="0.25">
      <c r="A732" s="76" t="s">
        <v>337</v>
      </c>
      <c r="B732" s="268" t="s">
        <v>1095</v>
      </c>
      <c r="C732" s="914"/>
      <c r="D732" s="435" t="s">
        <v>1095</v>
      </c>
    </row>
    <row r="733" spans="1:4" x14ac:dyDescent="0.25">
      <c r="A733" s="76">
        <v>732</v>
      </c>
      <c r="B733" s="268" t="s">
        <v>1096</v>
      </c>
      <c r="C733" s="914"/>
      <c r="D733" s="435" t="s">
        <v>1096</v>
      </c>
    </row>
    <row r="734" spans="1:4" x14ac:dyDescent="0.25">
      <c r="A734" s="76">
        <v>733</v>
      </c>
      <c r="B734" s="268" t="s">
        <v>1097</v>
      </c>
      <c r="C734" s="914"/>
      <c r="D734" s="435" t="s">
        <v>1097</v>
      </c>
    </row>
    <row r="735" spans="1:4" x14ac:dyDescent="0.25">
      <c r="A735" s="76">
        <v>734</v>
      </c>
      <c r="B735" s="268" t="s">
        <v>1098</v>
      </c>
      <c r="C735" s="914"/>
      <c r="D735" s="435" t="s">
        <v>1098</v>
      </c>
    </row>
    <row r="736" spans="1:4" x14ac:dyDescent="0.25">
      <c r="A736" s="76">
        <v>735</v>
      </c>
      <c r="B736" s="268" t="s">
        <v>1099</v>
      </c>
      <c r="C736" s="914"/>
      <c r="D736" s="435" t="s">
        <v>1099</v>
      </c>
    </row>
    <row r="737" spans="1:4" x14ac:dyDescent="0.25">
      <c r="A737" s="76">
        <v>736</v>
      </c>
      <c r="B737" s="268" t="s">
        <v>1100</v>
      </c>
      <c r="C737" s="914"/>
      <c r="D737" s="435" t="s">
        <v>1100</v>
      </c>
    </row>
    <row r="738" spans="1:4" x14ac:dyDescent="0.25">
      <c r="A738" s="76">
        <v>737</v>
      </c>
      <c r="B738" s="268" t="s">
        <v>1101</v>
      </c>
      <c r="C738" s="914"/>
      <c r="D738" s="435" t="s">
        <v>1101</v>
      </c>
    </row>
    <row r="739" spans="1:4" x14ac:dyDescent="0.25">
      <c r="A739" s="76">
        <v>738</v>
      </c>
      <c r="B739" s="268" t="s">
        <v>1102</v>
      </c>
      <c r="C739" s="914"/>
      <c r="D739" s="435" t="s">
        <v>1102</v>
      </c>
    </row>
    <row r="740" spans="1:4" x14ac:dyDescent="0.25">
      <c r="A740" s="76">
        <v>739</v>
      </c>
      <c r="B740" s="268" t="s">
        <v>1103</v>
      </c>
      <c r="C740" s="914"/>
      <c r="D740" s="435" t="s">
        <v>1103</v>
      </c>
    </row>
    <row r="741" spans="1:4" x14ac:dyDescent="0.25">
      <c r="A741" s="76">
        <v>740</v>
      </c>
      <c r="B741" s="268" t="s">
        <v>1104</v>
      </c>
      <c r="C741" s="914"/>
      <c r="D741" s="435" t="s">
        <v>1104</v>
      </c>
    </row>
    <row r="742" spans="1:4" x14ac:dyDescent="0.25">
      <c r="A742" s="76">
        <v>741</v>
      </c>
      <c r="B742" s="268" t="s">
        <v>1105</v>
      </c>
      <c r="C742" s="914"/>
      <c r="D742" s="435" t="s">
        <v>1105</v>
      </c>
    </row>
    <row r="743" spans="1:4" x14ac:dyDescent="0.25">
      <c r="A743" s="76">
        <v>742</v>
      </c>
      <c r="B743" s="268" t="s">
        <v>1106</v>
      </c>
      <c r="C743" s="914"/>
      <c r="D743" s="435" t="s">
        <v>1106</v>
      </c>
    </row>
    <row r="744" spans="1:4" x14ac:dyDescent="0.25">
      <c r="A744" s="76">
        <v>743</v>
      </c>
      <c r="B744" s="268" t="s">
        <v>1107</v>
      </c>
      <c r="C744" s="914"/>
      <c r="D744" s="435" t="s">
        <v>1107</v>
      </c>
    </row>
    <row r="745" spans="1:4" x14ac:dyDescent="0.25">
      <c r="A745" s="76">
        <v>744</v>
      </c>
      <c r="B745" s="268" t="s">
        <v>1108</v>
      </c>
      <c r="C745" s="914"/>
      <c r="D745" s="435" t="s">
        <v>1108</v>
      </c>
    </row>
    <row r="746" spans="1:4" x14ac:dyDescent="0.25">
      <c r="A746" s="76">
        <v>745</v>
      </c>
      <c r="B746" s="268" t="s">
        <v>1109</v>
      </c>
      <c r="C746" s="914"/>
      <c r="D746" s="435" t="s">
        <v>1109</v>
      </c>
    </row>
    <row r="747" spans="1:4" x14ac:dyDescent="0.25">
      <c r="A747" s="76">
        <v>746</v>
      </c>
      <c r="B747" s="268" t="s">
        <v>1110</v>
      </c>
      <c r="C747" s="914"/>
      <c r="D747" s="435" t="s">
        <v>1110</v>
      </c>
    </row>
    <row r="748" spans="1:4" x14ac:dyDescent="0.25">
      <c r="A748" s="76">
        <v>747</v>
      </c>
      <c r="B748" s="268" t="s">
        <v>1111</v>
      </c>
      <c r="C748" s="914"/>
      <c r="D748" s="435" t="s">
        <v>1111</v>
      </c>
    </row>
    <row r="749" spans="1:4" x14ac:dyDescent="0.25">
      <c r="A749" s="76">
        <v>748</v>
      </c>
      <c r="B749" s="268" t="s">
        <v>1112</v>
      </c>
      <c r="C749" s="914"/>
      <c r="D749" s="435" t="s">
        <v>1112</v>
      </c>
    </row>
    <row r="750" spans="1:4" x14ac:dyDescent="0.25">
      <c r="A750" s="76">
        <v>749</v>
      </c>
      <c r="B750" s="268" t="s">
        <v>1113</v>
      </c>
      <c r="C750" s="914"/>
      <c r="D750" s="435" t="s">
        <v>1113</v>
      </c>
    </row>
    <row r="751" spans="1:4" x14ac:dyDescent="0.25">
      <c r="A751" s="76">
        <v>750</v>
      </c>
      <c r="B751" s="268" t="s">
        <v>1114</v>
      </c>
      <c r="C751" s="914"/>
      <c r="D751" s="435" t="s">
        <v>1114</v>
      </c>
    </row>
    <row r="752" spans="1:4" x14ac:dyDescent="0.25">
      <c r="A752" s="76">
        <v>751</v>
      </c>
      <c r="B752" s="268" t="s">
        <v>1115</v>
      </c>
      <c r="C752" s="914"/>
      <c r="D752" s="435" t="s">
        <v>1115</v>
      </c>
    </row>
    <row r="753" spans="1:4" x14ac:dyDescent="0.25">
      <c r="A753" s="76">
        <v>752</v>
      </c>
      <c r="B753" s="268" t="s">
        <v>1116</v>
      </c>
      <c r="C753" s="914"/>
      <c r="D753" s="435" t="s">
        <v>1116</v>
      </c>
    </row>
    <row r="754" spans="1:4" x14ac:dyDescent="0.25">
      <c r="A754" s="76">
        <v>753</v>
      </c>
      <c r="B754" s="268" t="s">
        <v>1117</v>
      </c>
      <c r="C754" s="914"/>
      <c r="D754" s="435" t="s">
        <v>1117</v>
      </c>
    </row>
    <row r="755" spans="1:4" x14ac:dyDescent="0.25">
      <c r="A755" s="76">
        <v>754</v>
      </c>
      <c r="B755" s="268" t="s">
        <v>1118</v>
      </c>
      <c r="C755" s="914"/>
      <c r="D755" s="435" t="s">
        <v>1118</v>
      </c>
    </row>
    <row r="756" spans="1:4" x14ac:dyDescent="0.25">
      <c r="A756" s="76">
        <v>755</v>
      </c>
      <c r="B756" s="268" t="s">
        <v>1119</v>
      </c>
      <c r="C756" s="914"/>
      <c r="D756" s="435" t="s">
        <v>1119</v>
      </c>
    </row>
    <row r="757" spans="1:4" x14ac:dyDescent="0.25">
      <c r="A757" s="76">
        <v>756</v>
      </c>
      <c r="B757" s="268" t="s">
        <v>1120</v>
      </c>
      <c r="C757" s="914"/>
      <c r="D757" s="435" t="s">
        <v>1120</v>
      </c>
    </row>
    <row r="758" spans="1:4" x14ac:dyDescent="0.25">
      <c r="A758" s="76">
        <v>757</v>
      </c>
      <c r="B758" s="268" t="s">
        <v>1121</v>
      </c>
      <c r="C758" s="914"/>
      <c r="D758" s="435" t="s">
        <v>1121</v>
      </c>
    </row>
    <row r="759" spans="1:4" x14ac:dyDescent="0.25">
      <c r="A759" s="76">
        <v>758</v>
      </c>
      <c r="B759" s="268" t="s">
        <v>1122</v>
      </c>
      <c r="C759" s="914"/>
      <c r="D759" s="435" t="s">
        <v>1122</v>
      </c>
    </row>
    <row r="760" spans="1:4" x14ac:dyDescent="0.25">
      <c r="A760" s="76">
        <v>759</v>
      </c>
      <c r="B760" s="268" t="s">
        <v>1123</v>
      </c>
      <c r="C760" s="914"/>
      <c r="D760" s="435" t="s">
        <v>1123</v>
      </c>
    </row>
    <row r="761" spans="1:4" x14ac:dyDescent="0.25">
      <c r="A761" s="76">
        <v>760</v>
      </c>
      <c r="B761" s="268" t="s">
        <v>1124</v>
      </c>
      <c r="C761" s="914"/>
      <c r="D761" s="435" t="s">
        <v>1124</v>
      </c>
    </row>
    <row r="762" spans="1:4" x14ac:dyDescent="0.25">
      <c r="A762" s="76">
        <v>761</v>
      </c>
      <c r="B762" s="268" t="s">
        <v>1125</v>
      </c>
      <c r="C762" s="914"/>
      <c r="D762" s="435" t="s">
        <v>1125</v>
      </c>
    </row>
    <row r="763" spans="1:4" x14ac:dyDescent="0.25">
      <c r="A763" s="76">
        <v>762</v>
      </c>
      <c r="B763" s="268" t="s">
        <v>1126</v>
      </c>
      <c r="C763" s="914"/>
      <c r="D763" s="435" t="s">
        <v>1126</v>
      </c>
    </row>
    <row r="764" spans="1:4" x14ac:dyDescent="0.25">
      <c r="A764" s="76">
        <v>763</v>
      </c>
      <c r="B764" s="268" t="s">
        <v>1127</v>
      </c>
      <c r="C764" s="914"/>
      <c r="D764" s="435" t="s">
        <v>1127</v>
      </c>
    </row>
    <row r="765" spans="1:4" x14ac:dyDescent="0.25">
      <c r="A765" s="76">
        <v>764</v>
      </c>
      <c r="B765" s="268" t="s">
        <v>1128</v>
      </c>
      <c r="C765" s="914"/>
      <c r="D765" s="435" t="s">
        <v>1128</v>
      </c>
    </row>
    <row r="766" spans="1:4" x14ac:dyDescent="0.25">
      <c r="A766" s="76">
        <v>765</v>
      </c>
      <c r="B766" s="268" t="s">
        <v>1129</v>
      </c>
      <c r="C766" s="914"/>
      <c r="D766" s="435" t="s">
        <v>1129</v>
      </c>
    </row>
    <row r="767" spans="1:4" x14ac:dyDescent="0.25">
      <c r="A767" s="76">
        <v>766</v>
      </c>
      <c r="B767" s="268" t="s">
        <v>1130</v>
      </c>
      <c r="C767" s="914"/>
      <c r="D767" s="435" t="s">
        <v>1130</v>
      </c>
    </row>
    <row r="768" spans="1:4" x14ac:dyDescent="0.25">
      <c r="A768" s="76">
        <v>767</v>
      </c>
      <c r="B768" s="268" t="s">
        <v>1131</v>
      </c>
      <c r="C768" s="914"/>
      <c r="D768" s="435" t="s">
        <v>1131</v>
      </c>
    </row>
    <row r="769" spans="1:4" x14ac:dyDescent="0.25">
      <c r="A769" s="76">
        <v>768</v>
      </c>
      <c r="B769" s="268" t="s">
        <v>1132</v>
      </c>
      <c r="C769" s="914"/>
      <c r="D769" s="435" t="s">
        <v>1132</v>
      </c>
    </row>
    <row r="770" spans="1:4" x14ac:dyDescent="0.25">
      <c r="A770" s="76">
        <v>769</v>
      </c>
      <c r="B770" s="268" t="s">
        <v>1133</v>
      </c>
      <c r="C770" s="914"/>
      <c r="D770" s="435" t="s">
        <v>1134</v>
      </c>
    </row>
    <row r="771" spans="1:4" x14ac:dyDescent="0.25">
      <c r="A771" s="76">
        <v>770</v>
      </c>
      <c r="B771" s="268" t="s">
        <v>1135</v>
      </c>
      <c r="C771" s="914"/>
      <c r="D771" s="435" t="s">
        <v>1135</v>
      </c>
    </row>
    <row r="772" spans="1:4" x14ac:dyDescent="0.25">
      <c r="A772" s="76">
        <v>771</v>
      </c>
      <c r="B772" s="268" t="s">
        <v>1136</v>
      </c>
      <c r="C772" s="914"/>
      <c r="D772" s="435" t="s">
        <v>1136</v>
      </c>
    </row>
    <row r="773" spans="1:4" x14ac:dyDescent="0.25">
      <c r="A773" s="76">
        <v>772</v>
      </c>
      <c r="B773" s="268" t="s">
        <v>1137</v>
      </c>
      <c r="C773" s="914"/>
      <c r="D773" s="435" t="s">
        <v>1137</v>
      </c>
    </row>
    <row r="774" spans="1:4" x14ac:dyDescent="0.25">
      <c r="A774" s="76" t="s">
        <v>337</v>
      </c>
      <c r="B774" s="268" t="s">
        <v>1138</v>
      </c>
      <c r="C774" s="914"/>
      <c r="D774" s="435" t="s">
        <v>1138</v>
      </c>
    </row>
    <row r="775" spans="1:4" x14ac:dyDescent="0.25">
      <c r="A775" s="76">
        <v>774</v>
      </c>
      <c r="B775" s="268" t="s">
        <v>1139</v>
      </c>
      <c r="C775" s="914"/>
      <c r="D775" s="435" t="s">
        <v>1139</v>
      </c>
    </row>
    <row r="776" spans="1:4" x14ac:dyDescent="0.25">
      <c r="A776" s="76">
        <v>775</v>
      </c>
      <c r="B776" s="268" t="s">
        <v>1140</v>
      </c>
      <c r="C776" s="914"/>
      <c r="D776" s="435" t="s">
        <v>1140</v>
      </c>
    </row>
    <row r="777" spans="1:4" x14ac:dyDescent="0.25">
      <c r="A777" s="76">
        <v>776</v>
      </c>
      <c r="B777" s="268" t="s">
        <v>1141</v>
      </c>
      <c r="C777" s="914"/>
      <c r="D777" s="435" t="s">
        <v>1141</v>
      </c>
    </row>
    <row r="778" spans="1:4" x14ac:dyDescent="0.25">
      <c r="A778" s="76">
        <v>777</v>
      </c>
      <c r="B778" s="268" t="s">
        <v>1142</v>
      </c>
      <c r="C778" s="914"/>
      <c r="D778" s="435" t="s">
        <v>1142</v>
      </c>
    </row>
    <row r="779" spans="1:4" x14ac:dyDescent="0.25">
      <c r="A779" s="76">
        <v>778</v>
      </c>
      <c r="B779" s="268" t="s">
        <v>1143</v>
      </c>
      <c r="C779" s="914"/>
      <c r="D779" s="435" t="s">
        <v>1143</v>
      </c>
    </row>
    <row r="780" spans="1:4" x14ac:dyDescent="0.25">
      <c r="A780" s="76">
        <v>779</v>
      </c>
      <c r="B780" s="268" t="s">
        <v>1144</v>
      </c>
      <c r="C780" s="914"/>
      <c r="D780" s="435" t="s">
        <v>1144</v>
      </c>
    </row>
    <row r="781" spans="1:4" x14ac:dyDescent="0.25">
      <c r="A781" s="76">
        <v>780</v>
      </c>
      <c r="B781" s="268" t="s">
        <v>1145</v>
      </c>
      <c r="C781" s="914"/>
      <c r="D781" s="435" t="s">
        <v>1145</v>
      </c>
    </row>
    <row r="782" spans="1:4" x14ac:dyDescent="0.25">
      <c r="A782" s="76">
        <v>781</v>
      </c>
      <c r="B782" s="268" t="s">
        <v>1146</v>
      </c>
      <c r="C782" s="914"/>
      <c r="D782" s="435" t="s">
        <v>1146</v>
      </c>
    </row>
    <row r="783" spans="1:4" x14ac:dyDescent="0.25">
      <c r="A783" s="76">
        <v>782</v>
      </c>
      <c r="B783" s="268" t="s">
        <v>1147</v>
      </c>
      <c r="C783" s="914"/>
      <c r="D783" s="435" t="s">
        <v>1147</v>
      </c>
    </row>
    <row r="784" spans="1:4" x14ac:dyDescent="0.25">
      <c r="A784" s="76">
        <v>783</v>
      </c>
      <c r="B784" s="268" t="s">
        <v>1148</v>
      </c>
      <c r="C784" s="914"/>
      <c r="D784" s="435" t="s">
        <v>1148</v>
      </c>
    </row>
    <row r="785" spans="1:4" ht="50" x14ac:dyDescent="0.25">
      <c r="A785" s="76" t="s">
        <v>337</v>
      </c>
      <c r="B785" s="220" t="s">
        <v>1149</v>
      </c>
      <c r="C785" s="907"/>
      <c r="D785" s="433" t="s">
        <v>1149</v>
      </c>
    </row>
    <row r="786" spans="1:4" x14ac:dyDescent="0.25">
      <c r="A786" s="76" t="s">
        <v>337</v>
      </c>
      <c r="B786" s="222" t="s">
        <v>1150</v>
      </c>
      <c r="C786" s="907"/>
      <c r="D786" s="435" t="s">
        <v>1150</v>
      </c>
    </row>
    <row r="787" spans="1:4" x14ac:dyDescent="0.25">
      <c r="A787" s="76" t="s">
        <v>337</v>
      </c>
      <c r="B787" s="222" t="s">
        <v>1151</v>
      </c>
      <c r="C787" s="907"/>
      <c r="D787" s="435" t="s">
        <v>1151</v>
      </c>
    </row>
    <row r="788" spans="1:4" ht="25" x14ac:dyDescent="0.25">
      <c r="A788" s="76" t="s">
        <v>337</v>
      </c>
      <c r="B788" s="222" t="s">
        <v>1152</v>
      </c>
      <c r="C788" s="907"/>
      <c r="D788" s="435" t="s">
        <v>1152</v>
      </c>
    </row>
    <row r="789" spans="1:4" ht="40.5" thickBot="1" x14ac:dyDescent="0.3">
      <c r="A789" s="76" t="s">
        <v>337</v>
      </c>
      <c r="B789" s="242" t="s">
        <v>1153</v>
      </c>
      <c r="C789" s="910"/>
      <c r="D789" s="444" t="s">
        <v>1153</v>
      </c>
    </row>
    <row r="790" spans="1:4" ht="21.5" thickBot="1" x14ac:dyDescent="0.3">
      <c r="A790" s="76" t="s">
        <v>337</v>
      </c>
      <c r="B790" s="248" t="s">
        <v>1154</v>
      </c>
      <c r="C790" s="907"/>
      <c r="D790" s="443" t="s">
        <v>1154</v>
      </c>
    </row>
    <row r="791" spans="1:4" ht="16" thickBot="1" x14ac:dyDescent="0.3">
      <c r="A791" s="76" t="s">
        <v>337</v>
      </c>
      <c r="B791" s="249" t="s">
        <v>1155</v>
      </c>
      <c r="C791" s="907"/>
      <c r="D791" s="443" t="s">
        <v>1155</v>
      </c>
    </row>
    <row r="792" spans="1:4" ht="16" thickBot="1" x14ac:dyDescent="0.3">
      <c r="A792" s="76" t="s">
        <v>337</v>
      </c>
      <c r="B792" s="249" t="s">
        <v>1156</v>
      </c>
      <c r="C792" s="907"/>
      <c r="D792" s="443" t="s">
        <v>1156</v>
      </c>
    </row>
    <row r="793" spans="1:4" ht="16" thickBot="1" x14ac:dyDescent="0.3">
      <c r="A793" s="76" t="s">
        <v>337</v>
      </c>
      <c r="B793" s="249" t="s">
        <v>1157</v>
      </c>
      <c r="C793" s="907"/>
      <c r="D793" s="443" t="s">
        <v>1157</v>
      </c>
    </row>
    <row r="794" spans="1:4" x14ac:dyDescent="0.25">
      <c r="A794" s="76" t="s">
        <v>337</v>
      </c>
      <c r="B794" s="222" t="s">
        <v>1158</v>
      </c>
      <c r="C794" s="907"/>
      <c r="D794" s="435" t="s">
        <v>1158</v>
      </c>
    </row>
    <row r="795" spans="1:4" ht="18" x14ac:dyDescent="0.25">
      <c r="A795" s="76" t="s">
        <v>337</v>
      </c>
      <c r="B795" s="221" t="s">
        <v>1159</v>
      </c>
      <c r="C795" s="908"/>
      <c r="D795" s="434" t="s">
        <v>1159</v>
      </c>
    </row>
    <row r="796" spans="1:4" x14ac:dyDescent="0.25">
      <c r="A796" s="76" t="s">
        <v>337</v>
      </c>
      <c r="B796" s="235" t="s">
        <v>1160</v>
      </c>
      <c r="C796" s="908"/>
      <c r="D796" s="436" t="s">
        <v>1160</v>
      </c>
    </row>
    <row r="797" spans="1:4" ht="30" x14ac:dyDescent="0.25">
      <c r="A797" s="76" t="s">
        <v>337</v>
      </c>
      <c r="B797" s="245" t="s">
        <v>1161</v>
      </c>
      <c r="C797" s="910"/>
      <c r="D797" s="442" t="s">
        <v>1161</v>
      </c>
    </row>
    <row r="798" spans="1:4" ht="26" x14ac:dyDescent="0.25">
      <c r="A798" s="76" t="s">
        <v>337</v>
      </c>
      <c r="B798" s="235" t="s">
        <v>1162</v>
      </c>
      <c r="C798" s="908"/>
      <c r="D798" s="436" t="s">
        <v>1162</v>
      </c>
    </row>
    <row r="799" spans="1:4" ht="20" x14ac:dyDescent="0.25">
      <c r="A799" s="76" t="s">
        <v>337</v>
      </c>
      <c r="B799" s="245" t="s">
        <v>1163</v>
      </c>
      <c r="C799" s="910"/>
      <c r="D799" s="442" t="s">
        <v>1163</v>
      </c>
    </row>
    <row r="800" spans="1:4" ht="26" x14ac:dyDescent="0.25">
      <c r="A800" s="76" t="s">
        <v>337</v>
      </c>
      <c r="B800" s="235" t="s">
        <v>1164</v>
      </c>
      <c r="C800" s="908"/>
      <c r="D800" s="436" t="s">
        <v>1164</v>
      </c>
    </row>
    <row r="801" spans="1:4" ht="26" x14ac:dyDescent="0.25">
      <c r="A801" s="76" t="s">
        <v>337</v>
      </c>
      <c r="B801" s="235" t="s">
        <v>1165</v>
      </c>
      <c r="C801" s="908"/>
      <c r="D801" s="436" t="s">
        <v>1165</v>
      </c>
    </row>
    <row r="802" spans="1:4" x14ac:dyDescent="0.25">
      <c r="A802" s="76" t="s">
        <v>337</v>
      </c>
      <c r="B802" s="238" t="s">
        <v>1166</v>
      </c>
      <c r="C802" s="984"/>
      <c r="D802" s="439" t="s">
        <v>1166</v>
      </c>
    </row>
    <row r="803" spans="1:4" ht="26" x14ac:dyDescent="0.25">
      <c r="A803" s="76" t="s">
        <v>337</v>
      </c>
      <c r="B803" s="223" t="s">
        <v>1167</v>
      </c>
      <c r="C803" s="907"/>
      <c r="D803" s="436" t="s">
        <v>1167</v>
      </c>
    </row>
    <row r="804" spans="1:4" ht="20.149999999999999" customHeight="1" x14ac:dyDescent="0.25">
      <c r="A804" s="76" t="s">
        <v>337</v>
      </c>
      <c r="B804" s="245" t="s">
        <v>1168</v>
      </c>
      <c r="C804" s="910"/>
      <c r="D804" s="442" t="s">
        <v>1169</v>
      </c>
    </row>
    <row r="805" spans="1:4" x14ac:dyDescent="0.25">
      <c r="A805" s="76" t="s">
        <v>337</v>
      </c>
      <c r="B805" s="239" t="s">
        <v>1170</v>
      </c>
      <c r="C805" s="910"/>
      <c r="D805" s="442" t="s">
        <v>1170</v>
      </c>
    </row>
    <row r="806" spans="1:4" ht="20" x14ac:dyDescent="0.25">
      <c r="A806" s="76" t="s">
        <v>337</v>
      </c>
      <c r="B806" s="239" t="s">
        <v>1171</v>
      </c>
      <c r="C806" s="910"/>
      <c r="D806" s="442" t="s">
        <v>1171</v>
      </c>
    </row>
    <row r="807" spans="1:4" ht="26" x14ac:dyDescent="0.25">
      <c r="A807" s="76" t="s">
        <v>337</v>
      </c>
      <c r="B807" s="223" t="s">
        <v>1172</v>
      </c>
      <c r="C807" s="907"/>
      <c r="D807" s="436" t="s">
        <v>1172</v>
      </c>
    </row>
    <row r="808" spans="1:4" ht="20.5" thickBot="1" x14ac:dyDescent="0.3">
      <c r="A808" s="76" t="s">
        <v>337</v>
      </c>
      <c r="B808" s="255" t="s">
        <v>1173</v>
      </c>
      <c r="C808" s="910"/>
      <c r="D808" s="442" t="s">
        <v>1173</v>
      </c>
    </row>
    <row r="809" spans="1:4" ht="26" x14ac:dyDescent="0.25">
      <c r="A809" s="76" t="s">
        <v>337</v>
      </c>
      <c r="B809" s="223" t="s">
        <v>1174</v>
      </c>
      <c r="C809" s="907"/>
      <c r="D809" s="436" t="s">
        <v>1175</v>
      </c>
    </row>
    <row r="810" spans="1:4" x14ac:dyDescent="0.25">
      <c r="A810" s="76" t="s">
        <v>337</v>
      </c>
      <c r="B810" s="238" t="s">
        <v>1176</v>
      </c>
      <c r="C810" s="984"/>
      <c r="D810" s="439" t="s">
        <v>1176</v>
      </c>
    </row>
    <row r="811" spans="1:4" x14ac:dyDescent="0.25">
      <c r="A811" s="76" t="s">
        <v>337</v>
      </c>
      <c r="B811" s="223" t="s">
        <v>1177</v>
      </c>
      <c r="C811" s="907"/>
      <c r="D811" s="436" t="s">
        <v>1177</v>
      </c>
    </row>
    <row r="812" spans="1:4" ht="20" x14ac:dyDescent="0.25">
      <c r="A812" s="76" t="s">
        <v>337</v>
      </c>
      <c r="B812" s="245" t="s">
        <v>1178</v>
      </c>
      <c r="C812" s="910"/>
      <c r="D812" s="442" t="s">
        <v>1179</v>
      </c>
    </row>
    <row r="813" spans="1:4" ht="26.5" thickBot="1" x14ac:dyDescent="0.3">
      <c r="A813" s="76" t="s">
        <v>337</v>
      </c>
      <c r="B813" s="273" t="s">
        <v>1180</v>
      </c>
      <c r="C813" s="907"/>
      <c r="D813" s="436" t="s">
        <v>1180</v>
      </c>
    </row>
    <row r="814" spans="1:4" ht="26.5" thickBot="1" x14ac:dyDescent="0.3">
      <c r="A814" s="76" t="s">
        <v>337</v>
      </c>
      <c r="B814" s="273" t="s">
        <v>1181</v>
      </c>
      <c r="C814" s="907"/>
      <c r="D814" s="436" t="s">
        <v>1181</v>
      </c>
    </row>
    <row r="815" spans="1:4" ht="26" x14ac:dyDescent="0.25">
      <c r="A815" s="76" t="s">
        <v>337</v>
      </c>
      <c r="B815" s="223" t="s">
        <v>1182</v>
      </c>
      <c r="C815" s="907"/>
      <c r="D815" s="436" t="s">
        <v>1182</v>
      </c>
    </row>
    <row r="816" spans="1:4" ht="26" x14ac:dyDescent="0.25">
      <c r="A816" s="76" t="s">
        <v>337</v>
      </c>
      <c r="B816" s="223" t="s">
        <v>1183</v>
      </c>
      <c r="C816" s="907"/>
      <c r="D816" s="436" t="s">
        <v>1183</v>
      </c>
    </row>
    <row r="817" spans="1:4" x14ac:dyDescent="0.25">
      <c r="A817" s="76" t="s">
        <v>337</v>
      </c>
      <c r="B817" s="222" t="s">
        <v>1184</v>
      </c>
      <c r="C817" s="907"/>
      <c r="D817" s="435" t="s">
        <v>1184</v>
      </c>
    </row>
    <row r="818" spans="1:4" x14ac:dyDescent="0.25">
      <c r="A818" s="76" t="s">
        <v>337</v>
      </c>
      <c r="B818" s="271" t="s">
        <v>1185</v>
      </c>
      <c r="C818" s="916"/>
      <c r="D818" s="435" t="s">
        <v>1185</v>
      </c>
    </row>
    <row r="819" spans="1:4" x14ac:dyDescent="0.25">
      <c r="A819" s="76" t="s">
        <v>337</v>
      </c>
      <c r="B819" s="271" t="s">
        <v>1186</v>
      </c>
      <c r="C819" s="916"/>
      <c r="D819" s="435" t="s">
        <v>1186</v>
      </c>
    </row>
    <row r="820" spans="1:4" x14ac:dyDescent="0.25">
      <c r="A820" s="76" t="s">
        <v>337</v>
      </c>
      <c r="B820" s="271" t="s">
        <v>1187</v>
      </c>
      <c r="C820" s="916"/>
      <c r="D820" s="435" t="s">
        <v>1187</v>
      </c>
    </row>
    <row r="821" spans="1:4" x14ac:dyDescent="0.25">
      <c r="A821" s="76" t="s">
        <v>337</v>
      </c>
      <c r="B821" s="271" t="s">
        <v>1188</v>
      </c>
      <c r="C821" s="916"/>
      <c r="D821" s="435" t="s">
        <v>1188</v>
      </c>
    </row>
    <row r="822" spans="1:4" ht="25" x14ac:dyDescent="0.25">
      <c r="A822" s="76" t="s">
        <v>337</v>
      </c>
      <c r="B822" s="271" t="s">
        <v>1189</v>
      </c>
      <c r="C822" s="916"/>
      <c r="D822" s="435" t="s">
        <v>1189</v>
      </c>
    </row>
    <row r="823" spans="1:4" ht="50.5" thickBot="1" x14ac:dyDescent="0.3">
      <c r="A823" s="76" t="s">
        <v>337</v>
      </c>
      <c r="B823" s="255" t="s">
        <v>1190</v>
      </c>
      <c r="C823" s="910"/>
      <c r="D823" s="442" t="s">
        <v>1190</v>
      </c>
    </row>
    <row r="824" spans="1:4" x14ac:dyDescent="0.25">
      <c r="A824" s="76">
        <v>823</v>
      </c>
      <c r="B824" s="270" t="s">
        <v>1191</v>
      </c>
      <c r="C824" s="915"/>
      <c r="D824" s="412" t="s">
        <v>1191</v>
      </c>
    </row>
    <row r="825" spans="1:4" x14ac:dyDescent="0.25">
      <c r="A825" s="76">
        <v>824</v>
      </c>
      <c r="B825" s="270" t="s">
        <v>1192</v>
      </c>
      <c r="C825" s="915"/>
      <c r="D825" s="412" t="s">
        <v>1192</v>
      </c>
    </row>
    <row r="826" spans="1:4" x14ac:dyDescent="0.25">
      <c r="A826" s="76">
        <v>825</v>
      </c>
      <c r="B826" s="270" t="s">
        <v>1193</v>
      </c>
      <c r="C826" s="915"/>
      <c r="D826" s="412" t="s">
        <v>1193</v>
      </c>
    </row>
    <row r="827" spans="1:4" x14ac:dyDescent="0.25">
      <c r="A827" s="76">
        <v>826</v>
      </c>
      <c r="B827" s="270" t="s">
        <v>1194</v>
      </c>
      <c r="C827" s="915"/>
      <c r="D827" s="412" t="s">
        <v>1194</v>
      </c>
    </row>
    <row r="828" spans="1:4" x14ac:dyDescent="0.25">
      <c r="A828" s="76">
        <v>827</v>
      </c>
      <c r="B828" s="270" t="s">
        <v>1195</v>
      </c>
      <c r="C828" s="915"/>
      <c r="D828" s="412" t="s">
        <v>1195</v>
      </c>
    </row>
    <row r="829" spans="1:4" x14ac:dyDescent="0.25">
      <c r="A829" s="76">
        <v>828</v>
      </c>
      <c r="B829" s="270" t="s">
        <v>1196</v>
      </c>
      <c r="C829" s="915"/>
      <c r="D829" s="412" t="s">
        <v>1196</v>
      </c>
    </row>
    <row r="830" spans="1:4" x14ac:dyDescent="0.25">
      <c r="A830" s="76">
        <v>829</v>
      </c>
      <c r="B830" s="270" t="s">
        <v>1197</v>
      </c>
      <c r="C830" s="915"/>
      <c r="D830" s="412" t="s">
        <v>1197</v>
      </c>
    </row>
    <row r="831" spans="1:4" x14ac:dyDescent="0.25">
      <c r="A831" s="76">
        <v>830</v>
      </c>
      <c r="B831" s="268" t="s">
        <v>1198</v>
      </c>
      <c r="C831" s="914"/>
      <c r="D831" s="435" t="s">
        <v>1198</v>
      </c>
    </row>
    <row r="832" spans="1:4" ht="25" x14ac:dyDescent="0.25">
      <c r="A832" s="76" t="s">
        <v>337</v>
      </c>
      <c r="B832" s="224" t="s">
        <v>1199</v>
      </c>
      <c r="C832" s="908"/>
      <c r="D832" s="435" t="s">
        <v>1199</v>
      </c>
    </row>
    <row r="833" spans="1:4" ht="52.5" x14ac:dyDescent="0.25">
      <c r="A833" s="76" t="s">
        <v>337</v>
      </c>
      <c r="B833" s="899" t="s">
        <v>1200</v>
      </c>
      <c r="C833" s="916"/>
      <c r="D833" s="906" t="s">
        <v>1200</v>
      </c>
    </row>
    <row r="834" spans="1:4" ht="50" x14ac:dyDescent="0.25">
      <c r="A834" s="76" t="s">
        <v>337</v>
      </c>
      <c r="B834" s="239" t="s">
        <v>1201</v>
      </c>
      <c r="C834" s="910"/>
      <c r="D834" s="442" t="s">
        <v>1201</v>
      </c>
    </row>
    <row r="835" spans="1:4" ht="39" x14ac:dyDescent="0.25">
      <c r="A835" s="76" t="s">
        <v>337</v>
      </c>
      <c r="B835" s="223" t="s">
        <v>1202</v>
      </c>
      <c r="C835" s="907"/>
      <c r="D835" s="436" t="s">
        <v>1202</v>
      </c>
    </row>
    <row r="836" spans="1:4" ht="20" x14ac:dyDescent="0.25">
      <c r="A836" s="76" t="s">
        <v>337</v>
      </c>
      <c r="B836" s="245" t="s">
        <v>1203</v>
      </c>
      <c r="C836" s="910"/>
      <c r="D836" s="442" t="s">
        <v>1203</v>
      </c>
    </row>
    <row r="837" spans="1:4" ht="26" x14ac:dyDescent="0.25">
      <c r="A837" s="76" t="s">
        <v>337</v>
      </c>
      <c r="B837" s="223" t="s">
        <v>1204</v>
      </c>
      <c r="C837" s="907"/>
      <c r="D837" s="436" t="s">
        <v>1204</v>
      </c>
    </row>
    <row r="838" spans="1:4" x14ac:dyDescent="0.25">
      <c r="A838" s="76" t="s">
        <v>337</v>
      </c>
      <c r="B838" s="250" t="s">
        <v>1205</v>
      </c>
      <c r="C838" s="908"/>
      <c r="D838" s="443" t="s">
        <v>1205</v>
      </c>
    </row>
    <row r="839" spans="1:4" ht="60" x14ac:dyDescent="0.25">
      <c r="A839" s="76" t="s">
        <v>337</v>
      </c>
      <c r="B839" s="263" t="s">
        <v>1206</v>
      </c>
      <c r="C839" s="910"/>
      <c r="D839" s="441" t="s">
        <v>1206</v>
      </c>
    </row>
    <row r="840" spans="1:4" ht="75" x14ac:dyDescent="0.25">
      <c r="A840" s="119">
        <v>1000</v>
      </c>
      <c r="B840" s="196" t="s">
        <v>2024</v>
      </c>
      <c r="C840" s="935" t="s">
        <v>2025</v>
      </c>
      <c r="D840" s="413" t="s">
        <v>1207</v>
      </c>
    </row>
    <row r="841" spans="1:4" x14ac:dyDescent="0.35">
      <c r="A841" s="119" t="s">
        <v>337</v>
      </c>
      <c r="B841" t="s">
        <v>1208</v>
      </c>
      <c r="C841" s="909"/>
      <c r="D841" s="449" t="s">
        <v>1208</v>
      </c>
    </row>
    <row r="842" spans="1:4" x14ac:dyDescent="0.35">
      <c r="A842" s="119">
        <v>1002</v>
      </c>
      <c r="B842" s="9" t="s">
        <v>1209</v>
      </c>
      <c r="C842" s="909"/>
      <c r="D842" s="449" t="s">
        <v>1209</v>
      </c>
    </row>
    <row r="843" spans="1:4" x14ac:dyDescent="0.35">
      <c r="A843" s="119">
        <v>1003</v>
      </c>
      <c r="B843" t="s">
        <v>1210</v>
      </c>
      <c r="C843" s="909"/>
      <c r="D843" s="449" t="s">
        <v>1210</v>
      </c>
    </row>
    <row r="844" spans="1:4" x14ac:dyDescent="0.35">
      <c r="A844" s="119">
        <v>1004</v>
      </c>
      <c r="B844" t="s">
        <v>1211</v>
      </c>
      <c r="C844" s="909"/>
      <c r="D844" s="449" t="s">
        <v>1211</v>
      </c>
    </row>
    <row r="845" spans="1:4" x14ac:dyDescent="0.35">
      <c r="A845" s="119">
        <v>1005</v>
      </c>
      <c r="B845" t="s">
        <v>1212</v>
      </c>
      <c r="C845" s="909"/>
      <c r="D845" s="449" t="s">
        <v>1212</v>
      </c>
    </row>
    <row r="846" spans="1:4" x14ac:dyDescent="0.35">
      <c r="A846" s="119">
        <v>1006</v>
      </c>
      <c r="B846" t="s">
        <v>1213</v>
      </c>
      <c r="C846" s="909"/>
      <c r="D846" s="449" t="s">
        <v>1213</v>
      </c>
    </row>
    <row r="847" spans="1:4" x14ac:dyDescent="0.35">
      <c r="A847" s="119" t="s">
        <v>337</v>
      </c>
      <c r="B847" t="s">
        <v>1214</v>
      </c>
      <c r="C847" s="909"/>
      <c r="D847" s="449" t="s">
        <v>1214</v>
      </c>
    </row>
    <row r="848" spans="1:4" x14ac:dyDescent="0.35">
      <c r="A848" s="119">
        <v>1008</v>
      </c>
      <c r="B848" t="s">
        <v>1215</v>
      </c>
      <c r="C848" s="909"/>
      <c r="D848" s="449" t="s">
        <v>1215</v>
      </c>
    </row>
    <row r="849" spans="1:4" x14ac:dyDescent="0.35">
      <c r="A849" s="119" t="s">
        <v>337</v>
      </c>
      <c r="B849" t="s">
        <v>1216</v>
      </c>
      <c r="C849" s="909"/>
      <c r="D849" s="449" t="s">
        <v>1216</v>
      </c>
    </row>
    <row r="850" spans="1:4" x14ac:dyDescent="0.25">
      <c r="A850" s="119">
        <v>1010</v>
      </c>
      <c r="B850" s="203" t="s">
        <v>1217</v>
      </c>
      <c r="C850" s="917"/>
      <c r="D850" s="414" t="s">
        <v>1217</v>
      </c>
    </row>
    <row r="851" spans="1:4" x14ac:dyDescent="0.25">
      <c r="A851" s="119">
        <v>1011</v>
      </c>
      <c r="B851" s="197" t="s">
        <v>1218</v>
      </c>
      <c r="C851" s="935"/>
      <c r="D851" s="397" t="s">
        <v>1218</v>
      </c>
    </row>
    <row r="852" spans="1:4" x14ac:dyDescent="0.25">
      <c r="A852" s="119" t="s">
        <v>337</v>
      </c>
      <c r="B852" s="204" t="s">
        <v>1219</v>
      </c>
      <c r="C852" s="923"/>
      <c r="D852" s="360" t="s">
        <v>1219</v>
      </c>
    </row>
    <row r="853" spans="1:4" ht="20" x14ac:dyDescent="0.25">
      <c r="A853" s="119">
        <v>1013</v>
      </c>
      <c r="B853" s="199" t="s">
        <v>1220</v>
      </c>
      <c r="C853" s="918"/>
      <c r="D853" s="361" t="s">
        <v>1221</v>
      </c>
    </row>
    <row r="854" spans="1:4" x14ac:dyDescent="0.25">
      <c r="A854" s="119" t="s">
        <v>337</v>
      </c>
      <c r="B854" s="205" t="s">
        <v>1222</v>
      </c>
      <c r="C854" s="919"/>
      <c r="D854" s="902" t="s">
        <v>1222</v>
      </c>
    </row>
    <row r="855" spans="1:4" x14ac:dyDescent="0.25">
      <c r="A855" s="119" t="s">
        <v>337</v>
      </c>
      <c r="B855" s="205" t="s">
        <v>1223</v>
      </c>
      <c r="C855" s="919"/>
      <c r="D855" s="902" t="s">
        <v>1223</v>
      </c>
    </row>
    <row r="856" spans="1:4" x14ac:dyDescent="0.25">
      <c r="A856" s="119" t="s">
        <v>337</v>
      </c>
      <c r="B856" s="188" t="s">
        <v>1224</v>
      </c>
      <c r="C856" s="920"/>
      <c r="D856" s="415" t="s">
        <v>1224</v>
      </c>
    </row>
    <row r="857" spans="1:4" ht="26" x14ac:dyDescent="0.25">
      <c r="A857" s="119" t="s">
        <v>337</v>
      </c>
      <c r="B857" s="896" t="s">
        <v>1225</v>
      </c>
      <c r="C857" s="921"/>
      <c r="D857" s="450" t="s">
        <v>1225</v>
      </c>
    </row>
    <row r="858" spans="1:4" x14ac:dyDescent="0.25">
      <c r="A858" s="119">
        <v>1018</v>
      </c>
      <c r="B858" s="188" t="s">
        <v>1226</v>
      </c>
      <c r="C858" s="920"/>
      <c r="D858" s="415" t="s">
        <v>1226</v>
      </c>
    </row>
    <row r="859" spans="1:4" ht="62.5" x14ac:dyDescent="0.25">
      <c r="A859" s="119">
        <v>1019</v>
      </c>
      <c r="B859" s="188" t="s">
        <v>1227</v>
      </c>
      <c r="C859" s="920"/>
      <c r="D859" s="415" t="s">
        <v>1227</v>
      </c>
    </row>
    <row r="860" spans="1:4" ht="25" x14ac:dyDescent="0.25">
      <c r="A860" s="119">
        <v>1020</v>
      </c>
      <c r="B860" s="188" t="s">
        <v>1228</v>
      </c>
      <c r="C860" s="920"/>
      <c r="D860" s="415" t="s">
        <v>1228</v>
      </c>
    </row>
    <row r="861" spans="1:4" ht="52.5" x14ac:dyDescent="0.25">
      <c r="A861" s="119" t="s">
        <v>337</v>
      </c>
      <c r="B861" s="191" t="s">
        <v>1229</v>
      </c>
      <c r="C861" s="922"/>
      <c r="D861" s="903" t="s">
        <v>1229</v>
      </c>
    </row>
    <row r="862" spans="1:4" x14ac:dyDescent="0.35">
      <c r="A862" s="119" t="s">
        <v>337</v>
      </c>
      <c r="B862" t="s">
        <v>1230</v>
      </c>
      <c r="C862" s="909"/>
      <c r="D862" s="449" t="s">
        <v>1230</v>
      </c>
    </row>
    <row r="863" spans="1:4" ht="125" x14ac:dyDescent="0.25">
      <c r="A863" s="119" t="s">
        <v>337</v>
      </c>
      <c r="B863" s="188" t="s">
        <v>1231</v>
      </c>
      <c r="C863" s="920"/>
      <c r="D863" s="415" t="s">
        <v>1232</v>
      </c>
    </row>
    <row r="864" spans="1:4" ht="62.5" x14ac:dyDescent="0.25">
      <c r="A864" s="119" t="s">
        <v>337</v>
      </c>
      <c r="B864" s="188" t="s">
        <v>1233</v>
      </c>
      <c r="C864" s="920"/>
      <c r="D864" s="415" t="s">
        <v>1233</v>
      </c>
    </row>
    <row r="865" spans="1:4" ht="62.5" x14ac:dyDescent="0.25">
      <c r="A865" s="119" t="s">
        <v>337</v>
      </c>
      <c r="B865" s="188" t="s">
        <v>1234</v>
      </c>
      <c r="C865" s="920"/>
      <c r="D865" s="415" t="s">
        <v>1234</v>
      </c>
    </row>
    <row r="866" spans="1:4" ht="25" x14ac:dyDescent="0.25">
      <c r="A866" s="119" t="s">
        <v>337</v>
      </c>
      <c r="B866" s="188" t="s">
        <v>1235</v>
      </c>
      <c r="C866" s="920"/>
      <c r="D866" s="415" t="s">
        <v>1235</v>
      </c>
    </row>
    <row r="867" spans="1:4" ht="31" x14ac:dyDescent="0.25">
      <c r="A867" s="119">
        <v>1027</v>
      </c>
      <c r="B867" s="230" t="s">
        <v>2045</v>
      </c>
      <c r="C867" s="923" t="s">
        <v>2025</v>
      </c>
      <c r="D867" s="414" t="s">
        <v>1236</v>
      </c>
    </row>
    <row r="868" spans="1:4" ht="37.5" x14ac:dyDescent="0.25">
      <c r="A868" s="119">
        <v>1028</v>
      </c>
      <c r="B868" s="188" t="s">
        <v>1237</v>
      </c>
      <c r="C868" s="920"/>
      <c r="D868" s="415" t="s">
        <v>1237</v>
      </c>
    </row>
    <row r="869" spans="1:4" ht="91" x14ac:dyDescent="0.25">
      <c r="A869" s="119">
        <v>1029</v>
      </c>
      <c r="B869" s="189" t="s">
        <v>1238</v>
      </c>
      <c r="C869" s="920"/>
      <c r="D869" s="397" t="s">
        <v>1238</v>
      </c>
    </row>
    <row r="870" spans="1:4" ht="37.5" x14ac:dyDescent="0.25">
      <c r="A870" s="119">
        <v>1030</v>
      </c>
      <c r="B870" s="188" t="s">
        <v>1239</v>
      </c>
      <c r="C870" s="920"/>
      <c r="D870" s="415" t="s">
        <v>1239</v>
      </c>
    </row>
    <row r="871" spans="1:4" ht="62.5" x14ac:dyDescent="0.25">
      <c r="A871" s="119">
        <v>1031</v>
      </c>
      <c r="B871" s="186" t="s">
        <v>1240</v>
      </c>
      <c r="C871" s="920"/>
      <c r="D871" s="415" t="s">
        <v>1240</v>
      </c>
    </row>
    <row r="872" spans="1:4" ht="62.5" x14ac:dyDescent="0.25">
      <c r="A872" s="119">
        <v>1032</v>
      </c>
      <c r="B872" s="190" t="s">
        <v>2044</v>
      </c>
      <c r="C872" s="920"/>
      <c r="D872" s="415" t="s">
        <v>1241</v>
      </c>
    </row>
    <row r="873" spans="1:4" ht="75.5" thickBot="1" x14ac:dyDescent="0.3">
      <c r="A873" s="119">
        <v>1033</v>
      </c>
      <c r="B873" s="186" t="s">
        <v>1242</v>
      </c>
      <c r="C873" s="920"/>
      <c r="D873" s="415" t="s">
        <v>1242</v>
      </c>
    </row>
    <row r="874" spans="1:4" ht="104.5" thickBot="1" x14ac:dyDescent="0.3">
      <c r="A874" s="119">
        <v>1034</v>
      </c>
      <c r="B874" s="187" t="s">
        <v>1243</v>
      </c>
      <c r="C874" s="937"/>
      <c r="D874" s="397" t="s">
        <v>1243</v>
      </c>
    </row>
    <row r="875" spans="1:4" ht="26" x14ac:dyDescent="0.25">
      <c r="A875" s="119">
        <v>1035</v>
      </c>
      <c r="B875" s="206" t="s">
        <v>1244</v>
      </c>
      <c r="C875" s="920"/>
      <c r="D875" s="397" t="s">
        <v>1244</v>
      </c>
    </row>
    <row r="876" spans="1:4" ht="18" x14ac:dyDescent="0.25">
      <c r="A876" s="119">
        <v>1036</v>
      </c>
      <c r="B876" s="198" t="s">
        <v>1245</v>
      </c>
      <c r="C876" s="927"/>
      <c r="D876" s="416" t="s">
        <v>1245</v>
      </c>
    </row>
    <row r="877" spans="1:4" ht="15.65" customHeight="1" x14ac:dyDescent="0.35">
      <c r="A877" s="119" t="s">
        <v>337</v>
      </c>
      <c r="B877" s="79" t="s">
        <v>1246</v>
      </c>
      <c r="C877" s="985"/>
      <c r="D877" s="365" t="s">
        <v>1246</v>
      </c>
    </row>
    <row r="878" spans="1:4" ht="20" x14ac:dyDescent="0.25">
      <c r="A878" s="119">
        <v>1038</v>
      </c>
      <c r="B878" s="193" t="s">
        <v>2027</v>
      </c>
      <c r="C878" s="924" t="s">
        <v>2025</v>
      </c>
      <c r="D878" s="364" t="s">
        <v>1247</v>
      </c>
    </row>
    <row r="879" spans="1:4" ht="15.65" customHeight="1" x14ac:dyDescent="0.35">
      <c r="A879" s="119">
        <v>1039</v>
      </c>
      <c r="B879" s="79" t="s">
        <v>1248</v>
      </c>
      <c r="C879" s="985"/>
      <c r="D879" s="365" t="s">
        <v>1248</v>
      </c>
    </row>
    <row r="880" spans="1:4" x14ac:dyDescent="0.25">
      <c r="A880" s="119">
        <v>1040</v>
      </c>
      <c r="B880" s="193" t="s">
        <v>2035</v>
      </c>
      <c r="C880" s="924"/>
      <c r="D880" s="364" t="s">
        <v>1249</v>
      </c>
    </row>
    <row r="881" spans="1:4" ht="30" x14ac:dyDescent="0.25">
      <c r="A881" s="119">
        <v>1041</v>
      </c>
      <c r="B881" s="193" t="s">
        <v>1250</v>
      </c>
      <c r="C881" s="924"/>
      <c r="D881" s="364" t="s">
        <v>1250</v>
      </c>
    </row>
    <row r="882" spans="1:4" ht="30" x14ac:dyDescent="0.25">
      <c r="A882" s="119">
        <v>1042</v>
      </c>
      <c r="B882" s="193" t="s">
        <v>1251</v>
      </c>
      <c r="C882" s="924"/>
      <c r="D882" s="364" t="s">
        <v>1251</v>
      </c>
    </row>
    <row r="883" spans="1:4" x14ac:dyDescent="0.25">
      <c r="A883" s="119">
        <v>1043</v>
      </c>
      <c r="B883" s="71" t="s">
        <v>1252</v>
      </c>
      <c r="C883" s="928"/>
      <c r="D883" s="362" t="s">
        <v>1252</v>
      </c>
    </row>
    <row r="884" spans="1:4" x14ac:dyDescent="0.25">
      <c r="A884" s="119">
        <v>1044</v>
      </c>
      <c r="B884" s="115" t="s">
        <v>1253</v>
      </c>
      <c r="C884" s="986"/>
      <c r="D884" s="362" t="s">
        <v>1253</v>
      </c>
    </row>
    <row r="885" spans="1:4" ht="30" x14ac:dyDescent="0.25">
      <c r="A885" s="119">
        <v>1045</v>
      </c>
      <c r="B885" s="192" t="s">
        <v>1254</v>
      </c>
      <c r="C885" s="924"/>
      <c r="D885" s="364" t="s">
        <v>1254</v>
      </c>
    </row>
    <row r="886" spans="1:4" ht="30" x14ac:dyDescent="0.25">
      <c r="A886" s="119">
        <v>1046</v>
      </c>
      <c r="B886" s="192" t="s">
        <v>1255</v>
      </c>
      <c r="C886" s="924"/>
      <c r="D886" s="364" t="s">
        <v>1255</v>
      </c>
    </row>
    <row r="887" spans="1:4" x14ac:dyDescent="0.25">
      <c r="A887" s="119" t="s">
        <v>337</v>
      </c>
      <c r="B887" s="115" t="s">
        <v>1256</v>
      </c>
      <c r="C887" s="986"/>
      <c r="D887" s="362" t="s">
        <v>1256</v>
      </c>
    </row>
    <row r="888" spans="1:4" x14ac:dyDescent="0.25">
      <c r="A888" s="119">
        <v>1048</v>
      </c>
      <c r="B888" s="115" t="s">
        <v>1257</v>
      </c>
      <c r="C888" s="986"/>
      <c r="D888" s="362" t="s">
        <v>1257</v>
      </c>
    </row>
    <row r="889" spans="1:4" ht="13" customHeight="1" x14ac:dyDescent="0.35">
      <c r="A889" s="119" t="s">
        <v>337</v>
      </c>
      <c r="B889" s="207" t="s">
        <v>1258</v>
      </c>
      <c r="C889" s="987"/>
      <c r="D889" s="362" t="s">
        <v>1258</v>
      </c>
    </row>
    <row r="890" spans="1:4" ht="20" x14ac:dyDescent="0.25">
      <c r="A890" s="119">
        <v>1050</v>
      </c>
      <c r="B890" s="192" t="s">
        <v>1259</v>
      </c>
      <c r="C890" s="924"/>
      <c r="D890" s="364" t="s">
        <v>1259</v>
      </c>
    </row>
    <row r="891" spans="1:4" ht="13" customHeight="1" x14ac:dyDescent="0.35">
      <c r="A891" s="119" t="s">
        <v>337</v>
      </c>
      <c r="B891" s="207" t="s">
        <v>1260</v>
      </c>
      <c r="C891" s="987"/>
      <c r="D891" s="362" t="s">
        <v>1260</v>
      </c>
    </row>
    <row r="892" spans="1:4" ht="30" x14ac:dyDescent="0.25">
      <c r="A892" s="119" t="s">
        <v>337</v>
      </c>
      <c r="B892" s="192" t="s">
        <v>1261</v>
      </c>
      <c r="C892" s="924"/>
      <c r="D892" s="364" t="s">
        <v>1261</v>
      </c>
    </row>
    <row r="893" spans="1:4" x14ac:dyDescent="0.25">
      <c r="A893" s="119">
        <v>1053</v>
      </c>
      <c r="B893" s="192" t="s">
        <v>1262</v>
      </c>
      <c r="C893" s="924"/>
      <c r="D893" s="364" t="s">
        <v>1262</v>
      </c>
    </row>
    <row r="894" spans="1:4" x14ac:dyDescent="0.25">
      <c r="A894" s="119">
        <v>1054</v>
      </c>
      <c r="B894" s="71" t="s">
        <v>1263</v>
      </c>
      <c r="C894" s="928"/>
      <c r="D894" s="362" t="s">
        <v>1263</v>
      </c>
    </row>
    <row r="895" spans="1:4" ht="13" customHeight="1" x14ac:dyDescent="0.35">
      <c r="A895" s="119">
        <v>1055</v>
      </c>
      <c r="B895" s="207" t="s">
        <v>1264</v>
      </c>
      <c r="C895" s="987"/>
      <c r="D895" s="362" t="s">
        <v>1264</v>
      </c>
    </row>
    <row r="896" spans="1:4" ht="20" x14ac:dyDescent="0.25">
      <c r="A896" s="119">
        <v>1056</v>
      </c>
      <c r="B896" s="192" t="s">
        <v>1265</v>
      </c>
      <c r="C896" s="924"/>
      <c r="D896" s="364" t="s">
        <v>1265</v>
      </c>
    </row>
    <row r="897" spans="1:4" x14ac:dyDescent="0.35">
      <c r="A897" s="119">
        <v>1057</v>
      </c>
      <c r="B897" t="s">
        <v>1266</v>
      </c>
      <c r="C897" s="909"/>
      <c r="D897" s="449" t="s">
        <v>1266</v>
      </c>
    </row>
    <row r="898" spans="1:4" ht="18" x14ac:dyDescent="0.25">
      <c r="A898" s="119">
        <v>1058</v>
      </c>
      <c r="B898" s="198" t="s">
        <v>1267</v>
      </c>
      <c r="C898" s="927"/>
      <c r="D898" s="416" t="s">
        <v>1267</v>
      </c>
    </row>
    <row r="899" spans="1:4" x14ac:dyDescent="0.25">
      <c r="A899" s="119">
        <v>1059</v>
      </c>
      <c r="B899" s="61" t="s">
        <v>1268</v>
      </c>
      <c r="C899" s="927"/>
      <c r="D899" s="363" t="s">
        <v>1268</v>
      </c>
    </row>
    <row r="900" spans="1:4" x14ac:dyDescent="0.25">
      <c r="A900" s="119">
        <v>1060</v>
      </c>
      <c r="B900" s="61" t="s">
        <v>1269</v>
      </c>
      <c r="C900" s="927"/>
      <c r="D900" s="363" t="s">
        <v>1269</v>
      </c>
    </row>
    <row r="901" spans="1:4" ht="26" x14ac:dyDescent="0.25">
      <c r="A901" s="119">
        <v>1061</v>
      </c>
      <c r="B901" s="61" t="s">
        <v>1270</v>
      </c>
      <c r="C901" s="927"/>
      <c r="D901" s="363" t="s">
        <v>1270</v>
      </c>
    </row>
    <row r="902" spans="1:4" ht="39" x14ac:dyDescent="0.25">
      <c r="A902" s="119">
        <v>1062</v>
      </c>
      <c r="B902" s="195" t="s">
        <v>1271</v>
      </c>
      <c r="C902" s="927"/>
      <c r="D902" s="363" t="s">
        <v>1271</v>
      </c>
    </row>
    <row r="903" spans="1:4" x14ac:dyDescent="0.25">
      <c r="A903" s="119">
        <v>1063</v>
      </c>
      <c r="B903" s="53" t="s">
        <v>1272</v>
      </c>
      <c r="C903" s="926"/>
      <c r="D903" s="363" t="s">
        <v>1272</v>
      </c>
    </row>
    <row r="904" spans="1:4" x14ac:dyDescent="0.25">
      <c r="A904" s="119" t="s">
        <v>337</v>
      </c>
      <c r="B904" s="71" t="s">
        <v>53</v>
      </c>
      <c r="C904" s="928"/>
      <c r="D904" s="362" t="s">
        <v>53</v>
      </c>
    </row>
    <row r="905" spans="1:4" ht="20" x14ac:dyDescent="0.25">
      <c r="A905" s="119" t="s">
        <v>337</v>
      </c>
      <c r="B905" s="75" t="s">
        <v>54</v>
      </c>
      <c r="C905" s="925"/>
      <c r="D905" s="364" t="s">
        <v>54</v>
      </c>
    </row>
    <row r="906" spans="1:4" x14ac:dyDescent="0.25">
      <c r="A906" s="119">
        <v>1066</v>
      </c>
      <c r="B906" s="208" t="s">
        <v>55</v>
      </c>
      <c r="C906" s="924"/>
      <c r="D906" s="417" t="s">
        <v>55</v>
      </c>
    </row>
    <row r="907" spans="1:4" ht="30" x14ac:dyDescent="0.25">
      <c r="A907" s="119" t="s">
        <v>337</v>
      </c>
      <c r="B907" s="209" t="s">
        <v>56</v>
      </c>
      <c r="C907" s="918"/>
      <c r="D907" s="361" t="s">
        <v>56</v>
      </c>
    </row>
    <row r="908" spans="1:4" ht="20" x14ac:dyDescent="0.25">
      <c r="A908" s="119">
        <v>1068</v>
      </c>
      <c r="B908" s="209" t="s">
        <v>58</v>
      </c>
      <c r="C908" s="918"/>
      <c r="D908" s="361" t="s">
        <v>58</v>
      </c>
    </row>
    <row r="909" spans="1:4" x14ac:dyDescent="0.25">
      <c r="A909" s="119" t="s">
        <v>337</v>
      </c>
      <c r="B909" s="208" t="s">
        <v>59</v>
      </c>
      <c r="C909" s="924"/>
      <c r="D909" s="417" t="s">
        <v>59</v>
      </c>
    </row>
    <row r="910" spans="1:4" ht="40" x14ac:dyDescent="0.25">
      <c r="A910" s="119" t="s">
        <v>337</v>
      </c>
      <c r="B910" s="209" t="s">
        <v>1273</v>
      </c>
      <c r="C910" s="918"/>
      <c r="D910" s="361" t="s">
        <v>1273</v>
      </c>
    </row>
    <row r="911" spans="1:4" x14ac:dyDescent="0.25">
      <c r="A911" s="119" t="s">
        <v>337</v>
      </c>
      <c r="B911" s="208" t="s">
        <v>61</v>
      </c>
      <c r="C911" s="924"/>
      <c r="D911" s="417" t="s">
        <v>61</v>
      </c>
    </row>
    <row r="912" spans="1:4" ht="30" x14ac:dyDescent="0.25">
      <c r="A912" s="119" t="s">
        <v>337</v>
      </c>
      <c r="B912" s="209" t="s">
        <v>62</v>
      </c>
      <c r="C912" s="918"/>
      <c r="D912" s="361" t="s">
        <v>62</v>
      </c>
    </row>
    <row r="913" spans="1:4" ht="30" x14ac:dyDescent="0.25">
      <c r="A913" s="119" t="s">
        <v>337</v>
      </c>
      <c r="B913" s="208" t="s">
        <v>63</v>
      </c>
      <c r="C913" s="924"/>
      <c r="D913" s="417" t="s">
        <v>63</v>
      </c>
    </row>
    <row r="914" spans="1:4" x14ac:dyDescent="0.25">
      <c r="A914" s="119">
        <v>1074</v>
      </c>
      <c r="B914" s="212" t="s">
        <v>64</v>
      </c>
      <c r="C914" s="926"/>
      <c r="D914" s="418" t="s">
        <v>64</v>
      </c>
    </row>
    <row r="915" spans="1:4" x14ac:dyDescent="0.25">
      <c r="A915" s="119">
        <v>1075</v>
      </c>
      <c r="B915" s="212" t="s">
        <v>65</v>
      </c>
      <c r="C915" s="926"/>
      <c r="D915" s="418" t="s">
        <v>65</v>
      </c>
    </row>
    <row r="916" spans="1:4" ht="21" x14ac:dyDescent="0.25">
      <c r="A916" s="119">
        <v>1076</v>
      </c>
      <c r="B916" s="212" t="s">
        <v>66</v>
      </c>
      <c r="C916" s="926"/>
      <c r="D916" s="418" t="s">
        <v>66</v>
      </c>
    </row>
    <row r="917" spans="1:4" x14ac:dyDescent="0.25">
      <c r="A917" s="119">
        <v>1077</v>
      </c>
      <c r="B917" s="212" t="s">
        <v>67</v>
      </c>
      <c r="C917" s="926"/>
      <c r="D917" s="418" t="s">
        <v>67</v>
      </c>
    </row>
    <row r="918" spans="1:4" x14ac:dyDescent="0.25">
      <c r="A918" s="119" t="s">
        <v>337</v>
      </c>
      <c r="B918" s="212" t="s">
        <v>68</v>
      </c>
      <c r="C918" s="926"/>
      <c r="D918" s="418" t="s">
        <v>68</v>
      </c>
    </row>
    <row r="919" spans="1:4" x14ac:dyDescent="0.25">
      <c r="A919" s="119" t="s">
        <v>337</v>
      </c>
      <c r="B919" s="212" t="s">
        <v>69</v>
      </c>
      <c r="C919" s="926"/>
      <c r="D919" s="418" t="s">
        <v>69</v>
      </c>
    </row>
    <row r="920" spans="1:4" x14ac:dyDescent="0.25">
      <c r="A920" s="119" t="s">
        <v>337</v>
      </c>
      <c r="B920" s="382" t="s">
        <v>1274</v>
      </c>
      <c r="C920" s="926"/>
      <c r="D920" s="890" t="s">
        <v>1274</v>
      </c>
    </row>
    <row r="921" spans="1:4" x14ac:dyDescent="0.25">
      <c r="A921" s="119" t="s">
        <v>337</v>
      </c>
      <c r="B921" s="75" t="s">
        <v>74</v>
      </c>
      <c r="C921" s="925"/>
      <c r="D921" s="364" t="s">
        <v>74</v>
      </c>
    </row>
    <row r="922" spans="1:4" x14ac:dyDescent="0.25">
      <c r="A922" s="119" t="s">
        <v>337</v>
      </c>
      <c r="B922" s="71" t="s">
        <v>1275</v>
      </c>
      <c r="C922" s="928"/>
      <c r="D922" s="362" t="s">
        <v>1275</v>
      </c>
    </row>
    <row r="923" spans="1:4" ht="30" x14ac:dyDescent="0.25">
      <c r="A923" s="119" t="s">
        <v>337</v>
      </c>
      <c r="B923" s="75" t="s">
        <v>1276</v>
      </c>
      <c r="C923" s="925"/>
      <c r="D923" s="364" t="s">
        <v>1276</v>
      </c>
    </row>
    <row r="924" spans="1:4" x14ac:dyDescent="0.25">
      <c r="A924" s="119">
        <v>1084</v>
      </c>
      <c r="B924" s="208" t="s">
        <v>1277</v>
      </c>
      <c r="C924" s="924"/>
      <c r="D924" s="417" t="s">
        <v>1277</v>
      </c>
    </row>
    <row r="925" spans="1:4" ht="20" x14ac:dyDescent="0.25">
      <c r="A925" s="119" t="s">
        <v>337</v>
      </c>
      <c r="B925" s="209" t="s">
        <v>1278</v>
      </c>
      <c r="C925" s="918"/>
      <c r="D925" s="361" t="s">
        <v>1278</v>
      </c>
    </row>
    <row r="926" spans="1:4" x14ac:dyDescent="0.25">
      <c r="A926" s="119">
        <v>1086</v>
      </c>
      <c r="B926" s="208" t="s">
        <v>1279</v>
      </c>
      <c r="C926" s="924"/>
      <c r="D926" s="417" t="s">
        <v>1279</v>
      </c>
    </row>
    <row r="927" spans="1:4" ht="20" x14ac:dyDescent="0.25">
      <c r="A927" s="119">
        <v>1087</v>
      </c>
      <c r="B927" s="209" t="s">
        <v>1280</v>
      </c>
      <c r="C927" s="918"/>
      <c r="D927" s="361" t="s">
        <v>1280</v>
      </c>
    </row>
    <row r="928" spans="1:4" ht="20" x14ac:dyDescent="0.25">
      <c r="A928" s="119" t="s">
        <v>337</v>
      </c>
      <c r="B928" s="208" t="s">
        <v>1281</v>
      </c>
      <c r="C928" s="924"/>
      <c r="D928" s="417" t="s">
        <v>1281</v>
      </c>
    </row>
    <row r="929" spans="1:6" ht="20" x14ac:dyDescent="0.25">
      <c r="A929" s="119" t="s">
        <v>337</v>
      </c>
      <c r="B929" s="209" t="s">
        <v>1282</v>
      </c>
      <c r="C929" s="918"/>
      <c r="D929" s="361" t="s">
        <v>1282</v>
      </c>
    </row>
    <row r="930" spans="1:6" x14ac:dyDescent="0.25">
      <c r="A930" s="119" t="s">
        <v>337</v>
      </c>
      <c r="B930" s="208" t="s">
        <v>1283</v>
      </c>
      <c r="C930" s="924"/>
      <c r="D930" s="417" t="s">
        <v>1283</v>
      </c>
    </row>
    <row r="931" spans="1:6" x14ac:dyDescent="0.25">
      <c r="A931" s="119" t="s">
        <v>337</v>
      </c>
      <c r="B931" s="209" t="s">
        <v>1284</v>
      </c>
      <c r="C931" s="918"/>
      <c r="D931" s="361" t="s">
        <v>1284</v>
      </c>
    </row>
    <row r="932" spans="1:6" x14ac:dyDescent="0.25">
      <c r="A932" s="119" t="s">
        <v>337</v>
      </c>
      <c r="B932" s="208" t="s">
        <v>1285</v>
      </c>
      <c r="C932" s="924"/>
      <c r="D932" s="417" t="s">
        <v>1285</v>
      </c>
    </row>
    <row r="933" spans="1:6" ht="20" x14ac:dyDescent="0.25">
      <c r="A933" s="119" t="s">
        <v>337</v>
      </c>
      <c r="B933" s="209" t="s">
        <v>1286</v>
      </c>
      <c r="C933" s="918"/>
      <c r="D933" s="361" t="s">
        <v>1286</v>
      </c>
    </row>
    <row r="934" spans="1:6" ht="21" x14ac:dyDescent="0.25">
      <c r="A934" s="119">
        <v>1094</v>
      </c>
      <c r="B934" s="212" t="s">
        <v>1287</v>
      </c>
      <c r="C934" s="926"/>
      <c r="D934" s="418" t="s">
        <v>1287</v>
      </c>
    </row>
    <row r="935" spans="1:6" x14ac:dyDescent="0.25">
      <c r="A935" s="119">
        <v>1095</v>
      </c>
      <c r="B935" s="212" t="s">
        <v>1288</v>
      </c>
      <c r="C935" s="926"/>
      <c r="D935" s="418" t="s">
        <v>1288</v>
      </c>
    </row>
    <row r="936" spans="1:6" ht="20" x14ac:dyDescent="0.25">
      <c r="A936" s="119" t="s">
        <v>337</v>
      </c>
      <c r="B936" s="75" t="s">
        <v>1289</v>
      </c>
      <c r="C936" s="925"/>
      <c r="D936" s="364" t="s">
        <v>1289</v>
      </c>
    </row>
    <row r="937" spans="1:6" x14ac:dyDescent="0.25">
      <c r="A937" s="119" t="s">
        <v>337</v>
      </c>
      <c r="B937" s="210" t="s">
        <v>1290</v>
      </c>
      <c r="C937" s="927"/>
      <c r="D937" s="363" t="s">
        <v>1290</v>
      </c>
    </row>
    <row r="938" spans="1:6" ht="65" x14ac:dyDescent="0.25">
      <c r="A938" s="119">
        <v>1098</v>
      </c>
      <c r="B938" s="194" t="s">
        <v>1291</v>
      </c>
      <c r="C938" s="927"/>
      <c r="D938" s="363" t="s">
        <v>1292</v>
      </c>
    </row>
    <row r="939" spans="1:6" x14ac:dyDescent="0.25">
      <c r="A939" s="119" t="s">
        <v>337</v>
      </c>
      <c r="B939" s="211" t="s">
        <v>1293</v>
      </c>
      <c r="C939" s="927"/>
      <c r="D939" s="419" t="s">
        <v>1293</v>
      </c>
    </row>
    <row r="940" spans="1:6" x14ac:dyDescent="0.25">
      <c r="A940" s="119" t="s">
        <v>337</v>
      </c>
      <c r="B940" s="211" t="s">
        <v>1294</v>
      </c>
      <c r="C940" s="927"/>
      <c r="D940" s="419" t="s">
        <v>1294</v>
      </c>
    </row>
    <row r="941" spans="1:6" x14ac:dyDescent="0.25">
      <c r="A941" s="119" t="s">
        <v>337</v>
      </c>
      <c r="B941" s="71" t="s">
        <v>1295</v>
      </c>
      <c r="C941" s="928"/>
      <c r="D941" s="362" t="s">
        <v>1295</v>
      </c>
    </row>
    <row r="942" spans="1:6" ht="30" x14ac:dyDescent="0.25">
      <c r="A942" s="119" t="s">
        <v>337</v>
      </c>
      <c r="B942" s="75" t="s">
        <v>1296</v>
      </c>
      <c r="C942" s="925"/>
      <c r="D942" s="364" t="s">
        <v>1296</v>
      </c>
    </row>
    <row r="943" spans="1:6" x14ac:dyDescent="0.25">
      <c r="A943" s="119" t="s">
        <v>337</v>
      </c>
      <c r="B943" s="212" t="s">
        <v>1297</v>
      </c>
      <c r="C943" s="926"/>
      <c r="D943" s="418" t="s">
        <v>1297</v>
      </c>
    </row>
    <row r="944" spans="1:6" ht="26" x14ac:dyDescent="0.25">
      <c r="A944" s="119" t="s">
        <v>337</v>
      </c>
      <c r="B944" s="53" t="s">
        <v>1298</v>
      </c>
      <c r="C944" s="926"/>
      <c r="D944" s="363" t="s">
        <v>1298</v>
      </c>
      <c r="F944" s="512"/>
    </row>
    <row r="945" spans="1:4" ht="30" x14ac:dyDescent="0.25">
      <c r="A945" s="119">
        <v>1105</v>
      </c>
      <c r="B945" s="75" t="s">
        <v>1299</v>
      </c>
      <c r="C945" s="925"/>
      <c r="D945" s="364" t="s">
        <v>1300</v>
      </c>
    </row>
    <row r="946" spans="1:4" ht="26" x14ac:dyDescent="0.25">
      <c r="A946" s="119">
        <v>1106</v>
      </c>
      <c r="B946" s="53" t="s">
        <v>1301</v>
      </c>
      <c r="C946" s="926"/>
      <c r="D946" s="363" t="s">
        <v>1302</v>
      </c>
    </row>
    <row r="947" spans="1:4" x14ac:dyDescent="0.25">
      <c r="A947" s="119">
        <v>1107</v>
      </c>
      <c r="B947" s="75" t="s">
        <v>1303</v>
      </c>
      <c r="C947" s="925"/>
      <c r="D947" s="364" t="s">
        <v>1303</v>
      </c>
    </row>
    <row r="948" spans="1:4" x14ac:dyDescent="0.25">
      <c r="A948" s="119">
        <v>1108</v>
      </c>
      <c r="B948" s="213" t="s">
        <v>1304</v>
      </c>
      <c r="C948" s="928"/>
      <c r="D948" s="396" t="s">
        <v>1304</v>
      </c>
    </row>
    <row r="949" spans="1:4" x14ac:dyDescent="0.25">
      <c r="A949" s="119">
        <v>1109</v>
      </c>
      <c r="B949" s="213" t="s">
        <v>1305</v>
      </c>
      <c r="C949" s="928"/>
      <c r="D949" s="396" t="s">
        <v>1305</v>
      </c>
    </row>
    <row r="950" spans="1:4" x14ac:dyDescent="0.25">
      <c r="A950" s="119">
        <v>1110</v>
      </c>
      <c r="B950" s="214" t="s">
        <v>1306</v>
      </c>
      <c r="C950" s="928"/>
      <c r="D950" s="420" t="s">
        <v>1306</v>
      </c>
    </row>
    <row r="951" spans="1:4" x14ac:dyDescent="0.25">
      <c r="A951" s="119">
        <v>1111</v>
      </c>
      <c r="B951" s="214" t="s">
        <v>1307</v>
      </c>
      <c r="C951" s="928"/>
      <c r="D951" s="420" t="s">
        <v>1307</v>
      </c>
    </row>
    <row r="952" spans="1:4" x14ac:dyDescent="0.25">
      <c r="A952" s="119">
        <v>1112</v>
      </c>
      <c r="B952" s="214" t="s">
        <v>1308</v>
      </c>
      <c r="C952" s="928"/>
      <c r="D952" s="420" t="s">
        <v>1308</v>
      </c>
    </row>
    <row r="953" spans="1:4" x14ac:dyDescent="0.25">
      <c r="A953" s="119">
        <v>1113</v>
      </c>
      <c r="B953" s="213" t="s">
        <v>1309</v>
      </c>
      <c r="C953" s="928"/>
      <c r="D953" s="396" t="s">
        <v>1309</v>
      </c>
    </row>
    <row r="954" spans="1:4" x14ac:dyDescent="0.25">
      <c r="A954" s="119">
        <v>1114</v>
      </c>
      <c r="B954" s="53" t="s">
        <v>1310</v>
      </c>
      <c r="C954" s="926"/>
      <c r="D954" s="363" t="s">
        <v>1310</v>
      </c>
    </row>
    <row r="955" spans="1:4" x14ac:dyDescent="0.25">
      <c r="A955" s="119" t="s">
        <v>337</v>
      </c>
      <c r="B955" s="901" t="s">
        <v>1311</v>
      </c>
      <c r="C955" s="928"/>
      <c r="D955" s="421" t="s">
        <v>1311</v>
      </c>
    </row>
    <row r="956" spans="1:4" x14ac:dyDescent="0.25">
      <c r="A956" s="119" t="s">
        <v>337</v>
      </c>
      <c r="B956" s="71" t="s">
        <v>1312</v>
      </c>
      <c r="C956" s="928"/>
      <c r="D956" s="362" t="s">
        <v>1312</v>
      </c>
    </row>
    <row r="957" spans="1:4" ht="30" x14ac:dyDescent="0.25">
      <c r="A957" s="119" t="s">
        <v>337</v>
      </c>
      <c r="B957" s="215" t="s">
        <v>1313</v>
      </c>
      <c r="C957" s="925"/>
      <c r="D957" s="417" t="s">
        <v>1313</v>
      </c>
    </row>
    <row r="958" spans="1:4" ht="30" x14ac:dyDescent="0.25">
      <c r="A958" s="119">
        <v>1118</v>
      </c>
      <c r="B958" s="75" t="s">
        <v>1314</v>
      </c>
      <c r="C958" s="925"/>
      <c r="D958" s="364" t="s">
        <v>1314</v>
      </c>
    </row>
    <row r="959" spans="1:4" ht="30" x14ac:dyDescent="0.25">
      <c r="A959" s="119">
        <v>1119</v>
      </c>
      <c r="B959" s="75" t="s">
        <v>1315</v>
      </c>
      <c r="C959" s="925"/>
      <c r="D959" s="364" t="s">
        <v>1315</v>
      </c>
    </row>
    <row r="960" spans="1:4" x14ac:dyDescent="0.25">
      <c r="A960" s="119">
        <v>1120</v>
      </c>
      <c r="B960" s="53" t="s">
        <v>1316</v>
      </c>
      <c r="C960" s="926"/>
      <c r="D960" s="363" t="s">
        <v>1316</v>
      </c>
    </row>
    <row r="961" spans="1:6" ht="20" x14ac:dyDescent="0.25">
      <c r="A961" s="119" t="s">
        <v>337</v>
      </c>
      <c r="B961" s="193" t="s">
        <v>1317</v>
      </c>
      <c r="C961" s="924"/>
      <c r="D961" s="364" t="s">
        <v>1317</v>
      </c>
      <c r="F961" s="512"/>
    </row>
    <row r="962" spans="1:6" ht="30" x14ac:dyDescent="0.25">
      <c r="A962" s="119">
        <v>1122</v>
      </c>
      <c r="B962" s="216" t="s">
        <v>1318</v>
      </c>
      <c r="C962" s="924"/>
      <c r="D962" s="417" t="s">
        <v>1318</v>
      </c>
    </row>
    <row r="963" spans="1:6" x14ac:dyDescent="0.25">
      <c r="A963" s="119">
        <v>1123</v>
      </c>
      <c r="B963" s="75" t="s">
        <v>1319</v>
      </c>
      <c r="C963" s="925"/>
      <c r="D963" s="364" t="s">
        <v>1319</v>
      </c>
    </row>
    <row r="964" spans="1:6" x14ac:dyDescent="0.25">
      <c r="A964" s="119">
        <v>1124</v>
      </c>
      <c r="B964" s="208" t="s">
        <v>1320</v>
      </c>
      <c r="C964" s="924"/>
      <c r="D964" s="417" t="s">
        <v>1320</v>
      </c>
    </row>
    <row r="965" spans="1:6" ht="20" x14ac:dyDescent="0.25">
      <c r="A965" s="119">
        <v>1125</v>
      </c>
      <c r="B965" s="209" t="s">
        <v>1321</v>
      </c>
      <c r="C965" s="918"/>
      <c r="D965" s="361" t="s">
        <v>1321</v>
      </c>
    </row>
    <row r="966" spans="1:6" x14ac:dyDescent="0.25">
      <c r="A966" s="119">
        <v>1126</v>
      </c>
      <c r="B966" s="208" t="s">
        <v>1322</v>
      </c>
      <c r="C966" s="924"/>
      <c r="D966" s="417" t="s">
        <v>1322</v>
      </c>
    </row>
    <row r="967" spans="1:6" x14ac:dyDescent="0.25">
      <c r="A967" s="119">
        <v>1127</v>
      </c>
      <c r="B967" s="209" t="s">
        <v>1323</v>
      </c>
      <c r="C967" s="918"/>
      <c r="D967" s="361" t="s">
        <v>1323</v>
      </c>
    </row>
    <row r="968" spans="1:6" x14ac:dyDescent="0.25">
      <c r="A968" s="119">
        <v>1128</v>
      </c>
      <c r="B968" s="208" t="s">
        <v>1324</v>
      </c>
      <c r="C968" s="924"/>
      <c r="D968" s="417" t="s">
        <v>1324</v>
      </c>
    </row>
    <row r="969" spans="1:6" ht="20" x14ac:dyDescent="0.25">
      <c r="A969" s="119">
        <v>1129</v>
      </c>
      <c r="B969" s="209" t="s">
        <v>1325</v>
      </c>
      <c r="C969" s="918"/>
      <c r="D969" s="361" t="s">
        <v>1325</v>
      </c>
    </row>
    <row r="970" spans="1:6" x14ac:dyDescent="0.25">
      <c r="A970" s="119">
        <v>1130</v>
      </c>
      <c r="B970" s="208" t="s">
        <v>1326</v>
      </c>
      <c r="C970" s="924"/>
      <c r="D970" s="417" t="s">
        <v>1326</v>
      </c>
    </row>
    <row r="971" spans="1:6" ht="20" x14ac:dyDescent="0.25">
      <c r="A971" s="119">
        <v>1131</v>
      </c>
      <c r="B971" s="209" t="s">
        <v>1327</v>
      </c>
      <c r="C971" s="918"/>
      <c r="D971" s="361" t="s">
        <v>1327</v>
      </c>
    </row>
    <row r="972" spans="1:6" x14ac:dyDescent="0.25">
      <c r="A972" s="119">
        <v>1132</v>
      </c>
      <c r="B972" s="208" t="s">
        <v>1328</v>
      </c>
      <c r="C972" s="924"/>
      <c r="D972" s="417" t="s">
        <v>1328</v>
      </c>
    </row>
    <row r="973" spans="1:6" ht="20" x14ac:dyDescent="0.25">
      <c r="A973" s="119" t="s">
        <v>337</v>
      </c>
      <c r="B973" s="209" t="s">
        <v>1329</v>
      </c>
      <c r="C973" s="918"/>
      <c r="D973" s="361" t="s">
        <v>1329</v>
      </c>
    </row>
    <row r="974" spans="1:6" x14ac:dyDescent="0.35">
      <c r="A974" s="119">
        <v>1134</v>
      </c>
      <c r="B974" s="9" t="s">
        <v>1330</v>
      </c>
      <c r="C974" s="909"/>
      <c r="D974" s="449" t="s">
        <v>1330</v>
      </c>
    </row>
    <row r="975" spans="1:6" ht="18" x14ac:dyDescent="0.25">
      <c r="A975" s="119" t="s">
        <v>337</v>
      </c>
      <c r="B975" s="217" t="s">
        <v>1331</v>
      </c>
      <c r="C975" s="986"/>
      <c r="D975" s="422" t="s">
        <v>1331</v>
      </c>
    </row>
    <row r="976" spans="1:6" ht="39" x14ac:dyDescent="0.25">
      <c r="A976" s="119" t="s">
        <v>337</v>
      </c>
      <c r="B976" s="53" t="s">
        <v>1332</v>
      </c>
      <c r="C976" s="926"/>
      <c r="D976" s="363" t="s">
        <v>1333</v>
      </c>
    </row>
    <row r="977" spans="1:4" ht="65" x14ac:dyDescent="0.25">
      <c r="A977" s="119" t="s">
        <v>337</v>
      </c>
      <c r="B977" s="53" t="s">
        <v>1334</v>
      </c>
      <c r="C977" s="926"/>
      <c r="D977" s="363" t="s">
        <v>1334</v>
      </c>
    </row>
    <row r="978" spans="1:4" ht="26" x14ac:dyDescent="0.25">
      <c r="A978" s="119" t="s">
        <v>337</v>
      </c>
      <c r="B978" s="53" t="s">
        <v>1335</v>
      </c>
      <c r="C978" s="926"/>
      <c r="D978" s="363" t="s">
        <v>1335</v>
      </c>
    </row>
    <row r="979" spans="1:4" x14ac:dyDescent="0.25">
      <c r="A979" s="119" t="s">
        <v>337</v>
      </c>
      <c r="B979" s="213" t="s">
        <v>1336</v>
      </c>
      <c r="C979" s="928"/>
      <c r="D979" s="396" t="s">
        <v>1336</v>
      </c>
    </row>
    <row r="980" spans="1:4" x14ac:dyDescent="0.25">
      <c r="A980" s="119" t="s">
        <v>337</v>
      </c>
      <c r="B980" s="213" t="s">
        <v>1337</v>
      </c>
      <c r="C980" s="928"/>
      <c r="D980" s="396" t="s">
        <v>1337</v>
      </c>
    </row>
    <row r="981" spans="1:4" ht="21" x14ac:dyDescent="0.25">
      <c r="A981" s="119">
        <v>1141</v>
      </c>
      <c r="B981" s="212" t="s">
        <v>1338</v>
      </c>
      <c r="C981" s="926"/>
      <c r="D981" s="418" t="s">
        <v>1338</v>
      </c>
    </row>
    <row r="982" spans="1:4" x14ac:dyDescent="0.25">
      <c r="A982" s="119" t="s">
        <v>337</v>
      </c>
      <c r="B982" s="400" t="s">
        <v>1339</v>
      </c>
      <c r="C982" s="925"/>
      <c r="D982" s="417" t="s">
        <v>1339</v>
      </c>
    </row>
    <row r="983" spans="1:4" x14ac:dyDescent="0.25">
      <c r="A983" s="119" t="s">
        <v>337</v>
      </c>
      <c r="B983" s="400" t="s">
        <v>1340</v>
      </c>
      <c r="C983" s="925"/>
      <c r="D983" s="417" t="s">
        <v>1340</v>
      </c>
    </row>
    <row r="984" spans="1:4" x14ac:dyDescent="0.25">
      <c r="A984" s="119">
        <v>1144</v>
      </c>
      <c r="B984" s="212" t="s">
        <v>1341</v>
      </c>
      <c r="C984" s="926"/>
      <c r="D984" s="418" t="s">
        <v>1342</v>
      </c>
    </row>
    <row r="985" spans="1:4" x14ac:dyDescent="0.25">
      <c r="A985" s="119">
        <v>1145</v>
      </c>
      <c r="B985" s="401" t="s">
        <v>1343</v>
      </c>
      <c r="C985" s="988"/>
      <c r="D985" s="417" t="s">
        <v>1343</v>
      </c>
    </row>
    <row r="986" spans="1:4" x14ac:dyDescent="0.25">
      <c r="A986" s="119" t="s">
        <v>337</v>
      </c>
      <c r="B986" s="401" t="s">
        <v>1344</v>
      </c>
      <c r="C986" s="988"/>
      <c r="D986" s="417" t="s">
        <v>1344</v>
      </c>
    </row>
    <row r="987" spans="1:4" x14ac:dyDescent="0.25">
      <c r="A987" s="119" t="s">
        <v>337</v>
      </c>
      <c r="B987" s="402" t="s">
        <v>1345</v>
      </c>
      <c r="C987" s="929"/>
      <c r="D987" s="364" t="s">
        <v>1345</v>
      </c>
    </row>
    <row r="988" spans="1:4" x14ac:dyDescent="0.25">
      <c r="A988" s="119">
        <v>1148</v>
      </c>
      <c r="B988" s="402" t="s">
        <v>1346</v>
      </c>
      <c r="C988" s="929"/>
      <c r="D988" s="364" t="s">
        <v>1346</v>
      </c>
    </row>
    <row r="989" spans="1:4" x14ac:dyDescent="0.25">
      <c r="A989" s="119">
        <v>1149</v>
      </c>
      <c r="B989" s="66" t="s">
        <v>1347</v>
      </c>
      <c r="C989" s="928"/>
      <c r="D989" s="421" t="s">
        <v>1347</v>
      </c>
    </row>
    <row r="990" spans="1:4" x14ac:dyDescent="0.25">
      <c r="A990" s="119">
        <v>1150</v>
      </c>
      <c r="B990" s="66" t="s">
        <v>1348</v>
      </c>
      <c r="C990" s="928"/>
      <c r="D990" s="421" t="s">
        <v>1348</v>
      </c>
    </row>
    <row r="991" spans="1:4" ht="26" x14ac:dyDescent="0.25">
      <c r="A991" s="119">
        <v>1151</v>
      </c>
      <c r="B991" s="53" t="s">
        <v>1349</v>
      </c>
      <c r="C991" s="926"/>
      <c r="D991" s="363" t="s">
        <v>1349</v>
      </c>
    </row>
    <row r="992" spans="1:4" x14ac:dyDescent="0.25">
      <c r="A992" s="119" t="s">
        <v>337</v>
      </c>
      <c r="B992" s="125" t="s">
        <v>1350</v>
      </c>
      <c r="C992" s="930"/>
      <c r="D992" s="423" t="s">
        <v>1350</v>
      </c>
    </row>
    <row r="993" spans="1:4" x14ac:dyDescent="0.25">
      <c r="A993" s="119">
        <v>1153</v>
      </c>
      <c r="B993" s="212" t="s">
        <v>1351</v>
      </c>
      <c r="C993" s="926"/>
      <c r="D993" s="418" t="s">
        <v>1351</v>
      </c>
    </row>
    <row r="994" spans="1:4" x14ac:dyDescent="0.25">
      <c r="A994" s="119">
        <v>1154</v>
      </c>
      <c r="B994" s="403" t="s">
        <v>1352</v>
      </c>
      <c r="C994" s="928"/>
      <c r="D994" s="424" t="s">
        <v>1352</v>
      </c>
    </row>
    <row r="995" spans="1:4" ht="26" x14ac:dyDescent="0.25">
      <c r="A995" s="119" t="s">
        <v>337</v>
      </c>
      <c r="B995" s="53" t="s">
        <v>1353</v>
      </c>
      <c r="C995" s="926"/>
      <c r="D995" s="363" t="s">
        <v>1353</v>
      </c>
    </row>
    <row r="996" spans="1:4" x14ac:dyDescent="0.25">
      <c r="A996" s="119">
        <v>1156</v>
      </c>
      <c r="B996" s="212" t="s">
        <v>1354</v>
      </c>
      <c r="C996" s="926"/>
      <c r="D996" s="418" t="s">
        <v>1354</v>
      </c>
    </row>
    <row r="997" spans="1:4" x14ac:dyDescent="0.25">
      <c r="A997" s="119">
        <v>1157</v>
      </c>
      <c r="B997" s="212" t="s">
        <v>1355</v>
      </c>
      <c r="C997" s="926"/>
      <c r="D997" s="418" t="s">
        <v>1355</v>
      </c>
    </row>
    <row r="998" spans="1:4" x14ac:dyDescent="0.25">
      <c r="A998" s="119">
        <v>1158</v>
      </c>
      <c r="B998" s="214" t="s">
        <v>1356</v>
      </c>
      <c r="C998" s="928"/>
      <c r="D998" s="420" t="s">
        <v>1356</v>
      </c>
    </row>
    <row r="999" spans="1:4" ht="26" x14ac:dyDescent="0.25">
      <c r="A999" s="119">
        <v>1159</v>
      </c>
      <c r="B999" s="53" t="s">
        <v>1357</v>
      </c>
      <c r="C999" s="926"/>
      <c r="D999" s="363" t="s">
        <v>1357</v>
      </c>
    </row>
    <row r="1000" spans="1:4" x14ac:dyDescent="0.25">
      <c r="A1000" s="119">
        <v>1160</v>
      </c>
      <c r="B1000" s="212" t="s">
        <v>1358</v>
      </c>
      <c r="C1000" s="926"/>
      <c r="D1000" s="418" t="s">
        <v>1358</v>
      </c>
    </row>
    <row r="1001" spans="1:4" x14ac:dyDescent="0.25">
      <c r="A1001" s="119">
        <v>1161</v>
      </c>
      <c r="B1001" s="212" t="s">
        <v>1359</v>
      </c>
      <c r="C1001" s="926"/>
      <c r="D1001" s="418" t="s">
        <v>1359</v>
      </c>
    </row>
    <row r="1002" spans="1:4" x14ac:dyDescent="0.25">
      <c r="A1002" s="119">
        <v>1162</v>
      </c>
      <c r="B1002" s="212" t="s">
        <v>1360</v>
      </c>
      <c r="C1002" s="926"/>
      <c r="D1002" s="418" t="s">
        <v>1360</v>
      </c>
    </row>
    <row r="1003" spans="1:4" ht="39" x14ac:dyDescent="0.25">
      <c r="A1003" s="119" t="s">
        <v>337</v>
      </c>
      <c r="B1003" s="53" t="s">
        <v>1361</v>
      </c>
      <c r="C1003" s="926"/>
      <c r="D1003" s="363" t="s">
        <v>1361</v>
      </c>
    </row>
    <row r="1004" spans="1:4" ht="40" x14ac:dyDescent="0.25">
      <c r="A1004" s="119" t="s">
        <v>337</v>
      </c>
      <c r="B1004" s="193" t="s">
        <v>1362</v>
      </c>
      <c r="C1004" s="924"/>
      <c r="D1004" s="364" t="s">
        <v>1362</v>
      </c>
    </row>
    <row r="1005" spans="1:4" x14ac:dyDescent="0.25">
      <c r="A1005" s="119">
        <v>1165</v>
      </c>
      <c r="B1005" s="404" t="s">
        <v>1363</v>
      </c>
      <c r="C1005" s="926"/>
      <c r="D1005" s="418" t="s">
        <v>1363</v>
      </c>
    </row>
    <row r="1006" spans="1:4" x14ac:dyDescent="0.25">
      <c r="A1006" s="119">
        <v>1166</v>
      </c>
      <c r="B1006" s="404" t="s">
        <v>1364</v>
      </c>
      <c r="C1006" s="926"/>
      <c r="D1006" s="418" t="s">
        <v>1364</v>
      </c>
    </row>
    <row r="1007" spans="1:4" x14ac:dyDescent="0.25">
      <c r="A1007" s="119">
        <v>1167</v>
      </c>
      <c r="B1007" s="404" t="s">
        <v>1365</v>
      </c>
      <c r="C1007" s="926"/>
      <c r="D1007" s="418" t="s">
        <v>1365</v>
      </c>
    </row>
    <row r="1008" spans="1:4" ht="21" x14ac:dyDescent="0.25">
      <c r="A1008" s="119">
        <v>1168</v>
      </c>
      <c r="B1008" s="404" t="s">
        <v>1366</v>
      </c>
      <c r="C1008" s="926"/>
      <c r="D1008" s="418" t="s">
        <v>1366</v>
      </c>
    </row>
    <row r="1009" spans="1:4" x14ac:dyDescent="0.25">
      <c r="A1009" s="119">
        <v>1169</v>
      </c>
      <c r="B1009" s="212" t="s">
        <v>1367</v>
      </c>
      <c r="C1009" s="926"/>
      <c r="D1009" s="418" t="s">
        <v>1367</v>
      </c>
    </row>
    <row r="1010" spans="1:4" x14ac:dyDescent="0.25">
      <c r="A1010" s="119">
        <v>1170</v>
      </c>
      <c r="B1010" s="212" t="s">
        <v>1368</v>
      </c>
      <c r="C1010" s="926"/>
      <c r="D1010" s="418" t="s">
        <v>1368</v>
      </c>
    </row>
    <row r="1011" spans="1:4" x14ac:dyDescent="0.25">
      <c r="A1011" s="119">
        <v>1171</v>
      </c>
      <c r="B1011" s="212" t="s">
        <v>1369</v>
      </c>
      <c r="C1011" s="926"/>
      <c r="D1011" s="418" t="s">
        <v>1369</v>
      </c>
    </row>
    <row r="1012" spans="1:4" x14ac:dyDescent="0.25">
      <c r="A1012" s="119" t="s">
        <v>337</v>
      </c>
      <c r="B1012" s="895" t="s">
        <v>1370</v>
      </c>
      <c r="C1012" s="989"/>
      <c r="D1012" s="396" t="s">
        <v>1370</v>
      </c>
    </row>
    <row r="1013" spans="1:4" x14ac:dyDescent="0.35">
      <c r="A1013" s="119">
        <v>1173</v>
      </c>
      <c r="B1013" t="s">
        <v>1371</v>
      </c>
      <c r="C1013" s="909"/>
      <c r="D1013" s="449" t="s">
        <v>1371</v>
      </c>
    </row>
    <row r="1014" spans="1:4" ht="15.65" customHeight="1" x14ac:dyDescent="0.35">
      <c r="A1014" s="119" t="s">
        <v>337</v>
      </c>
      <c r="B1014" s="79" t="s">
        <v>1372</v>
      </c>
      <c r="C1014" s="985"/>
      <c r="D1014" s="365" t="s">
        <v>1372</v>
      </c>
    </row>
    <row r="1015" spans="1:4" x14ac:dyDescent="0.25">
      <c r="A1015" s="119">
        <v>1175</v>
      </c>
      <c r="B1015" s="71" t="s">
        <v>1373</v>
      </c>
      <c r="C1015" s="928"/>
      <c r="D1015" s="362" t="s">
        <v>1373</v>
      </c>
    </row>
    <row r="1016" spans="1:4" ht="26" x14ac:dyDescent="0.25">
      <c r="A1016" s="119">
        <v>1176</v>
      </c>
      <c r="B1016" s="53" t="s">
        <v>1374</v>
      </c>
      <c r="C1016" s="926"/>
      <c r="D1016" s="363" t="s">
        <v>1375</v>
      </c>
    </row>
    <row r="1017" spans="1:4" ht="20" x14ac:dyDescent="0.25">
      <c r="A1017" s="119">
        <v>1177</v>
      </c>
      <c r="B1017" s="193" t="s">
        <v>1376</v>
      </c>
      <c r="C1017" s="924"/>
      <c r="D1017" s="364" t="s">
        <v>1376</v>
      </c>
    </row>
    <row r="1018" spans="1:4" ht="30" x14ac:dyDescent="0.25">
      <c r="A1018" s="119">
        <v>1178</v>
      </c>
      <c r="B1018" s="193" t="s">
        <v>1377</v>
      </c>
      <c r="C1018" s="924"/>
      <c r="D1018" s="364" t="s">
        <v>1377</v>
      </c>
    </row>
    <row r="1019" spans="1:4" x14ac:dyDescent="0.25">
      <c r="A1019" s="119">
        <v>1179</v>
      </c>
      <c r="B1019" s="212" t="s">
        <v>1378</v>
      </c>
      <c r="C1019" s="926"/>
      <c r="D1019" s="418" t="s">
        <v>1378</v>
      </c>
    </row>
    <row r="1020" spans="1:4" x14ac:dyDescent="0.25">
      <c r="A1020" s="119">
        <v>1180</v>
      </c>
      <c r="B1020" s="212" t="s">
        <v>1379</v>
      </c>
      <c r="C1020" s="926"/>
      <c r="D1020" s="418" t="s">
        <v>1379</v>
      </c>
    </row>
    <row r="1021" spans="1:4" ht="21" x14ac:dyDescent="0.25">
      <c r="A1021" s="119">
        <v>1181</v>
      </c>
      <c r="B1021" s="212" t="s">
        <v>1380</v>
      </c>
      <c r="C1021" s="926"/>
      <c r="D1021" s="418" t="s">
        <v>1381</v>
      </c>
    </row>
    <row r="1022" spans="1:4" x14ac:dyDescent="0.25">
      <c r="A1022" s="119">
        <v>1182</v>
      </c>
      <c r="B1022" s="200" t="s">
        <v>1382</v>
      </c>
      <c r="C1022" s="935"/>
      <c r="D1022" s="425" t="s">
        <v>1382</v>
      </c>
    </row>
    <row r="1023" spans="1:4" x14ac:dyDescent="0.25">
      <c r="A1023" s="119">
        <v>1183</v>
      </c>
      <c r="B1023" s="201" t="s">
        <v>1383</v>
      </c>
      <c r="C1023" s="935"/>
      <c r="D1023" s="425" t="s">
        <v>1383</v>
      </c>
    </row>
    <row r="1024" spans="1:4" x14ac:dyDescent="0.25">
      <c r="A1024" s="119">
        <v>1184</v>
      </c>
      <c r="B1024" s="405" t="s">
        <v>1384</v>
      </c>
      <c r="C1024" s="931"/>
      <c r="D1024" s="420" t="s">
        <v>1384</v>
      </c>
    </row>
    <row r="1025" spans="1:4" x14ac:dyDescent="0.25">
      <c r="A1025" s="119">
        <v>1185</v>
      </c>
      <c r="B1025" s="97" t="s">
        <v>1385</v>
      </c>
      <c r="C1025" s="990"/>
      <c r="D1025" s="365" t="s">
        <v>1385</v>
      </c>
    </row>
    <row r="1026" spans="1:4" x14ac:dyDescent="0.25">
      <c r="A1026" s="119">
        <v>1186</v>
      </c>
      <c r="B1026" s="212" t="s">
        <v>1386</v>
      </c>
      <c r="C1026" s="926"/>
      <c r="D1026" s="418" t="s">
        <v>1386</v>
      </c>
    </row>
    <row r="1027" spans="1:4" ht="13" customHeight="1" x14ac:dyDescent="0.35">
      <c r="A1027" s="119">
        <v>1187</v>
      </c>
      <c r="B1027" s="406" t="s">
        <v>1387</v>
      </c>
      <c r="C1027" s="987"/>
      <c r="D1027" s="362" t="s">
        <v>1387</v>
      </c>
    </row>
    <row r="1028" spans="1:4" ht="13" customHeight="1" x14ac:dyDescent="0.35">
      <c r="A1028" s="119">
        <v>1188</v>
      </c>
      <c r="B1028" s="406" t="s">
        <v>1388</v>
      </c>
      <c r="C1028" s="987"/>
      <c r="D1028" s="362" t="s">
        <v>1388</v>
      </c>
    </row>
    <row r="1029" spans="1:4" x14ac:dyDescent="0.35">
      <c r="A1029" s="119">
        <v>1189</v>
      </c>
      <c r="B1029" s="218" t="s">
        <v>1389</v>
      </c>
      <c r="C1029" s="932"/>
      <c r="D1029" s="414" t="s">
        <v>1389</v>
      </c>
    </row>
    <row r="1030" spans="1:4" x14ac:dyDescent="0.35">
      <c r="A1030" s="119">
        <v>1190</v>
      </c>
      <c r="B1030" s="218" t="s">
        <v>1390</v>
      </c>
      <c r="C1030" s="932"/>
      <c r="D1030" s="414" t="s">
        <v>1390</v>
      </c>
    </row>
    <row r="1031" spans="1:4" x14ac:dyDescent="0.35">
      <c r="A1031" s="119">
        <v>1191</v>
      </c>
      <c r="B1031" s="218" t="s">
        <v>1391</v>
      </c>
      <c r="C1031" s="932"/>
      <c r="D1031" s="414" t="s">
        <v>1391</v>
      </c>
    </row>
    <row r="1032" spans="1:4" x14ac:dyDescent="0.35">
      <c r="A1032" s="119">
        <v>1192</v>
      </c>
      <c r="B1032" s="202" t="s">
        <v>1392</v>
      </c>
      <c r="C1032" s="933"/>
      <c r="D1032" s="414" t="s">
        <v>1392</v>
      </c>
    </row>
    <row r="1033" spans="1:4" x14ac:dyDescent="0.35">
      <c r="A1033" s="119">
        <v>1193</v>
      </c>
      <c r="B1033" s="67" t="s">
        <v>1393</v>
      </c>
      <c r="D1033" s="451" t="s">
        <v>1393</v>
      </c>
    </row>
    <row r="1034" spans="1:4" ht="113.5" x14ac:dyDescent="0.35">
      <c r="A1034" s="119" t="s">
        <v>337</v>
      </c>
      <c r="B1034" s="275" t="s">
        <v>1394</v>
      </c>
      <c r="D1034" s="451" t="s">
        <v>1394</v>
      </c>
    </row>
    <row r="1035" spans="1:4" ht="26" x14ac:dyDescent="0.35">
      <c r="A1035" s="119" t="s">
        <v>337</v>
      </c>
      <c r="B1035" s="275" t="s">
        <v>1395</v>
      </c>
      <c r="D1035" s="451" t="s">
        <v>1395</v>
      </c>
    </row>
    <row r="1036" spans="1:4" x14ac:dyDescent="0.25">
      <c r="A1036" s="119" t="s">
        <v>337</v>
      </c>
      <c r="B1036" s="66" t="s">
        <v>1396</v>
      </c>
      <c r="C1036" s="928"/>
      <c r="D1036" s="66" t="s">
        <v>1396</v>
      </c>
    </row>
    <row r="1037" spans="1:4" ht="50" x14ac:dyDescent="0.25">
      <c r="A1037" s="119" t="s">
        <v>337</v>
      </c>
      <c r="B1037" s="196" t="s">
        <v>1397</v>
      </c>
      <c r="C1037" s="935"/>
      <c r="D1037" s="413" t="s">
        <v>1397</v>
      </c>
    </row>
    <row r="1038" spans="1:4" ht="50" x14ac:dyDescent="0.25">
      <c r="A1038" s="119" t="s">
        <v>337</v>
      </c>
      <c r="B1038" s="891" t="s">
        <v>1398</v>
      </c>
      <c r="C1038" s="935"/>
      <c r="D1038" s="413" t="s">
        <v>1398</v>
      </c>
    </row>
    <row r="1039" spans="1:4" ht="13" customHeight="1" x14ac:dyDescent="0.35">
      <c r="A1039" s="119">
        <v>2002</v>
      </c>
      <c r="B1039" t="s">
        <v>1399</v>
      </c>
      <c r="C1039" s="909"/>
      <c r="D1039" s="12" t="s">
        <v>1399</v>
      </c>
    </row>
    <row r="1040" spans="1:4" x14ac:dyDescent="0.35">
      <c r="A1040" s="119" t="s">
        <v>337</v>
      </c>
      <c r="B1040" t="s">
        <v>1400</v>
      </c>
      <c r="C1040" s="909"/>
      <c r="D1040" s="12" t="s">
        <v>1400</v>
      </c>
    </row>
    <row r="1041" spans="1:4" x14ac:dyDescent="0.35">
      <c r="A1041" s="119">
        <v>2004</v>
      </c>
      <c r="B1041" t="s">
        <v>1401</v>
      </c>
      <c r="C1041" s="909"/>
      <c r="D1041" s="12" t="s">
        <v>1401</v>
      </c>
    </row>
    <row r="1042" spans="1:4" x14ac:dyDescent="0.25">
      <c r="A1042" s="119">
        <v>2005</v>
      </c>
      <c r="B1042" s="300" t="s">
        <v>1450</v>
      </c>
      <c r="C1042" s="920" t="s">
        <v>2025</v>
      </c>
      <c r="D1042" s="415" t="s">
        <v>1402</v>
      </c>
    </row>
    <row r="1043" spans="1:4" x14ac:dyDescent="0.25">
      <c r="A1043" s="119">
        <v>2006</v>
      </c>
      <c r="B1043" s="300" t="s">
        <v>1403</v>
      </c>
      <c r="C1043" s="920"/>
      <c r="D1043" s="415" t="s">
        <v>1403</v>
      </c>
    </row>
    <row r="1044" spans="1:4" x14ac:dyDescent="0.25">
      <c r="A1044" s="119">
        <v>2007</v>
      </c>
      <c r="B1044" s="378" t="s">
        <v>1404</v>
      </c>
      <c r="C1044" s="920"/>
      <c r="D1044" s="397" t="s">
        <v>1404</v>
      </c>
    </row>
    <row r="1045" spans="1:4" x14ac:dyDescent="0.25">
      <c r="A1045" s="119">
        <v>2008</v>
      </c>
      <c r="B1045" s="204" t="s">
        <v>1405</v>
      </c>
      <c r="C1045" s="923"/>
      <c r="D1045" s="360" t="s">
        <v>1405</v>
      </c>
    </row>
    <row r="1046" spans="1:4" x14ac:dyDescent="0.25">
      <c r="A1046" s="119">
        <v>2009</v>
      </c>
      <c r="B1046" s="379" t="s">
        <v>1406</v>
      </c>
      <c r="C1046" s="935"/>
      <c r="D1046" s="415" t="s">
        <v>1406</v>
      </c>
    </row>
    <row r="1047" spans="1:4" x14ac:dyDescent="0.25">
      <c r="A1047" s="119">
        <v>2010</v>
      </c>
      <c r="B1047" s="379" t="s">
        <v>1407</v>
      </c>
      <c r="C1047" s="935"/>
      <c r="D1047" s="415" t="s">
        <v>1407</v>
      </c>
    </row>
    <row r="1048" spans="1:4" x14ac:dyDescent="0.25">
      <c r="A1048" s="119" t="s">
        <v>337</v>
      </c>
      <c r="B1048" s="379" t="s">
        <v>1408</v>
      </c>
      <c r="C1048" s="935"/>
      <c r="D1048" s="415" t="s">
        <v>1408</v>
      </c>
    </row>
    <row r="1049" spans="1:4" x14ac:dyDescent="0.25">
      <c r="A1049" s="119">
        <v>2012</v>
      </c>
      <c r="B1049" s="197" t="s">
        <v>1409</v>
      </c>
      <c r="C1049" s="935"/>
      <c r="D1049" s="397" t="s">
        <v>1409</v>
      </c>
    </row>
    <row r="1050" spans="1:4" ht="75" x14ac:dyDescent="0.25">
      <c r="A1050" s="119" t="s">
        <v>337</v>
      </c>
      <c r="B1050" s="324" t="s">
        <v>1410</v>
      </c>
      <c r="C1050" s="936"/>
      <c r="D1050" s="415" t="s">
        <v>1410</v>
      </c>
    </row>
    <row r="1051" spans="1:4" x14ac:dyDescent="0.25">
      <c r="A1051" s="119">
        <v>2014</v>
      </c>
      <c r="B1051" s="300" t="s">
        <v>1411</v>
      </c>
      <c r="C1051" s="920"/>
      <c r="D1051" s="415" t="s">
        <v>1411</v>
      </c>
    </row>
    <row r="1052" spans="1:4" x14ac:dyDescent="0.35">
      <c r="A1052" s="119" t="s">
        <v>337</v>
      </c>
      <c r="B1052" t="s">
        <v>1412</v>
      </c>
      <c r="C1052" s="909"/>
      <c r="D1052" s="12" t="s">
        <v>1412</v>
      </c>
    </row>
    <row r="1053" spans="1:4" ht="50" x14ac:dyDescent="0.25">
      <c r="A1053" s="119">
        <v>2016</v>
      </c>
      <c r="B1053" s="300" t="s">
        <v>1413</v>
      </c>
      <c r="C1053" s="920"/>
      <c r="D1053" s="415" t="s">
        <v>1413</v>
      </c>
    </row>
    <row r="1054" spans="1:4" ht="75" x14ac:dyDescent="0.25">
      <c r="A1054" s="119" t="s">
        <v>337</v>
      </c>
      <c r="B1054" s="300" t="s">
        <v>1414</v>
      </c>
      <c r="C1054" s="920"/>
      <c r="D1054" s="415" t="s">
        <v>1414</v>
      </c>
    </row>
    <row r="1055" spans="1:4" x14ac:dyDescent="0.25">
      <c r="A1055" s="119">
        <v>2018</v>
      </c>
      <c r="B1055" s="300" t="s">
        <v>1415</v>
      </c>
      <c r="C1055" s="920"/>
      <c r="D1055" s="415" t="s">
        <v>1415</v>
      </c>
    </row>
    <row r="1056" spans="1:4" x14ac:dyDescent="0.35">
      <c r="A1056" s="119">
        <v>2019</v>
      </c>
      <c r="B1056" t="s">
        <v>1416</v>
      </c>
      <c r="C1056" s="909"/>
      <c r="D1056" s="12" t="s">
        <v>1416</v>
      </c>
    </row>
    <row r="1057" spans="1:4" ht="37.5" x14ac:dyDescent="0.25">
      <c r="A1057" s="119" t="s">
        <v>337</v>
      </c>
      <c r="B1057" s="300" t="s">
        <v>1417</v>
      </c>
      <c r="C1057" s="920"/>
      <c r="D1057" s="415" t="s">
        <v>1417</v>
      </c>
    </row>
    <row r="1058" spans="1:4" x14ac:dyDescent="0.35">
      <c r="A1058" s="119" t="s">
        <v>337</v>
      </c>
      <c r="B1058" t="s">
        <v>1418</v>
      </c>
      <c r="C1058" s="909"/>
      <c r="D1058" s="12" t="s">
        <v>1418</v>
      </c>
    </row>
    <row r="1059" spans="1:4" ht="62.5" x14ac:dyDescent="0.25">
      <c r="A1059" s="119" t="s">
        <v>337</v>
      </c>
      <c r="B1059" s="300" t="s">
        <v>1419</v>
      </c>
      <c r="C1059" s="920"/>
      <c r="D1059" s="415" t="s">
        <v>1419</v>
      </c>
    </row>
    <row r="1060" spans="1:4" ht="37.5" x14ac:dyDescent="0.25">
      <c r="A1060" s="119" t="s">
        <v>337</v>
      </c>
      <c r="B1060" s="300" t="s">
        <v>1420</v>
      </c>
      <c r="C1060" s="920"/>
      <c r="D1060" s="415" t="s">
        <v>1420</v>
      </c>
    </row>
    <row r="1061" spans="1:4" x14ac:dyDescent="0.35">
      <c r="A1061" s="119" t="s">
        <v>337</v>
      </c>
      <c r="B1061" t="s">
        <v>1421</v>
      </c>
      <c r="C1061" s="909"/>
      <c r="D1061" s="12" t="s">
        <v>1421</v>
      </c>
    </row>
    <row r="1062" spans="1:4" x14ac:dyDescent="0.25">
      <c r="A1062" s="119">
        <v>2025</v>
      </c>
      <c r="B1062" s="378" t="s">
        <v>1422</v>
      </c>
      <c r="C1062" s="920"/>
      <c r="D1062" s="397" t="s">
        <v>1422</v>
      </c>
    </row>
    <row r="1063" spans="1:4" ht="50" x14ac:dyDescent="0.25">
      <c r="A1063" s="119" t="s">
        <v>337</v>
      </c>
      <c r="B1063" s="300" t="s">
        <v>1423</v>
      </c>
      <c r="C1063" s="920"/>
      <c r="D1063" s="415" t="s">
        <v>1423</v>
      </c>
    </row>
    <row r="1064" spans="1:4" ht="37.5" x14ac:dyDescent="0.25">
      <c r="A1064" s="119" t="s">
        <v>337</v>
      </c>
      <c r="B1064" s="300" t="s">
        <v>1424</v>
      </c>
      <c r="C1064" s="920"/>
      <c r="D1064" s="415" t="s">
        <v>1424</v>
      </c>
    </row>
    <row r="1065" spans="1:4" x14ac:dyDescent="0.25">
      <c r="A1065" s="119" t="s">
        <v>337</v>
      </c>
      <c r="B1065" s="300" t="s">
        <v>1425</v>
      </c>
      <c r="C1065" s="920"/>
      <c r="D1065" s="415" t="s">
        <v>1425</v>
      </c>
    </row>
    <row r="1066" spans="1:4" x14ac:dyDescent="0.35">
      <c r="A1066" s="119">
        <v>2029</v>
      </c>
      <c r="B1066" t="s">
        <v>1426</v>
      </c>
      <c r="C1066" s="909"/>
      <c r="D1066" s="12" t="s">
        <v>1426</v>
      </c>
    </row>
    <row r="1067" spans="1:4" ht="62.5" x14ac:dyDescent="0.25">
      <c r="A1067" s="119" t="s">
        <v>337</v>
      </c>
      <c r="B1067" s="300" t="s">
        <v>1427</v>
      </c>
      <c r="C1067" s="920"/>
      <c r="D1067" s="415" t="s">
        <v>1427</v>
      </c>
    </row>
    <row r="1068" spans="1:4" x14ac:dyDescent="0.25">
      <c r="A1068" s="119">
        <v>2031</v>
      </c>
      <c r="B1068" s="378" t="s">
        <v>1428</v>
      </c>
      <c r="C1068" s="920"/>
      <c r="D1068" s="397" t="s">
        <v>1428</v>
      </c>
    </row>
    <row r="1069" spans="1:4" ht="75" x14ac:dyDescent="0.25">
      <c r="A1069" s="119" t="s">
        <v>337</v>
      </c>
      <c r="B1069" s="300" t="s">
        <v>1429</v>
      </c>
      <c r="C1069" s="920"/>
      <c r="D1069" s="415" t="s">
        <v>1429</v>
      </c>
    </row>
    <row r="1070" spans="1:4" ht="50" x14ac:dyDescent="0.25">
      <c r="A1070" s="119" t="s">
        <v>337</v>
      </c>
      <c r="B1070" s="300" t="s">
        <v>1430</v>
      </c>
      <c r="C1070" s="920"/>
      <c r="D1070" s="415" t="s">
        <v>1430</v>
      </c>
    </row>
    <row r="1071" spans="1:4" ht="37.5" x14ac:dyDescent="0.25">
      <c r="A1071" s="119" t="s">
        <v>337</v>
      </c>
      <c r="B1071" s="300" t="s">
        <v>1431</v>
      </c>
      <c r="C1071" s="920"/>
      <c r="D1071" s="415" t="s">
        <v>1431</v>
      </c>
    </row>
    <row r="1072" spans="1:4" ht="25" x14ac:dyDescent="0.25">
      <c r="A1072" s="119" t="s">
        <v>337</v>
      </c>
      <c r="B1072" s="300" t="s">
        <v>1432</v>
      </c>
      <c r="C1072" s="920"/>
      <c r="D1072" s="415" t="s">
        <v>1432</v>
      </c>
    </row>
    <row r="1073" spans="1:4" ht="37.5" x14ac:dyDescent="0.25">
      <c r="A1073" s="119">
        <v>2036</v>
      </c>
      <c r="B1073" s="300" t="s">
        <v>1433</v>
      </c>
      <c r="C1073" s="920"/>
      <c r="D1073" s="415" t="s">
        <v>1433</v>
      </c>
    </row>
    <row r="1074" spans="1:4" ht="37.5" x14ac:dyDescent="0.25">
      <c r="A1074" s="119">
        <v>2037</v>
      </c>
      <c r="B1074" s="300" t="s">
        <v>1434</v>
      </c>
      <c r="C1074" s="920"/>
      <c r="D1074" s="415" t="s">
        <v>1434</v>
      </c>
    </row>
    <row r="1075" spans="1:4" x14ac:dyDescent="0.35">
      <c r="A1075" s="119" t="s">
        <v>337</v>
      </c>
      <c r="B1075" t="s">
        <v>1435</v>
      </c>
      <c r="C1075" s="909"/>
      <c r="D1075" s="12" t="s">
        <v>1435</v>
      </c>
    </row>
    <row r="1076" spans="1:4" ht="87.5" x14ac:dyDescent="0.25">
      <c r="A1076" s="119" t="s">
        <v>337</v>
      </c>
      <c r="B1076" s="300" t="s">
        <v>1436</v>
      </c>
      <c r="C1076" s="920"/>
      <c r="D1076" s="415" t="s">
        <v>1436</v>
      </c>
    </row>
    <row r="1077" spans="1:4" x14ac:dyDescent="0.25">
      <c r="A1077" s="119">
        <v>2040</v>
      </c>
      <c r="B1077" s="378" t="s">
        <v>1437</v>
      </c>
      <c r="C1077" s="920"/>
      <c r="D1077" s="397" t="s">
        <v>1437</v>
      </c>
    </row>
    <row r="1078" spans="1:4" ht="25" x14ac:dyDescent="0.25">
      <c r="A1078" s="119">
        <v>2041</v>
      </c>
      <c r="B1078" s="300" t="s">
        <v>1438</v>
      </c>
      <c r="C1078" s="920"/>
      <c r="D1078" s="415" t="s">
        <v>1438</v>
      </c>
    </row>
    <row r="1079" spans="1:4" ht="122.5" x14ac:dyDescent="0.25">
      <c r="A1079" s="119" t="s">
        <v>337</v>
      </c>
      <c r="B1079" s="191" t="s">
        <v>1439</v>
      </c>
      <c r="C1079" s="922"/>
      <c r="D1079" s="903" t="s">
        <v>1440</v>
      </c>
    </row>
    <row r="1080" spans="1:4" ht="13" customHeight="1" x14ac:dyDescent="0.35">
      <c r="A1080" s="119" t="s">
        <v>337</v>
      </c>
      <c r="B1080" s="900" t="s">
        <v>1441</v>
      </c>
      <c r="C1080" s="942"/>
      <c r="D1080" s="452" t="s">
        <v>1441</v>
      </c>
    </row>
    <row r="1081" spans="1:4" ht="75" x14ac:dyDescent="0.25">
      <c r="A1081" s="119" t="s">
        <v>337</v>
      </c>
      <c r="B1081" s="379" t="s">
        <v>1442</v>
      </c>
      <c r="C1081" s="935"/>
      <c r="D1081" s="415" t="s">
        <v>1442</v>
      </c>
    </row>
    <row r="1082" spans="1:4" ht="65" x14ac:dyDescent="0.25">
      <c r="A1082" s="119">
        <v>2045</v>
      </c>
      <c r="B1082" s="378" t="s">
        <v>1443</v>
      </c>
      <c r="C1082" s="920"/>
      <c r="D1082" s="397" t="s">
        <v>1443</v>
      </c>
    </row>
    <row r="1083" spans="1:4" ht="26" x14ac:dyDescent="0.25">
      <c r="A1083" s="119">
        <v>2046</v>
      </c>
      <c r="B1083" s="197" t="s">
        <v>1444</v>
      </c>
      <c r="C1083" s="935"/>
      <c r="D1083" s="397" t="s">
        <v>1444</v>
      </c>
    </row>
    <row r="1084" spans="1:4" ht="78" x14ac:dyDescent="0.25">
      <c r="A1084" s="119">
        <v>2047</v>
      </c>
      <c r="B1084" s="197" t="s">
        <v>1445</v>
      </c>
      <c r="C1084" s="935"/>
      <c r="D1084" s="397" t="s">
        <v>1445</v>
      </c>
    </row>
    <row r="1085" spans="1:4" ht="13" customHeight="1" x14ac:dyDescent="0.35">
      <c r="A1085" s="119">
        <v>2048</v>
      </c>
      <c r="B1085" s="390" t="s">
        <v>1446</v>
      </c>
      <c r="C1085" s="991"/>
      <c r="D1085" s="360" t="s">
        <v>1446</v>
      </c>
    </row>
    <row r="1086" spans="1:4" ht="25.5" thickBot="1" x14ac:dyDescent="0.3">
      <c r="A1086" s="119">
        <v>2049</v>
      </c>
      <c r="B1086" s="379" t="s">
        <v>1447</v>
      </c>
      <c r="C1086" s="935"/>
      <c r="D1086" s="415" t="s">
        <v>1447</v>
      </c>
    </row>
    <row r="1087" spans="1:4" ht="50.5" thickBot="1" x14ac:dyDescent="0.3">
      <c r="A1087" s="119">
        <v>2050</v>
      </c>
      <c r="B1087" s="380" t="s">
        <v>1448</v>
      </c>
      <c r="C1087" s="937"/>
      <c r="D1087" s="415" t="s">
        <v>1448</v>
      </c>
    </row>
    <row r="1088" spans="1:4" ht="15.65" customHeight="1" x14ac:dyDescent="0.35">
      <c r="A1088" s="119">
        <v>2051</v>
      </c>
      <c r="B1088" s="79" t="s">
        <v>1449</v>
      </c>
      <c r="C1088" s="985"/>
      <c r="D1088" s="365" t="s">
        <v>1449</v>
      </c>
    </row>
    <row r="1089" spans="1:4" x14ac:dyDescent="0.25">
      <c r="A1089" s="119">
        <v>2052</v>
      </c>
      <c r="B1089" s="378" t="s">
        <v>1450</v>
      </c>
      <c r="C1089" s="920"/>
      <c r="D1089" s="397" t="s">
        <v>1450</v>
      </c>
    </row>
    <row r="1090" spans="1:4" ht="20" x14ac:dyDescent="0.25">
      <c r="A1090" s="119">
        <v>2053</v>
      </c>
      <c r="B1090" s="193" t="s">
        <v>1451</v>
      </c>
      <c r="C1090" s="924"/>
      <c r="D1090" s="364" t="s">
        <v>1451</v>
      </c>
    </row>
    <row r="1091" spans="1:4" x14ac:dyDescent="0.25">
      <c r="A1091" s="119">
        <v>2054</v>
      </c>
      <c r="B1091" s="204" t="s">
        <v>1452</v>
      </c>
      <c r="C1091" s="923"/>
      <c r="D1091" s="360" t="s">
        <v>1452</v>
      </c>
    </row>
    <row r="1092" spans="1:4" ht="30" x14ac:dyDescent="0.25">
      <c r="A1092" s="119">
        <v>2055</v>
      </c>
      <c r="B1092" s="216" t="s">
        <v>1453</v>
      </c>
      <c r="C1092" s="924"/>
      <c r="D1092" s="417" t="s">
        <v>1453</v>
      </c>
    </row>
    <row r="1093" spans="1:4" x14ac:dyDescent="0.25">
      <c r="A1093" s="119" t="s">
        <v>337</v>
      </c>
      <c r="B1093" s="204" t="s">
        <v>1454</v>
      </c>
      <c r="C1093" s="923"/>
      <c r="D1093" s="360" t="s">
        <v>1454</v>
      </c>
    </row>
    <row r="1094" spans="1:4" ht="30" x14ac:dyDescent="0.25">
      <c r="A1094" s="119" t="s">
        <v>337</v>
      </c>
      <c r="B1094" s="192" t="s">
        <v>1455</v>
      </c>
      <c r="C1094" s="924"/>
      <c r="D1094" s="364" t="s">
        <v>1455</v>
      </c>
    </row>
    <row r="1095" spans="1:4" ht="40" x14ac:dyDescent="0.25">
      <c r="A1095" s="119">
        <v>2058</v>
      </c>
      <c r="B1095" s="192" t="s">
        <v>1456</v>
      </c>
      <c r="C1095" s="924"/>
      <c r="D1095" s="364" t="s">
        <v>1456</v>
      </c>
    </row>
    <row r="1096" spans="1:4" ht="13" customHeight="1" x14ac:dyDescent="0.35">
      <c r="A1096" s="119">
        <v>2059</v>
      </c>
      <c r="B1096" s="207" t="s">
        <v>1457</v>
      </c>
      <c r="C1096" s="987"/>
      <c r="D1096" s="362" t="s">
        <v>1457</v>
      </c>
    </row>
    <row r="1097" spans="1:4" x14ac:dyDescent="0.25">
      <c r="A1097" s="119">
        <v>2060</v>
      </c>
      <c r="B1097" s="193" t="s">
        <v>1458</v>
      </c>
      <c r="C1097" s="924"/>
      <c r="D1097" s="364" t="s">
        <v>1458</v>
      </c>
    </row>
    <row r="1098" spans="1:4" ht="37.5" x14ac:dyDescent="0.25">
      <c r="A1098" s="119" t="s">
        <v>337</v>
      </c>
      <c r="B1098" s="300" t="s">
        <v>1459</v>
      </c>
      <c r="C1098" s="920"/>
      <c r="D1098" s="415" t="s">
        <v>1459</v>
      </c>
    </row>
    <row r="1099" spans="1:4" ht="37.5" x14ac:dyDescent="0.25">
      <c r="A1099" s="119" t="s">
        <v>337</v>
      </c>
      <c r="B1099" s="300" t="s">
        <v>1460</v>
      </c>
      <c r="C1099" s="920"/>
      <c r="D1099" s="415" t="s">
        <v>1460</v>
      </c>
    </row>
    <row r="1100" spans="1:4" ht="50" x14ac:dyDescent="0.25">
      <c r="A1100" s="119" t="s">
        <v>337</v>
      </c>
      <c r="B1100" s="300" t="s">
        <v>1461</v>
      </c>
      <c r="C1100" s="920"/>
      <c r="D1100" s="415" t="s">
        <v>1461</v>
      </c>
    </row>
    <row r="1101" spans="1:4" ht="37.5" x14ac:dyDescent="0.25">
      <c r="A1101" s="119" t="s">
        <v>337</v>
      </c>
      <c r="B1101" s="300" t="s">
        <v>1462</v>
      </c>
      <c r="C1101" s="920"/>
      <c r="D1101" s="415" t="s">
        <v>1462</v>
      </c>
    </row>
    <row r="1102" spans="1:4" x14ac:dyDescent="0.25">
      <c r="A1102" s="119">
        <v>2065</v>
      </c>
      <c r="B1102" s="378" t="s">
        <v>1463</v>
      </c>
      <c r="C1102" s="920"/>
      <c r="D1102" s="397" t="s">
        <v>1463</v>
      </c>
    </row>
    <row r="1103" spans="1:4" x14ac:dyDescent="0.25">
      <c r="A1103" s="119">
        <v>2066</v>
      </c>
      <c r="B1103" s="378" t="s">
        <v>1464</v>
      </c>
      <c r="C1103" s="920"/>
      <c r="D1103" s="397" t="s">
        <v>1464</v>
      </c>
    </row>
    <row r="1104" spans="1:4" x14ac:dyDescent="0.25">
      <c r="A1104" s="119">
        <v>2067</v>
      </c>
      <c r="B1104" s="204" t="s">
        <v>1465</v>
      </c>
      <c r="C1104" s="923"/>
      <c r="D1104" s="360" t="s">
        <v>1465</v>
      </c>
    </row>
    <row r="1105" spans="1:4" ht="37.5" x14ac:dyDescent="0.25">
      <c r="A1105" s="119">
        <v>2068</v>
      </c>
      <c r="B1105" s="300" t="s">
        <v>1466</v>
      </c>
      <c r="C1105" s="920"/>
      <c r="D1105" s="415" t="s">
        <v>1466</v>
      </c>
    </row>
    <row r="1106" spans="1:4" x14ac:dyDescent="0.25">
      <c r="A1106" s="119">
        <v>2069</v>
      </c>
      <c r="B1106" s="378" t="s">
        <v>1467</v>
      </c>
      <c r="C1106" s="920"/>
      <c r="D1106" s="397" t="s">
        <v>1467</v>
      </c>
    </row>
    <row r="1107" spans="1:4" ht="20" x14ac:dyDescent="0.25">
      <c r="A1107" s="119">
        <v>2070</v>
      </c>
      <c r="B1107" s="193" t="s">
        <v>1468</v>
      </c>
      <c r="C1107" s="924"/>
      <c r="D1107" s="364" t="s">
        <v>1469</v>
      </c>
    </row>
    <row r="1108" spans="1:4" ht="20" x14ac:dyDescent="0.25">
      <c r="A1108" s="119">
        <v>2071</v>
      </c>
      <c r="B1108" s="193" t="s">
        <v>1470</v>
      </c>
      <c r="C1108" s="924"/>
      <c r="D1108" s="364" t="s">
        <v>1471</v>
      </c>
    </row>
    <row r="1109" spans="1:4" ht="20" x14ac:dyDescent="0.25">
      <c r="A1109" s="119">
        <v>2072</v>
      </c>
      <c r="B1109" s="192" t="s">
        <v>1472</v>
      </c>
      <c r="C1109" s="924"/>
      <c r="D1109" s="364" t="s">
        <v>1472</v>
      </c>
    </row>
    <row r="1110" spans="1:4" x14ac:dyDescent="0.25">
      <c r="A1110" s="119">
        <v>2073</v>
      </c>
      <c r="B1110" s="204" t="s">
        <v>1473</v>
      </c>
      <c r="C1110" s="923"/>
      <c r="D1110" s="360" t="s">
        <v>1473</v>
      </c>
    </row>
    <row r="1111" spans="1:4" ht="20" x14ac:dyDescent="0.25">
      <c r="A1111" s="119">
        <v>2074</v>
      </c>
      <c r="B1111" s="381" t="s">
        <v>1474</v>
      </c>
      <c r="C1111" s="938"/>
      <c r="D1111" s="361" t="s">
        <v>1474</v>
      </c>
    </row>
    <row r="1112" spans="1:4" x14ac:dyDescent="0.25">
      <c r="A1112" s="119">
        <v>2075</v>
      </c>
      <c r="B1112" s="192" t="s">
        <v>1475</v>
      </c>
      <c r="C1112" s="924"/>
      <c r="D1112" s="364" t="s">
        <v>1475</v>
      </c>
    </row>
    <row r="1113" spans="1:4" x14ac:dyDescent="0.25">
      <c r="A1113" s="119">
        <v>2076</v>
      </c>
      <c r="B1113" s="115" t="s">
        <v>1256</v>
      </c>
      <c r="C1113" s="986"/>
      <c r="D1113" s="362" t="s">
        <v>1256</v>
      </c>
    </row>
    <row r="1114" spans="1:4" ht="13" customHeight="1" x14ac:dyDescent="0.35">
      <c r="A1114" s="119">
        <v>2077</v>
      </c>
      <c r="B1114" s="207" t="s">
        <v>1476</v>
      </c>
      <c r="C1114" s="987"/>
      <c r="D1114" s="362" t="s">
        <v>1476</v>
      </c>
    </row>
    <row r="1115" spans="1:4" ht="13" customHeight="1" x14ac:dyDescent="0.35">
      <c r="A1115" s="119">
        <v>2078</v>
      </c>
      <c r="B1115" s="207" t="s">
        <v>1260</v>
      </c>
      <c r="C1115" s="987"/>
      <c r="D1115" s="362" t="s">
        <v>1260</v>
      </c>
    </row>
    <row r="1116" spans="1:4" ht="30" x14ac:dyDescent="0.25">
      <c r="A1116" s="119" t="s">
        <v>337</v>
      </c>
      <c r="B1116" s="192" t="s">
        <v>1477</v>
      </c>
      <c r="C1116" s="924"/>
      <c r="D1116" s="364" t="s">
        <v>1477</v>
      </c>
    </row>
    <row r="1117" spans="1:4" ht="40" x14ac:dyDescent="0.25">
      <c r="A1117" s="119" t="s">
        <v>337</v>
      </c>
      <c r="B1117" s="209" t="s">
        <v>60</v>
      </c>
      <c r="C1117" s="918"/>
      <c r="D1117" s="361" t="s">
        <v>60</v>
      </c>
    </row>
    <row r="1118" spans="1:4" x14ac:dyDescent="0.25">
      <c r="A1118" s="119">
        <v>2081</v>
      </c>
      <c r="B1118" s="71" t="s">
        <v>1478</v>
      </c>
      <c r="C1118" s="928"/>
      <c r="D1118" s="362" t="s">
        <v>1478</v>
      </c>
    </row>
    <row r="1119" spans="1:4" ht="20" x14ac:dyDescent="0.25">
      <c r="A1119" s="119" t="s">
        <v>337</v>
      </c>
      <c r="B1119" s="75" t="s">
        <v>1479</v>
      </c>
      <c r="C1119" s="925"/>
      <c r="D1119" s="364" t="s">
        <v>1479</v>
      </c>
    </row>
    <row r="1120" spans="1:4" ht="20" x14ac:dyDescent="0.25">
      <c r="A1120" s="119" t="s">
        <v>337</v>
      </c>
      <c r="B1120" s="75" t="s">
        <v>1480</v>
      </c>
      <c r="C1120" s="925"/>
      <c r="D1120" s="364" t="s">
        <v>1480</v>
      </c>
    </row>
    <row r="1121" spans="1:4" x14ac:dyDescent="0.25">
      <c r="A1121" s="119">
        <v>2084</v>
      </c>
      <c r="B1121" s="212" t="s">
        <v>124</v>
      </c>
      <c r="C1121" s="926"/>
      <c r="D1121" s="418" t="s">
        <v>124</v>
      </c>
    </row>
    <row r="1122" spans="1:4" x14ac:dyDescent="0.25">
      <c r="A1122" s="119">
        <v>2085</v>
      </c>
      <c r="B1122" s="212" t="s">
        <v>1481</v>
      </c>
      <c r="C1122" s="926"/>
      <c r="D1122" s="418" t="s">
        <v>1481</v>
      </c>
    </row>
    <row r="1123" spans="1:4" x14ac:dyDescent="0.25">
      <c r="A1123" s="119">
        <v>2086</v>
      </c>
      <c r="B1123" s="212" t="s">
        <v>1482</v>
      </c>
      <c r="C1123" s="926"/>
      <c r="D1123" s="418" t="s">
        <v>1482</v>
      </c>
    </row>
    <row r="1124" spans="1:4" x14ac:dyDescent="0.25">
      <c r="A1124" s="119" t="s">
        <v>337</v>
      </c>
      <c r="B1124" s="212" t="s">
        <v>1483</v>
      </c>
      <c r="C1124" s="926"/>
      <c r="D1124" s="418" t="s">
        <v>1483</v>
      </c>
    </row>
    <row r="1125" spans="1:4" x14ac:dyDescent="0.25">
      <c r="A1125" s="119">
        <v>2088</v>
      </c>
      <c r="B1125" s="71" t="s">
        <v>1484</v>
      </c>
      <c r="C1125" s="928"/>
      <c r="D1125" s="362" t="s">
        <v>1484</v>
      </c>
    </row>
    <row r="1126" spans="1:4" x14ac:dyDescent="0.25">
      <c r="A1126" s="119">
        <v>2089</v>
      </c>
      <c r="B1126" s="71" t="s">
        <v>1485</v>
      </c>
      <c r="C1126" s="928"/>
      <c r="D1126" s="362" t="s">
        <v>1485</v>
      </c>
    </row>
    <row r="1127" spans="1:4" ht="26" x14ac:dyDescent="0.25">
      <c r="A1127" s="119">
        <v>2090</v>
      </c>
      <c r="B1127" s="61" t="s">
        <v>1486</v>
      </c>
      <c r="C1127" s="927"/>
      <c r="D1127" s="363" t="s">
        <v>1486</v>
      </c>
    </row>
    <row r="1128" spans="1:4" x14ac:dyDescent="0.25">
      <c r="A1128" s="119">
        <v>2091</v>
      </c>
      <c r="B1128" s="61" t="s">
        <v>1487</v>
      </c>
      <c r="C1128" s="927"/>
      <c r="D1128" s="363" t="s">
        <v>1487</v>
      </c>
    </row>
    <row r="1129" spans="1:4" x14ac:dyDescent="0.25">
      <c r="A1129" s="119" t="s">
        <v>337</v>
      </c>
      <c r="B1129" s="61" t="s">
        <v>1488</v>
      </c>
      <c r="C1129" s="927"/>
      <c r="D1129" s="363" t="s">
        <v>1488</v>
      </c>
    </row>
    <row r="1130" spans="1:4" ht="20" x14ac:dyDescent="0.25">
      <c r="A1130" s="119" t="s">
        <v>337</v>
      </c>
      <c r="B1130" s="193" t="s">
        <v>1489</v>
      </c>
      <c r="C1130" s="924"/>
      <c r="D1130" s="364" t="s">
        <v>1489</v>
      </c>
    </row>
    <row r="1131" spans="1:4" x14ac:dyDescent="0.25">
      <c r="A1131" s="119" t="s">
        <v>337</v>
      </c>
      <c r="B1131" s="199" t="s">
        <v>1490</v>
      </c>
      <c r="C1131" s="918"/>
      <c r="D1131" s="361" t="s">
        <v>1490</v>
      </c>
    </row>
    <row r="1132" spans="1:4" x14ac:dyDescent="0.25">
      <c r="A1132" s="119" t="s">
        <v>337</v>
      </c>
      <c r="B1132" s="894" t="s">
        <v>1491</v>
      </c>
      <c r="C1132" s="918"/>
      <c r="D1132" s="905" t="s">
        <v>1491</v>
      </c>
    </row>
    <row r="1133" spans="1:4" ht="20" x14ac:dyDescent="0.25">
      <c r="A1133" s="119" t="s">
        <v>337</v>
      </c>
      <c r="B1133" s="199" t="s">
        <v>1492</v>
      </c>
      <c r="C1133" s="918"/>
      <c r="D1133" s="361" t="s">
        <v>1492</v>
      </c>
    </row>
    <row r="1134" spans="1:4" ht="30" x14ac:dyDescent="0.25">
      <c r="A1134" s="119" t="s">
        <v>337</v>
      </c>
      <c r="B1134" s="199" t="s">
        <v>1493</v>
      </c>
      <c r="C1134" s="918"/>
      <c r="D1134" s="361" t="s">
        <v>1493</v>
      </c>
    </row>
    <row r="1135" spans="1:4" x14ac:dyDescent="0.25">
      <c r="A1135" s="119" t="s">
        <v>337</v>
      </c>
      <c r="B1135" s="894" t="s">
        <v>1494</v>
      </c>
      <c r="C1135" s="918"/>
      <c r="D1135" s="905" t="s">
        <v>1494</v>
      </c>
    </row>
    <row r="1136" spans="1:4" ht="40" x14ac:dyDescent="0.25">
      <c r="A1136" s="119" t="s">
        <v>337</v>
      </c>
      <c r="B1136" s="199" t="s">
        <v>1495</v>
      </c>
      <c r="C1136" s="918"/>
      <c r="D1136" s="361" t="s">
        <v>1495</v>
      </c>
    </row>
    <row r="1137" spans="1:4" ht="30" x14ac:dyDescent="0.25">
      <c r="A1137" s="119" t="s">
        <v>337</v>
      </c>
      <c r="B1137" s="199" t="s">
        <v>1496</v>
      </c>
      <c r="C1137" s="918"/>
      <c r="D1137" s="361" t="s">
        <v>1496</v>
      </c>
    </row>
    <row r="1138" spans="1:4" ht="20" x14ac:dyDescent="0.25">
      <c r="A1138" s="119" t="s">
        <v>337</v>
      </c>
      <c r="B1138" s="209" t="s">
        <v>1497</v>
      </c>
      <c r="C1138" s="918"/>
      <c r="D1138" s="361" t="s">
        <v>1497</v>
      </c>
    </row>
    <row r="1139" spans="1:4" ht="20" x14ac:dyDescent="0.25">
      <c r="A1139" s="119">
        <v>2102</v>
      </c>
      <c r="B1139" s="75" t="s">
        <v>1498</v>
      </c>
      <c r="C1139" s="925"/>
      <c r="D1139" s="364" t="s">
        <v>1498</v>
      </c>
    </row>
    <row r="1140" spans="1:4" x14ac:dyDescent="0.25">
      <c r="A1140" s="119" t="s">
        <v>337</v>
      </c>
      <c r="B1140" s="61" t="s">
        <v>1499</v>
      </c>
      <c r="C1140" s="927"/>
      <c r="D1140" s="363" t="s">
        <v>1499</v>
      </c>
    </row>
    <row r="1141" spans="1:4" ht="26" x14ac:dyDescent="0.25">
      <c r="A1141" s="119">
        <v>2104</v>
      </c>
      <c r="B1141" s="61" t="s">
        <v>1500</v>
      </c>
      <c r="C1141" s="927"/>
      <c r="D1141" s="363" t="s">
        <v>1500</v>
      </c>
    </row>
    <row r="1142" spans="1:4" ht="20" x14ac:dyDescent="0.25">
      <c r="A1142" s="119" t="s">
        <v>337</v>
      </c>
      <c r="B1142" s="75" t="s">
        <v>1501</v>
      </c>
      <c r="C1142" s="925"/>
      <c r="D1142" s="364" t="s">
        <v>1501</v>
      </c>
    </row>
    <row r="1143" spans="1:4" ht="18" x14ac:dyDescent="0.25">
      <c r="A1143" s="119">
        <v>2106</v>
      </c>
      <c r="B1143" s="217" t="s">
        <v>1331</v>
      </c>
      <c r="C1143" s="986" t="s">
        <v>2025</v>
      </c>
      <c r="D1143" s="422" t="s">
        <v>1502</v>
      </c>
    </row>
    <row r="1144" spans="1:4" ht="20" x14ac:dyDescent="0.25">
      <c r="A1144" s="119" t="s">
        <v>337</v>
      </c>
      <c r="B1144" s="215" t="s">
        <v>1503</v>
      </c>
      <c r="C1144" s="925"/>
      <c r="D1144" s="417" t="s">
        <v>1503</v>
      </c>
    </row>
    <row r="1145" spans="1:4" ht="26" x14ac:dyDescent="0.25">
      <c r="A1145" s="119">
        <v>2108</v>
      </c>
      <c r="B1145" s="53" t="s">
        <v>1504</v>
      </c>
      <c r="C1145" s="926"/>
      <c r="D1145" s="363" t="s">
        <v>1504</v>
      </c>
    </row>
    <row r="1146" spans="1:4" ht="40" x14ac:dyDescent="0.25">
      <c r="A1146" s="119" t="s">
        <v>337</v>
      </c>
      <c r="B1146" s="193" t="s">
        <v>1505</v>
      </c>
      <c r="C1146" s="924"/>
      <c r="D1146" s="364" t="s">
        <v>1505</v>
      </c>
    </row>
    <row r="1147" spans="1:4" ht="20" x14ac:dyDescent="0.25">
      <c r="A1147" s="119" t="s">
        <v>337</v>
      </c>
      <c r="B1147" s="383" t="s">
        <v>1506</v>
      </c>
      <c r="C1147" s="924"/>
      <c r="D1147" s="364" t="s">
        <v>1506</v>
      </c>
    </row>
    <row r="1148" spans="1:4" x14ac:dyDescent="0.25">
      <c r="A1148" s="119" t="s">
        <v>337</v>
      </c>
      <c r="B1148" s="212" t="s">
        <v>1507</v>
      </c>
      <c r="C1148" s="926"/>
      <c r="D1148" s="418" t="s">
        <v>1507</v>
      </c>
    </row>
    <row r="1149" spans="1:4" x14ac:dyDescent="0.25">
      <c r="A1149" s="119">
        <v>2112</v>
      </c>
      <c r="B1149" s="404" t="s">
        <v>1508</v>
      </c>
      <c r="C1149" s="926"/>
      <c r="D1149" s="418" t="s">
        <v>1508</v>
      </c>
    </row>
    <row r="1150" spans="1:4" x14ac:dyDescent="0.25">
      <c r="A1150" s="119">
        <v>2113</v>
      </c>
      <c r="B1150" s="407" t="s">
        <v>1509</v>
      </c>
      <c r="C1150" s="992"/>
      <c r="D1150" s="418" t="s">
        <v>1509</v>
      </c>
    </row>
    <row r="1151" spans="1:4" x14ac:dyDescent="0.25">
      <c r="A1151" s="119">
        <v>2114</v>
      </c>
      <c r="B1151" s="212" t="s">
        <v>145</v>
      </c>
      <c r="C1151" s="926"/>
      <c r="D1151" s="418" t="s">
        <v>145</v>
      </c>
    </row>
    <row r="1152" spans="1:4" x14ac:dyDescent="0.25">
      <c r="A1152" s="119">
        <v>2115</v>
      </c>
      <c r="B1152" s="212" t="s">
        <v>146</v>
      </c>
      <c r="C1152" s="926"/>
      <c r="D1152" s="418" t="s">
        <v>146</v>
      </c>
    </row>
    <row r="1153" spans="1:4" x14ac:dyDescent="0.25">
      <c r="A1153" s="119">
        <v>2116</v>
      </c>
      <c r="B1153" s="212" t="s">
        <v>147</v>
      </c>
      <c r="C1153" s="926"/>
      <c r="D1153" s="418" t="s">
        <v>147</v>
      </c>
    </row>
    <row r="1154" spans="1:4" x14ac:dyDescent="0.25">
      <c r="A1154" s="119">
        <v>2117</v>
      </c>
      <c r="B1154" s="212" t="s">
        <v>149</v>
      </c>
      <c r="C1154" s="926"/>
      <c r="D1154" s="418" t="s">
        <v>149</v>
      </c>
    </row>
    <row r="1155" spans="1:4" x14ac:dyDescent="0.25">
      <c r="A1155" s="119" t="s">
        <v>337</v>
      </c>
      <c r="B1155" s="212" t="s">
        <v>1510</v>
      </c>
      <c r="C1155" s="926"/>
      <c r="D1155" s="418" t="s">
        <v>1510</v>
      </c>
    </row>
    <row r="1156" spans="1:4" ht="21" x14ac:dyDescent="0.25">
      <c r="A1156" s="119">
        <v>2119</v>
      </c>
      <c r="B1156" s="428" t="s">
        <v>1511</v>
      </c>
      <c r="C1156" s="926"/>
      <c r="D1156" s="418" t="s">
        <v>1511</v>
      </c>
    </row>
    <row r="1157" spans="1:4" ht="15.65" customHeight="1" x14ac:dyDescent="0.35">
      <c r="A1157" s="119" t="s">
        <v>337</v>
      </c>
      <c r="B1157" s="79" t="s">
        <v>1512</v>
      </c>
      <c r="C1157" s="985"/>
      <c r="D1157" s="365" t="s">
        <v>1512</v>
      </c>
    </row>
    <row r="1158" spans="1:4" ht="18" x14ac:dyDescent="0.25">
      <c r="A1158" s="119">
        <v>2121</v>
      </c>
      <c r="B1158" s="384" t="s">
        <v>1513</v>
      </c>
      <c r="C1158" s="993"/>
      <c r="D1158" s="416" t="s">
        <v>1513</v>
      </c>
    </row>
    <row r="1159" spans="1:4" ht="70" x14ac:dyDescent="0.25">
      <c r="A1159" s="119" t="s">
        <v>337</v>
      </c>
      <c r="B1159" s="387" t="s">
        <v>1514</v>
      </c>
      <c r="C1159" s="936"/>
      <c r="D1159" s="426" t="s">
        <v>1514</v>
      </c>
    </row>
    <row r="1160" spans="1:4" ht="25" x14ac:dyDescent="0.25">
      <c r="A1160" s="119" t="s">
        <v>337</v>
      </c>
      <c r="B1160" s="324" t="s">
        <v>1515</v>
      </c>
      <c r="C1160" s="936"/>
      <c r="D1160" s="415" t="s">
        <v>1515</v>
      </c>
    </row>
    <row r="1161" spans="1:4" ht="57.5" x14ac:dyDescent="0.25">
      <c r="A1161" s="119" t="s">
        <v>337</v>
      </c>
      <c r="B1161" s="388" t="s">
        <v>1516</v>
      </c>
      <c r="C1161" s="918"/>
      <c r="D1161" s="427" t="s">
        <v>1516</v>
      </c>
    </row>
    <row r="1162" spans="1:4" ht="24" x14ac:dyDescent="0.25">
      <c r="A1162" s="119">
        <v>2125</v>
      </c>
      <c r="B1162" s="386" t="s">
        <v>1517</v>
      </c>
      <c r="C1162" s="918"/>
      <c r="D1162" s="398" t="s">
        <v>1517</v>
      </c>
    </row>
    <row r="1163" spans="1:4" x14ac:dyDescent="0.25">
      <c r="A1163" s="119">
        <v>2126</v>
      </c>
      <c r="B1163" s="386" t="s">
        <v>1518</v>
      </c>
      <c r="C1163" s="918"/>
      <c r="D1163" s="398" t="s">
        <v>1518</v>
      </c>
    </row>
    <row r="1164" spans="1:4" ht="48" x14ac:dyDescent="0.25">
      <c r="A1164" s="119" t="s">
        <v>337</v>
      </c>
      <c r="B1164" s="386" t="s">
        <v>1519</v>
      </c>
      <c r="C1164" s="918"/>
      <c r="D1164" s="398" t="s">
        <v>1519</v>
      </c>
    </row>
    <row r="1165" spans="1:4" ht="24" x14ac:dyDescent="0.25">
      <c r="A1165" s="119" t="s">
        <v>337</v>
      </c>
      <c r="B1165" s="386" t="s">
        <v>1520</v>
      </c>
      <c r="C1165" s="918"/>
      <c r="D1165" s="398" t="s">
        <v>1520</v>
      </c>
    </row>
    <row r="1166" spans="1:4" x14ac:dyDescent="0.25">
      <c r="A1166" s="119">
        <v>2129</v>
      </c>
      <c r="B1166" s="326" t="s">
        <v>1521</v>
      </c>
      <c r="C1166" s="939"/>
      <c r="D1166" s="360" t="s">
        <v>1521</v>
      </c>
    </row>
    <row r="1167" spans="1:4" x14ac:dyDescent="0.25">
      <c r="A1167" s="119">
        <v>2130</v>
      </c>
      <c r="B1167" s="385" t="s">
        <v>1522</v>
      </c>
      <c r="C1167" s="939"/>
      <c r="D1167" s="414" t="s">
        <v>1523</v>
      </c>
    </row>
    <row r="1168" spans="1:4" x14ac:dyDescent="0.25">
      <c r="A1168" s="119">
        <v>2131</v>
      </c>
      <c r="B1168" s="385" t="s">
        <v>1524</v>
      </c>
      <c r="C1168" s="939"/>
      <c r="D1168" s="414" t="s">
        <v>1525</v>
      </c>
    </row>
    <row r="1169" spans="1:4" x14ac:dyDescent="0.25">
      <c r="A1169" s="119">
        <v>2132</v>
      </c>
      <c r="B1169" s="385" t="s">
        <v>1526</v>
      </c>
      <c r="C1169" s="939"/>
      <c r="D1169" s="414" t="s">
        <v>1526</v>
      </c>
    </row>
    <row r="1170" spans="1:4" x14ac:dyDescent="0.25">
      <c r="A1170" s="119">
        <v>2133</v>
      </c>
      <c r="B1170" s="385" t="s">
        <v>1527</v>
      </c>
      <c r="C1170" s="939"/>
      <c r="D1170" s="414" t="s">
        <v>1527</v>
      </c>
    </row>
    <row r="1171" spans="1:4" x14ac:dyDescent="0.25">
      <c r="A1171" s="119" t="s">
        <v>337</v>
      </c>
      <c r="B1171" s="385" t="s">
        <v>1528</v>
      </c>
      <c r="C1171" s="939"/>
      <c r="D1171" s="414" t="s">
        <v>1528</v>
      </c>
    </row>
    <row r="1172" spans="1:4" ht="60" x14ac:dyDescent="0.25">
      <c r="A1172" s="119">
        <v>2135</v>
      </c>
      <c r="B1172" s="391" t="s">
        <v>1529</v>
      </c>
      <c r="C1172" s="918"/>
      <c r="D1172" s="398" t="s">
        <v>1529</v>
      </c>
    </row>
    <row r="1173" spans="1:4" x14ac:dyDescent="0.25">
      <c r="A1173" s="119">
        <v>2136</v>
      </c>
      <c r="B1173" s="326" t="s">
        <v>1530</v>
      </c>
      <c r="C1173" s="939"/>
      <c r="D1173" s="360" t="s">
        <v>1530</v>
      </c>
    </row>
    <row r="1174" spans="1:4" x14ac:dyDescent="0.25">
      <c r="A1174" s="119">
        <v>2137</v>
      </c>
      <c r="B1174" s="326" t="s">
        <v>1531</v>
      </c>
      <c r="C1174" s="939"/>
      <c r="D1174" s="360" t="s">
        <v>1531</v>
      </c>
    </row>
    <row r="1175" spans="1:4" ht="48" x14ac:dyDescent="0.25">
      <c r="A1175" s="119" t="s">
        <v>337</v>
      </c>
      <c r="B1175" s="386" t="s">
        <v>1532</v>
      </c>
      <c r="C1175" s="918"/>
      <c r="D1175" s="398" t="s">
        <v>1532</v>
      </c>
    </row>
    <row r="1176" spans="1:4" x14ac:dyDescent="0.25">
      <c r="A1176" s="119">
        <v>2139</v>
      </c>
      <c r="B1176" s="392" t="s">
        <v>1533</v>
      </c>
      <c r="C1176" s="936"/>
      <c r="D1176" s="415" t="s">
        <v>1533</v>
      </c>
    </row>
    <row r="1177" spans="1:4" ht="16" thickBot="1" x14ac:dyDescent="0.3">
      <c r="A1177" s="119">
        <v>2140</v>
      </c>
      <c r="B1177" s="392" t="s">
        <v>1534</v>
      </c>
      <c r="C1177" s="936"/>
      <c r="D1177" s="415" t="s">
        <v>1534</v>
      </c>
    </row>
    <row r="1178" spans="1:4" ht="16" thickBot="1" x14ac:dyDescent="0.3">
      <c r="A1178" s="119" t="s">
        <v>337</v>
      </c>
      <c r="B1178" s="393" t="s">
        <v>1535</v>
      </c>
      <c r="C1178" s="936"/>
      <c r="D1178" s="415" t="s">
        <v>1535</v>
      </c>
    </row>
    <row r="1179" spans="1:4" x14ac:dyDescent="0.25">
      <c r="A1179" s="119">
        <v>2142</v>
      </c>
      <c r="B1179" s="408" t="s">
        <v>1536</v>
      </c>
      <c r="C1179" s="936"/>
      <c r="D1179" s="415" t="s">
        <v>1536</v>
      </c>
    </row>
    <row r="1180" spans="1:4" x14ac:dyDescent="0.25">
      <c r="A1180" s="119" t="s">
        <v>337</v>
      </c>
      <c r="B1180" s="389" t="s">
        <v>1537</v>
      </c>
      <c r="C1180" s="940"/>
      <c r="D1180" s="904" t="s">
        <v>1537</v>
      </c>
    </row>
    <row r="1181" spans="1:4" x14ac:dyDescent="0.25">
      <c r="A1181" s="119">
        <v>2144</v>
      </c>
      <c r="B1181" s="326" t="s">
        <v>1538</v>
      </c>
      <c r="C1181" s="939"/>
      <c r="D1181" s="360" t="s">
        <v>1538</v>
      </c>
    </row>
    <row r="1182" spans="1:4" ht="48" x14ac:dyDescent="0.25">
      <c r="A1182" s="119" t="s">
        <v>337</v>
      </c>
      <c r="B1182" s="386" t="s">
        <v>1539</v>
      </c>
      <c r="C1182" s="918"/>
      <c r="D1182" s="398" t="s">
        <v>1539</v>
      </c>
    </row>
    <row r="1183" spans="1:4" x14ac:dyDescent="0.35">
      <c r="A1183" s="119" t="s">
        <v>337</v>
      </c>
      <c r="B1183" t="s">
        <v>1540</v>
      </c>
      <c r="C1183" s="909"/>
      <c r="D1183" s="12" t="s">
        <v>1540</v>
      </c>
    </row>
    <row r="1184" spans="1:4" x14ac:dyDescent="0.25">
      <c r="A1184" s="119">
        <v>2147</v>
      </c>
      <c r="B1184" s="409" t="s">
        <v>1541</v>
      </c>
      <c r="C1184" s="936"/>
      <c r="D1184" s="415" t="s">
        <v>1541</v>
      </c>
    </row>
    <row r="1185" spans="1:4" x14ac:dyDescent="0.25">
      <c r="A1185" s="119">
        <v>2148</v>
      </c>
      <c r="B1185" s="409" t="s">
        <v>1542</v>
      </c>
      <c r="C1185" s="936"/>
      <c r="D1185" s="415" t="s">
        <v>1542</v>
      </c>
    </row>
    <row r="1186" spans="1:4" x14ac:dyDescent="0.25">
      <c r="A1186" s="119">
        <v>2149</v>
      </c>
      <c r="B1186" s="410" t="s">
        <v>1543</v>
      </c>
      <c r="C1186" s="936"/>
      <c r="D1186" s="415" t="s">
        <v>1544</v>
      </c>
    </row>
    <row r="1187" spans="1:4" x14ac:dyDescent="0.25">
      <c r="A1187" s="119">
        <v>2150</v>
      </c>
      <c r="B1187" s="409" t="s">
        <v>1545</v>
      </c>
      <c r="C1187" s="936"/>
      <c r="D1187" s="415" t="s">
        <v>1545</v>
      </c>
    </row>
    <row r="1188" spans="1:4" x14ac:dyDescent="0.25">
      <c r="A1188" s="119">
        <v>2151</v>
      </c>
      <c r="B1188" s="409" t="s">
        <v>1546</v>
      </c>
      <c r="C1188" s="936"/>
      <c r="D1188" s="415" t="s">
        <v>1546</v>
      </c>
    </row>
    <row r="1189" spans="1:4" x14ac:dyDescent="0.25">
      <c r="A1189" s="119" t="s">
        <v>337</v>
      </c>
      <c r="B1189" s="409" t="s">
        <v>1547</v>
      </c>
      <c r="C1189" s="936"/>
      <c r="D1189" s="415" t="s">
        <v>1547</v>
      </c>
    </row>
    <row r="1190" spans="1:4" x14ac:dyDescent="0.25">
      <c r="A1190" s="119">
        <v>2153</v>
      </c>
      <c r="B1190" s="409" t="s">
        <v>1548</v>
      </c>
      <c r="C1190" s="936"/>
      <c r="D1190" s="415" t="s">
        <v>1549</v>
      </c>
    </row>
    <row r="1191" spans="1:4" x14ac:dyDescent="0.25">
      <c r="A1191" s="119">
        <v>2154</v>
      </c>
      <c r="B1191" s="411" t="s">
        <v>1550</v>
      </c>
      <c r="C1191" s="936"/>
      <c r="D1191" s="415" t="s">
        <v>1550</v>
      </c>
    </row>
    <row r="1192" spans="1:4" x14ac:dyDescent="0.25">
      <c r="A1192" s="119">
        <v>2155</v>
      </c>
      <c r="B1192" s="409" t="s">
        <v>1551</v>
      </c>
      <c r="C1192" s="936"/>
      <c r="D1192" s="415" t="s">
        <v>1551</v>
      </c>
    </row>
    <row r="1193" spans="1:4" x14ac:dyDescent="0.25">
      <c r="A1193" s="119">
        <v>2156</v>
      </c>
      <c r="B1193" s="409" t="s">
        <v>1552</v>
      </c>
      <c r="C1193" s="936"/>
      <c r="D1193" s="415" t="s">
        <v>1552</v>
      </c>
    </row>
    <row r="1194" spans="1:4" x14ac:dyDescent="0.35">
      <c r="A1194" s="119">
        <v>2157</v>
      </c>
      <c r="B1194" s="394" t="s">
        <v>1553</v>
      </c>
      <c r="C1194" s="941"/>
      <c r="D1194" s="414" t="s">
        <v>1553</v>
      </c>
    </row>
    <row r="1195" spans="1:4" x14ac:dyDescent="0.35">
      <c r="A1195" s="119">
        <v>2158</v>
      </c>
      <c r="B1195" s="202" t="s">
        <v>1554</v>
      </c>
      <c r="C1195" s="933"/>
      <c r="D1195" s="414" t="s">
        <v>1554</v>
      </c>
    </row>
    <row r="1196" spans="1:4" x14ac:dyDescent="0.35">
      <c r="A1196" s="119">
        <v>2159</v>
      </c>
      <c r="B1196" s="202" t="s">
        <v>1555</v>
      </c>
      <c r="C1196" s="933"/>
      <c r="D1196" s="414" t="s">
        <v>1555</v>
      </c>
    </row>
    <row r="1197" spans="1:4" x14ac:dyDescent="0.35">
      <c r="A1197" s="119">
        <v>2160</v>
      </c>
      <c r="B1197" s="202" t="s">
        <v>118</v>
      </c>
      <c r="C1197" s="933"/>
      <c r="D1197" s="414" t="s">
        <v>118</v>
      </c>
    </row>
    <row r="1198" spans="1:4" x14ac:dyDescent="0.35">
      <c r="A1198" s="119">
        <v>2161</v>
      </c>
      <c r="B1198" s="25" t="s">
        <v>1556</v>
      </c>
      <c r="C1198" s="933"/>
      <c r="D1198" s="414" t="s">
        <v>1556</v>
      </c>
    </row>
    <row r="1199" spans="1:4" x14ac:dyDescent="0.35">
      <c r="A1199" s="119">
        <v>2162</v>
      </c>
      <c r="B1199" s="25" t="s">
        <v>1557</v>
      </c>
      <c r="C1199" s="933"/>
      <c r="D1199" s="414" t="s">
        <v>1557</v>
      </c>
    </row>
    <row r="1200" spans="1:4" x14ac:dyDescent="0.35">
      <c r="A1200" s="119">
        <v>2163</v>
      </c>
      <c r="B1200" s="395" t="s">
        <v>238</v>
      </c>
      <c r="C1200" s="932"/>
      <c r="D1200" s="414" t="s">
        <v>238</v>
      </c>
    </row>
    <row r="1201" spans="1:4" x14ac:dyDescent="0.35">
      <c r="A1201" s="119">
        <v>2164</v>
      </c>
      <c r="B1201" s="395" t="s">
        <v>1558</v>
      </c>
      <c r="C1201" s="932"/>
      <c r="D1201" s="414" t="s">
        <v>1558</v>
      </c>
    </row>
    <row r="1202" spans="1:4" x14ac:dyDescent="0.35">
      <c r="A1202" s="119">
        <v>2165</v>
      </c>
      <c r="B1202" s="202" t="s">
        <v>32</v>
      </c>
      <c r="C1202" s="933"/>
      <c r="D1202" s="414" t="s">
        <v>32</v>
      </c>
    </row>
    <row r="1203" spans="1:4" x14ac:dyDescent="0.35">
      <c r="A1203" s="119">
        <v>2166</v>
      </c>
      <c r="B1203" s="25" t="s">
        <v>1559</v>
      </c>
      <c r="C1203" s="933"/>
      <c r="D1203" s="414" t="s">
        <v>1559</v>
      </c>
    </row>
    <row r="1204" spans="1:4" x14ac:dyDescent="0.35">
      <c r="A1204" s="119">
        <v>2167</v>
      </c>
      <c r="B1204" s="25" t="s">
        <v>1560</v>
      </c>
      <c r="C1204" s="933"/>
      <c r="D1204" s="414" t="s">
        <v>1560</v>
      </c>
    </row>
    <row r="1205" spans="1:4" x14ac:dyDescent="0.35">
      <c r="A1205" s="119">
        <v>2168</v>
      </c>
      <c r="B1205" s="25" t="s">
        <v>1561</v>
      </c>
      <c r="C1205" s="933"/>
      <c r="D1205" s="414" t="s">
        <v>1561</v>
      </c>
    </row>
    <row r="1206" spans="1:4" x14ac:dyDescent="0.35">
      <c r="A1206" s="119">
        <v>2169</v>
      </c>
      <c r="B1206" s="25" t="s">
        <v>1562</v>
      </c>
      <c r="C1206" s="933"/>
      <c r="D1206" s="414" t="s">
        <v>1562</v>
      </c>
    </row>
    <row r="1207" spans="1:4" x14ac:dyDescent="0.35">
      <c r="A1207" s="119">
        <v>2170</v>
      </c>
      <c r="B1207" s="25" t="s">
        <v>1563</v>
      </c>
      <c r="C1207" s="933"/>
      <c r="D1207" s="414" t="s">
        <v>1563</v>
      </c>
    </row>
    <row r="1208" spans="1:4" x14ac:dyDescent="0.35">
      <c r="A1208" s="119">
        <v>2171</v>
      </c>
      <c r="B1208" s="25" t="s">
        <v>1564</v>
      </c>
      <c r="C1208" s="933"/>
      <c r="D1208" s="414" t="s">
        <v>1564</v>
      </c>
    </row>
    <row r="1209" spans="1:4" x14ac:dyDescent="0.35">
      <c r="A1209" s="119">
        <v>2172</v>
      </c>
      <c r="B1209" s="25" t="s">
        <v>1565</v>
      </c>
      <c r="C1209" s="933"/>
      <c r="D1209" s="414" t="s">
        <v>1565</v>
      </c>
    </row>
    <row r="1210" spans="1:4" x14ac:dyDescent="0.35">
      <c r="A1210" s="119">
        <v>2173</v>
      </c>
      <c r="B1210" s="25" t="s">
        <v>1566</v>
      </c>
      <c r="C1210" s="933"/>
      <c r="D1210" s="414" t="s">
        <v>1566</v>
      </c>
    </row>
    <row r="1211" spans="1:4" x14ac:dyDescent="0.35">
      <c r="A1211" s="119">
        <v>2174</v>
      </c>
      <c r="B1211" s="25" t="s">
        <v>1567</v>
      </c>
      <c r="C1211" s="933"/>
      <c r="D1211" s="414" t="s">
        <v>1567</v>
      </c>
    </row>
    <row r="1212" spans="1:4" x14ac:dyDescent="0.35">
      <c r="A1212" s="119">
        <v>2175</v>
      </c>
      <c r="B1212" s="25" t="s">
        <v>1568</v>
      </c>
      <c r="C1212" s="933"/>
      <c r="D1212" s="414" t="s">
        <v>1568</v>
      </c>
    </row>
    <row r="1213" spans="1:4" x14ac:dyDescent="0.35">
      <c r="A1213" s="119">
        <v>2176</v>
      </c>
      <c r="B1213" s="25" t="s">
        <v>1569</v>
      </c>
      <c r="C1213" s="933"/>
      <c r="D1213" s="414" t="s">
        <v>1569</v>
      </c>
    </row>
    <row r="1214" spans="1:4" x14ac:dyDescent="0.35">
      <c r="A1214" s="119">
        <v>2177</v>
      </c>
      <c r="B1214" s="25" t="s">
        <v>1570</v>
      </c>
      <c r="C1214" s="933"/>
      <c r="D1214" s="414" t="s">
        <v>1570</v>
      </c>
    </row>
    <row r="1215" spans="1:4" x14ac:dyDescent="0.35">
      <c r="A1215" s="119">
        <v>2178</v>
      </c>
      <c r="B1215" s="25" t="s">
        <v>1571</v>
      </c>
      <c r="C1215" s="933"/>
      <c r="D1215" s="414" t="s">
        <v>1571</v>
      </c>
    </row>
    <row r="1216" spans="1:4" x14ac:dyDescent="0.35">
      <c r="A1216" s="119">
        <v>2179</v>
      </c>
      <c r="B1216" s="25" t="s">
        <v>1572</v>
      </c>
      <c r="C1216" s="933"/>
      <c r="D1216" s="414" t="s">
        <v>1572</v>
      </c>
    </row>
    <row r="1217" spans="1:4" x14ac:dyDescent="0.35">
      <c r="A1217" s="119">
        <v>2180</v>
      </c>
      <c r="B1217" s="25" t="s">
        <v>1573</v>
      </c>
      <c r="C1217" s="933"/>
      <c r="D1217" s="414" t="s">
        <v>1573</v>
      </c>
    </row>
    <row r="1218" spans="1:4" x14ac:dyDescent="0.35">
      <c r="A1218" s="119">
        <v>2181</v>
      </c>
      <c r="B1218" s="25" t="s">
        <v>1574</v>
      </c>
      <c r="C1218" s="933"/>
      <c r="D1218" s="414" t="s">
        <v>1574</v>
      </c>
    </row>
    <row r="1219" spans="1:4" x14ac:dyDescent="0.35">
      <c r="A1219" s="119">
        <v>2182</v>
      </c>
      <c r="B1219" s="25" t="s">
        <v>1575</v>
      </c>
      <c r="C1219" s="933"/>
      <c r="D1219" s="414" t="s">
        <v>1575</v>
      </c>
    </row>
    <row r="1220" spans="1:4" x14ac:dyDescent="0.35">
      <c r="A1220" s="119">
        <v>2183</v>
      </c>
      <c r="B1220" s="25" t="s">
        <v>1576</v>
      </c>
      <c r="C1220" s="933"/>
      <c r="D1220" s="414" t="s">
        <v>1576</v>
      </c>
    </row>
    <row r="1221" spans="1:4" x14ac:dyDescent="0.35">
      <c r="A1221" s="119">
        <v>2184</v>
      </c>
      <c r="B1221" s="25" t="s">
        <v>1577</v>
      </c>
      <c r="C1221" s="933"/>
      <c r="D1221" s="414" t="s">
        <v>1577</v>
      </c>
    </row>
    <row r="1222" spans="1:4" x14ac:dyDescent="0.35">
      <c r="A1222" s="119">
        <v>2185</v>
      </c>
      <c r="B1222" s="25" t="s">
        <v>1578</v>
      </c>
      <c r="C1222" s="933"/>
      <c r="D1222" s="414" t="s">
        <v>1578</v>
      </c>
    </row>
    <row r="1223" spans="1:4" x14ac:dyDescent="0.35">
      <c r="A1223" s="119">
        <v>2186</v>
      </c>
      <c r="B1223" s="25" t="s">
        <v>1579</v>
      </c>
      <c r="C1223" s="933"/>
      <c r="D1223" s="414" t="s">
        <v>1579</v>
      </c>
    </row>
    <row r="1224" spans="1:4" x14ac:dyDescent="0.35">
      <c r="A1224" s="119">
        <v>2187</v>
      </c>
      <c r="B1224" s="25" t="s">
        <v>1580</v>
      </c>
      <c r="C1224" s="933"/>
      <c r="D1224" s="414" t="s">
        <v>1580</v>
      </c>
    </row>
    <row r="1225" spans="1:4" x14ac:dyDescent="0.35">
      <c r="A1225" s="119">
        <v>2188</v>
      </c>
      <c r="B1225" s="25" t="s">
        <v>1581</v>
      </c>
      <c r="C1225" s="933"/>
      <c r="D1225" s="414" t="s">
        <v>1581</v>
      </c>
    </row>
    <row r="1226" spans="1:4" x14ac:dyDescent="0.35">
      <c r="A1226" s="119">
        <v>2189</v>
      </c>
      <c r="B1226" s="25" t="s">
        <v>1582</v>
      </c>
      <c r="C1226" s="933"/>
      <c r="D1226" s="414" t="s">
        <v>1582</v>
      </c>
    </row>
    <row r="1227" spans="1:4" x14ac:dyDescent="0.35">
      <c r="A1227" s="119">
        <v>2190</v>
      </c>
      <c r="B1227" s="25" t="s">
        <v>1583</v>
      </c>
      <c r="C1227" s="933"/>
      <c r="D1227" s="414" t="s">
        <v>1583</v>
      </c>
    </row>
    <row r="1228" spans="1:4" ht="25" x14ac:dyDescent="0.25">
      <c r="A1228" s="119" t="s">
        <v>337</v>
      </c>
      <c r="B1228" s="891" t="s">
        <v>1584</v>
      </c>
      <c r="C1228" s="935"/>
      <c r="D1228" s="451" t="s">
        <v>1584</v>
      </c>
    </row>
    <row r="1229" spans="1:4" ht="52.5" x14ac:dyDescent="0.25">
      <c r="A1229" s="119" t="s">
        <v>337</v>
      </c>
      <c r="B1229" s="191" t="s">
        <v>1585</v>
      </c>
      <c r="C1229" s="922"/>
      <c r="D1229" s="451" t="s">
        <v>1585</v>
      </c>
    </row>
    <row r="1230" spans="1:4" x14ac:dyDescent="0.25">
      <c r="A1230" s="119" t="s">
        <v>337</v>
      </c>
      <c r="B1230" s="193" t="s">
        <v>1586</v>
      </c>
      <c r="C1230" s="924"/>
      <c r="D1230" s="451" t="s">
        <v>1586</v>
      </c>
    </row>
    <row r="1231" spans="1:4" x14ac:dyDescent="0.35">
      <c r="A1231" s="119">
        <v>2194</v>
      </c>
      <c r="B1231" s="430" t="s">
        <v>1587</v>
      </c>
      <c r="C1231" s="942"/>
      <c r="D1231" s="451" t="s">
        <v>1587</v>
      </c>
    </row>
    <row r="1232" spans="1:4" x14ac:dyDescent="0.35">
      <c r="A1232" s="119">
        <v>2195</v>
      </c>
      <c r="B1232" s="431" t="s">
        <v>1588</v>
      </c>
      <c r="C1232" s="943"/>
      <c r="D1232" s="451" t="s">
        <v>1588</v>
      </c>
    </row>
    <row r="1233" spans="1:4" x14ac:dyDescent="0.35">
      <c r="A1233" s="119">
        <v>2196</v>
      </c>
      <c r="B1233" s="431" t="s">
        <v>1589</v>
      </c>
      <c r="C1233" s="943"/>
      <c r="D1233" s="451" t="s">
        <v>1589</v>
      </c>
    </row>
    <row r="1234" spans="1:4" x14ac:dyDescent="0.35">
      <c r="A1234" s="119">
        <v>2197</v>
      </c>
      <c r="B1234" s="431" t="s">
        <v>1590</v>
      </c>
      <c r="C1234" s="943"/>
      <c r="D1234" s="451" t="s">
        <v>1590</v>
      </c>
    </row>
    <row r="1235" spans="1:4" x14ac:dyDescent="0.35">
      <c r="A1235" s="119">
        <v>2198</v>
      </c>
      <c r="B1235" s="431" t="s">
        <v>1591</v>
      </c>
      <c r="C1235" s="943"/>
      <c r="D1235" s="451" t="s">
        <v>1591</v>
      </c>
    </row>
    <row r="1236" spans="1:4" x14ac:dyDescent="0.35">
      <c r="A1236" s="119">
        <v>2199</v>
      </c>
      <c r="B1236" s="431" t="s">
        <v>1592</v>
      </c>
      <c r="C1236" s="943"/>
      <c r="D1236" s="451" t="s">
        <v>1592</v>
      </c>
    </row>
    <row r="1237" spans="1:4" x14ac:dyDescent="0.35">
      <c r="A1237" s="119">
        <v>2200</v>
      </c>
      <c r="B1237" s="431" t="s">
        <v>1593</v>
      </c>
      <c r="C1237" s="943"/>
      <c r="D1237" s="451" t="s">
        <v>1593</v>
      </c>
    </row>
    <row r="1238" spans="1:4" x14ac:dyDescent="0.35">
      <c r="A1238" s="119">
        <v>2201</v>
      </c>
      <c r="B1238" s="431" t="s">
        <v>1594</v>
      </c>
      <c r="C1238" s="943"/>
      <c r="D1238" s="451" t="s">
        <v>1594</v>
      </c>
    </row>
    <row r="1239" spans="1:4" x14ac:dyDescent="0.35">
      <c r="A1239" s="119">
        <v>2202</v>
      </c>
      <c r="B1239" s="431" t="s">
        <v>1595</v>
      </c>
      <c r="C1239" s="943"/>
      <c r="D1239" s="451" t="s">
        <v>1595</v>
      </c>
    </row>
    <row r="1240" spans="1:4" x14ac:dyDescent="0.35">
      <c r="A1240" s="119">
        <v>2203</v>
      </c>
      <c r="B1240" s="431" t="s">
        <v>1596</v>
      </c>
      <c r="C1240" s="943"/>
      <c r="D1240" s="451" t="s">
        <v>1596</v>
      </c>
    </row>
    <row r="1241" spans="1:4" x14ac:dyDescent="0.35">
      <c r="A1241" s="119">
        <v>2204</v>
      </c>
      <c r="B1241" s="431" t="s">
        <v>1597</v>
      </c>
      <c r="C1241" s="943"/>
      <c r="D1241" s="451" t="s">
        <v>1597</v>
      </c>
    </row>
    <row r="1242" spans="1:4" x14ac:dyDescent="0.35">
      <c r="A1242" s="119">
        <v>2205</v>
      </c>
      <c r="B1242" s="431" t="s">
        <v>1598</v>
      </c>
      <c r="C1242" s="943"/>
      <c r="D1242" s="451" t="s">
        <v>1598</v>
      </c>
    </row>
    <row r="1243" spans="1:4" x14ac:dyDescent="0.25">
      <c r="A1243" s="476" t="s">
        <v>337</v>
      </c>
      <c r="B1243" s="476" t="s">
        <v>1599</v>
      </c>
      <c r="C1243" s="944"/>
      <c r="D1243" s="476" t="s">
        <v>1599</v>
      </c>
    </row>
    <row r="1244" spans="1:4" ht="50" x14ac:dyDescent="0.25">
      <c r="A1244" s="119">
        <v>2500</v>
      </c>
      <c r="B1244" s="196" t="s">
        <v>2034</v>
      </c>
      <c r="C1244" s="935" t="s">
        <v>2025</v>
      </c>
      <c r="D1244" s="413" t="s">
        <v>1600</v>
      </c>
    </row>
    <row r="1245" spans="1:4" x14ac:dyDescent="0.35">
      <c r="A1245" s="119">
        <v>2501</v>
      </c>
      <c r="B1245" t="s">
        <v>1601</v>
      </c>
      <c r="C1245" s="909"/>
      <c r="D1245" s="482" t="s">
        <v>1601</v>
      </c>
    </row>
    <row r="1246" spans="1:4" x14ac:dyDescent="0.35">
      <c r="A1246" s="119">
        <v>2502</v>
      </c>
      <c r="B1246" t="s">
        <v>1602</v>
      </c>
      <c r="C1246" s="909"/>
      <c r="D1246" s="482" t="s">
        <v>1602</v>
      </c>
    </row>
    <row r="1247" spans="1:4" ht="26" x14ac:dyDescent="0.25">
      <c r="A1247" s="119">
        <v>2503</v>
      </c>
      <c r="B1247" s="378" t="s">
        <v>1603</v>
      </c>
      <c r="C1247" s="920"/>
      <c r="D1247" s="397" t="s">
        <v>1603</v>
      </c>
    </row>
    <row r="1248" spans="1:4" ht="20" x14ac:dyDescent="0.25">
      <c r="A1248" s="119">
        <v>2504</v>
      </c>
      <c r="B1248" s="199" t="s">
        <v>1604</v>
      </c>
      <c r="C1248" s="918"/>
      <c r="D1248" s="361" t="s">
        <v>1604</v>
      </c>
    </row>
    <row r="1249" spans="1:4" x14ac:dyDescent="0.25">
      <c r="A1249" s="119">
        <v>2505</v>
      </c>
      <c r="B1249" s="470" t="s">
        <v>1605</v>
      </c>
      <c r="C1249" s="945"/>
      <c r="D1249" s="483" t="s">
        <v>1605</v>
      </c>
    </row>
    <row r="1250" spans="1:4" ht="37.5" x14ac:dyDescent="0.25">
      <c r="A1250" s="119">
        <v>2506</v>
      </c>
      <c r="B1250" s="471" t="s">
        <v>1606</v>
      </c>
      <c r="C1250" s="945"/>
      <c r="D1250" s="484" t="s">
        <v>1606</v>
      </c>
    </row>
    <row r="1251" spans="1:4" x14ac:dyDescent="0.35">
      <c r="A1251" s="119" t="s">
        <v>337</v>
      </c>
      <c r="B1251" t="s">
        <v>1607</v>
      </c>
      <c r="C1251" s="909"/>
      <c r="D1251" s="482" t="s">
        <v>1607</v>
      </c>
    </row>
    <row r="1252" spans="1:4" ht="37.5" x14ac:dyDescent="0.25">
      <c r="A1252" s="119">
        <v>2508</v>
      </c>
      <c r="B1252" s="471" t="s">
        <v>1608</v>
      </c>
      <c r="C1252" s="945"/>
      <c r="D1252" s="484" t="s">
        <v>1608</v>
      </c>
    </row>
    <row r="1253" spans="1:4" x14ac:dyDescent="0.25">
      <c r="A1253" s="119">
        <v>2509</v>
      </c>
      <c r="B1253" s="471" t="s">
        <v>1609</v>
      </c>
      <c r="C1253" s="945"/>
      <c r="D1253" s="484" t="s">
        <v>1609</v>
      </c>
    </row>
    <row r="1254" spans="1:4" x14ac:dyDescent="0.25">
      <c r="A1254" s="119">
        <v>2510</v>
      </c>
      <c r="B1254" s="471" t="s">
        <v>1610</v>
      </c>
      <c r="C1254" s="945"/>
      <c r="D1254" s="484" t="s">
        <v>1610</v>
      </c>
    </row>
    <row r="1255" spans="1:4" ht="75" x14ac:dyDescent="0.25">
      <c r="A1255" s="119">
        <v>2511</v>
      </c>
      <c r="B1255" s="471" t="s">
        <v>1611</v>
      </c>
      <c r="C1255" s="945"/>
      <c r="D1255" s="484" t="s">
        <v>1611</v>
      </c>
    </row>
    <row r="1256" spans="1:4" x14ac:dyDescent="0.25">
      <c r="A1256" s="119">
        <v>2512</v>
      </c>
      <c r="B1256" s="471" t="s">
        <v>1612</v>
      </c>
      <c r="C1256" s="945"/>
      <c r="D1256" s="484" t="s">
        <v>1612</v>
      </c>
    </row>
    <row r="1257" spans="1:4" x14ac:dyDescent="0.35">
      <c r="A1257" s="119" t="s">
        <v>337</v>
      </c>
      <c r="B1257" t="s">
        <v>1613</v>
      </c>
      <c r="C1257" s="909"/>
      <c r="D1257" s="482" t="s">
        <v>1613</v>
      </c>
    </row>
    <row r="1258" spans="1:4" ht="25" x14ac:dyDescent="0.25">
      <c r="A1258" s="119" t="s">
        <v>337</v>
      </c>
      <c r="B1258" s="300" t="s">
        <v>1614</v>
      </c>
      <c r="C1258" s="920"/>
      <c r="D1258" s="415" t="s">
        <v>1614</v>
      </c>
    </row>
    <row r="1259" spans="1:4" ht="70" x14ac:dyDescent="0.25">
      <c r="A1259" s="119" t="s">
        <v>337</v>
      </c>
      <c r="B1259" s="191" t="s">
        <v>1615</v>
      </c>
      <c r="C1259" s="922"/>
      <c r="D1259" s="485" t="s">
        <v>1615</v>
      </c>
    </row>
    <row r="1260" spans="1:4" ht="25" x14ac:dyDescent="0.25">
      <c r="A1260" s="119">
        <v>2516</v>
      </c>
      <c r="B1260" s="379" t="s">
        <v>1616</v>
      </c>
      <c r="C1260" s="935"/>
      <c r="D1260" s="415" t="s">
        <v>1616</v>
      </c>
    </row>
    <row r="1261" spans="1:4" x14ac:dyDescent="0.25">
      <c r="A1261" s="119">
        <v>2517</v>
      </c>
      <c r="B1261" s="379" t="s">
        <v>1617</v>
      </c>
      <c r="C1261" s="935"/>
      <c r="D1261" s="415" t="s">
        <v>1617</v>
      </c>
    </row>
    <row r="1262" spans="1:4" x14ac:dyDescent="0.25">
      <c r="A1262" s="119">
        <v>2518</v>
      </c>
      <c r="B1262" s="473" t="s">
        <v>2033</v>
      </c>
      <c r="C1262" s="946" t="s">
        <v>2025</v>
      </c>
      <c r="D1262" s="486" t="s">
        <v>1618</v>
      </c>
    </row>
    <row r="1263" spans="1:4" x14ac:dyDescent="0.25">
      <c r="A1263" s="119">
        <v>2519</v>
      </c>
      <c r="B1263" s="97" t="s">
        <v>1619</v>
      </c>
      <c r="C1263" s="990"/>
      <c r="D1263" s="365" t="s">
        <v>1619</v>
      </c>
    </row>
    <row r="1264" spans="1:4" ht="20" x14ac:dyDescent="0.25">
      <c r="A1264" s="119">
        <v>2520</v>
      </c>
      <c r="B1264" s="472" t="s">
        <v>1620</v>
      </c>
      <c r="C1264" s="946"/>
      <c r="D1264" s="487" t="s">
        <v>1620</v>
      </c>
    </row>
    <row r="1265" spans="1:4" x14ac:dyDescent="0.25">
      <c r="A1265" s="119">
        <v>2521</v>
      </c>
      <c r="B1265" s="53" t="s">
        <v>1621</v>
      </c>
      <c r="C1265" s="926"/>
      <c r="D1265" s="363" t="s">
        <v>1621</v>
      </c>
    </row>
    <row r="1266" spans="1:4" x14ac:dyDescent="0.25">
      <c r="A1266" s="119">
        <v>2522</v>
      </c>
      <c r="B1266" s="475" t="s">
        <v>1622</v>
      </c>
      <c r="C1266" s="926"/>
      <c r="D1266" s="419" t="s">
        <v>1622</v>
      </c>
    </row>
    <row r="1267" spans="1:4" x14ac:dyDescent="0.25">
      <c r="A1267" s="119">
        <v>2523</v>
      </c>
      <c r="B1267" s="53" t="s">
        <v>1623</v>
      </c>
      <c r="C1267" s="926"/>
      <c r="D1267" s="363" t="s">
        <v>1623</v>
      </c>
    </row>
    <row r="1268" spans="1:4" x14ac:dyDescent="0.25">
      <c r="A1268" s="119">
        <v>2524</v>
      </c>
      <c r="B1268" s="71" t="s">
        <v>1624</v>
      </c>
      <c r="C1268" s="928"/>
      <c r="D1268" s="362" t="s">
        <v>1624</v>
      </c>
    </row>
    <row r="1269" spans="1:4" x14ac:dyDescent="0.25">
      <c r="A1269" s="119">
        <v>2525</v>
      </c>
      <c r="B1269" s="210" t="s">
        <v>1625</v>
      </c>
      <c r="C1269" s="966"/>
      <c r="D1269" s="488" t="s">
        <v>1625</v>
      </c>
    </row>
    <row r="1270" spans="1:4" x14ac:dyDescent="0.25">
      <c r="A1270" s="119">
        <v>2526</v>
      </c>
      <c r="B1270" s="71" t="s">
        <v>1626</v>
      </c>
      <c r="C1270" s="928"/>
      <c r="D1270" s="362" t="s">
        <v>1626</v>
      </c>
    </row>
    <row r="1271" spans="1:4" x14ac:dyDescent="0.25">
      <c r="A1271" s="119">
        <v>2527</v>
      </c>
      <c r="B1271" s="75" t="s">
        <v>1627</v>
      </c>
      <c r="C1271" s="925"/>
      <c r="D1271" s="364" t="s">
        <v>1627</v>
      </c>
    </row>
    <row r="1272" spans="1:4" x14ac:dyDescent="0.25">
      <c r="A1272" s="119">
        <v>2528</v>
      </c>
      <c r="B1272" s="210" t="s">
        <v>1628</v>
      </c>
      <c r="C1272" s="966"/>
      <c r="D1272" s="488" t="s">
        <v>1628</v>
      </c>
    </row>
    <row r="1273" spans="1:4" ht="52" x14ac:dyDescent="0.25">
      <c r="A1273" s="119">
        <v>2529</v>
      </c>
      <c r="B1273" s="194" t="s">
        <v>1629</v>
      </c>
      <c r="C1273" s="994"/>
      <c r="D1273" s="489" t="s">
        <v>1629</v>
      </c>
    </row>
    <row r="1274" spans="1:4" ht="20" x14ac:dyDescent="0.25">
      <c r="A1274" s="119" t="s">
        <v>337</v>
      </c>
      <c r="B1274" s="472" t="s">
        <v>1630</v>
      </c>
      <c r="C1274" s="946"/>
      <c r="D1274" s="487" t="s">
        <v>1630</v>
      </c>
    </row>
    <row r="1275" spans="1:4" ht="20" x14ac:dyDescent="0.25">
      <c r="A1275" s="119">
        <v>2531</v>
      </c>
      <c r="B1275" s="472" t="s">
        <v>1631</v>
      </c>
      <c r="C1275" s="946"/>
      <c r="D1275" s="487" t="s">
        <v>1631</v>
      </c>
    </row>
    <row r="1276" spans="1:4" x14ac:dyDescent="0.25">
      <c r="A1276" s="119">
        <v>2532</v>
      </c>
      <c r="B1276" s="61" t="s">
        <v>1632</v>
      </c>
      <c r="C1276" s="927"/>
      <c r="D1276" s="363" t="s">
        <v>1632</v>
      </c>
    </row>
    <row r="1277" spans="1:4" ht="20" x14ac:dyDescent="0.25">
      <c r="A1277" s="119">
        <v>2533</v>
      </c>
      <c r="B1277" s="75" t="s">
        <v>1633</v>
      </c>
      <c r="C1277" s="925"/>
      <c r="D1277" s="364" t="s">
        <v>1633</v>
      </c>
    </row>
    <row r="1278" spans="1:4" hidden="1" x14ac:dyDescent="0.25">
      <c r="A1278" s="119">
        <v>2534</v>
      </c>
      <c r="B1278" s="477" t="s">
        <v>1634</v>
      </c>
      <c r="C1278" s="947"/>
      <c r="D1278" s="421" t="s">
        <v>1634</v>
      </c>
    </row>
    <row r="1279" spans="1:4" ht="26" x14ac:dyDescent="0.25">
      <c r="A1279" s="119" t="s">
        <v>337</v>
      </c>
      <c r="B1279" s="53" t="s">
        <v>1635</v>
      </c>
      <c r="C1279" s="926"/>
      <c r="D1279" s="363" t="s">
        <v>1635</v>
      </c>
    </row>
    <row r="1280" spans="1:4" ht="39" x14ac:dyDescent="0.25">
      <c r="A1280" s="119">
        <v>2536</v>
      </c>
      <c r="B1280" s="53" t="s">
        <v>2036</v>
      </c>
      <c r="C1280" s="926" t="s">
        <v>2025</v>
      </c>
      <c r="D1280" s="363" t="s">
        <v>1636</v>
      </c>
    </row>
    <row r="1281" spans="1:4" ht="52" x14ac:dyDescent="0.25">
      <c r="A1281" s="119" t="s">
        <v>337</v>
      </c>
      <c r="B1281" s="53" t="s">
        <v>1637</v>
      </c>
      <c r="C1281" s="926"/>
      <c r="D1281" s="363" t="s">
        <v>1637</v>
      </c>
    </row>
    <row r="1282" spans="1:4" ht="21" x14ac:dyDescent="0.25">
      <c r="A1282" s="119">
        <v>2538</v>
      </c>
      <c r="B1282" s="478" t="s">
        <v>2038</v>
      </c>
      <c r="C1282" s="965" t="s">
        <v>2025</v>
      </c>
      <c r="D1282" s="490" t="s">
        <v>1638</v>
      </c>
    </row>
    <row r="1283" spans="1:4" x14ac:dyDescent="0.25">
      <c r="A1283" s="119">
        <v>2539</v>
      </c>
      <c r="B1283" s="474" t="s">
        <v>1639</v>
      </c>
      <c r="C1283" s="948"/>
      <c r="D1283" s="491" t="s">
        <v>1639</v>
      </c>
    </row>
    <row r="1284" spans="1:4" x14ac:dyDescent="0.25">
      <c r="A1284" s="119" t="s">
        <v>337</v>
      </c>
      <c r="B1284" s="474" t="s">
        <v>1640</v>
      </c>
      <c r="C1284" s="948"/>
      <c r="D1284" s="491" t="s">
        <v>1640</v>
      </c>
    </row>
    <row r="1285" spans="1:4" x14ac:dyDescent="0.25">
      <c r="A1285" s="119">
        <v>2541</v>
      </c>
      <c r="B1285" s="66" t="s">
        <v>1641</v>
      </c>
      <c r="C1285" s="928"/>
      <c r="D1285" s="421" t="s">
        <v>1641</v>
      </c>
    </row>
    <row r="1286" spans="1:4" x14ac:dyDescent="0.25">
      <c r="A1286" s="119">
        <v>2542</v>
      </c>
      <c r="B1286" s="479" t="s">
        <v>1642</v>
      </c>
      <c r="C1286" s="928"/>
      <c r="D1286" s="424" t="s">
        <v>1642</v>
      </c>
    </row>
    <row r="1287" spans="1:4" x14ac:dyDescent="0.25">
      <c r="A1287" s="119">
        <v>2543</v>
      </c>
      <c r="B1287" s="212" t="s">
        <v>1643</v>
      </c>
      <c r="C1287" s="953"/>
      <c r="D1287" s="492" t="s">
        <v>1643</v>
      </c>
    </row>
    <row r="1288" spans="1:4" ht="26" x14ac:dyDescent="0.25">
      <c r="A1288" s="119">
        <v>2544</v>
      </c>
      <c r="B1288" s="53" t="s">
        <v>1644</v>
      </c>
      <c r="C1288" s="926"/>
      <c r="D1288" s="363" t="s">
        <v>1644</v>
      </c>
    </row>
    <row r="1289" spans="1:4" ht="40" x14ac:dyDescent="0.25">
      <c r="A1289" s="119">
        <v>2545</v>
      </c>
      <c r="B1289" s="193" t="s">
        <v>2039</v>
      </c>
      <c r="C1289" s="924" t="s">
        <v>2025</v>
      </c>
      <c r="D1289" s="364" t="s">
        <v>1645</v>
      </c>
    </row>
    <row r="1290" spans="1:4" x14ac:dyDescent="0.25">
      <c r="A1290" s="119">
        <v>2546</v>
      </c>
      <c r="B1290" s="480" t="s">
        <v>1646</v>
      </c>
      <c r="C1290" s="995"/>
      <c r="D1290" s="493" t="s">
        <v>1646</v>
      </c>
    </row>
    <row r="1291" spans="1:4" ht="15.65" customHeight="1" x14ac:dyDescent="0.35">
      <c r="A1291" s="119">
        <v>2547</v>
      </c>
      <c r="B1291" s="79" t="s">
        <v>1647</v>
      </c>
      <c r="C1291" s="985"/>
      <c r="D1291" s="494" t="s">
        <v>1647</v>
      </c>
    </row>
    <row r="1292" spans="1:4" x14ac:dyDescent="0.25">
      <c r="A1292" s="119">
        <v>2548</v>
      </c>
      <c r="B1292" s="481" t="s">
        <v>1648</v>
      </c>
      <c r="C1292" s="949"/>
      <c r="D1292" s="486" t="s">
        <v>1648</v>
      </c>
    </row>
    <row r="1293" spans="1:4" x14ac:dyDescent="0.35">
      <c r="A1293" s="119">
        <v>2549</v>
      </c>
      <c r="B1293" s="202" t="s">
        <v>42</v>
      </c>
      <c r="C1293" s="933"/>
      <c r="D1293" s="495" t="s">
        <v>42</v>
      </c>
    </row>
    <row r="1294" spans="1:4" x14ac:dyDescent="0.35">
      <c r="A1294" s="119">
        <v>2550</v>
      </c>
      <c r="B1294" s="202" t="s">
        <v>1649</v>
      </c>
      <c r="C1294" s="933"/>
      <c r="D1294" s="495" t="s">
        <v>1649</v>
      </c>
    </row>
    <row r="1295" spans="1:4" x14ac:dyDescent="0.25">
      <c r="A1295" s="476" t="s">
        <v>337</v>
      </c>
      <c r="B1295" s="476" t="s">
        <v>1650</v>
      </c>
      <c r="C1295" s="944"/>
      <c r="D1295" s="476" t="s">
        <v>1650</v>
      </c>
    </row>
    <row r="1296" spans="1:4" x14ac:dyDescent="0.35">
      <c r="A1296" s="119" t="s">
        <v>337</v>
      </c>
      <c r="B1296" t="s">
        <v>1651</v>
      </c>
      <c r="C1296" s="909"/>
      <c r="D1296" s="482" t="s">
        <v>1651</v>
      </c>
    </row>
    <row r="1297" spans="1:5" ht="38.5" x14ac:dyDescent="0.35">
      <c r="A1297" s="119">
        <v>2901</v>
      </c>
      <c r="B1297" s="67" t="s">
        <v>1652</v>
      </c>
      <c r="D1297" s="502" t="s">
        <v>1652</v>
      </c>
    </row>
    <row r="1298" spans="1:5" x14ac:dyDescent="0.35">
      <c r="A1298" s="119" t="s">
        <v>337</v>
      </c>
      <c r="B1298" t="s">
        <v>1653</v>
      </c>
      <c r="C1298" s="909"/>
      <c r="D1298" s="482" t="s">
        <v>1653</v>
      </c>
    </row>
    <row r="1299" spans="1:5" x14ac:dyDescent="0.25">
      <c r="A1299" s="119">
        <v>2903</v>
      </c>
      <c r="B1299" s="498" t="s">
        <v>1654</v>
      </c>
      <c r="C1299" s="951"/>
      <c r="D1299" s="503" t="s">
        <v>1654</v>
      </c>
      <c r="E1299" s="510"/>
    </row>
    <row r="1300" spans="1:5" ht="50" x14ac:dyDescent="0.25">
      <c r="A1300" s="119">
        <v>2904</v>
      </c>
      <c r="B1300" s="1" t="s">
        <v>1655</v>
      </c>
      <c r="C1300" s="950"/>
      <c r="D1300" s="435" t="s">
        <v>1655</v>
      </c>
      <c r="E1300" s="510"/>
    </row>
    <row r="1301" spans="1:5" ht="25" x14ac:dyDescent="0.25">
      <c r="A1301" s="119">
        <v>2905</v>
      </c>
      <c r="B1301" s="1" t="s">
        <v>1656</v>
      </c>
      <c r="C1301" s="950"/>
      <c r="D1301" s="435" t="s">
        <v>1656</v>
      </c>
      <c r="E1301" s="510"/>
    </row>
    <row r="1302" spans="1:5" x14ac:dyDescent="0.25">
      <c r="A1302" s="119">
        <v>2906</v>
      </c>
      <c r="B1302" s="1" t="s">
        <v>1657</v>
      </c>
      <c r="C1302" s="950"/>
      <c r="D1302" s="435" t="s">
        <v>1657</v>
      </c>
      <c r="E1302" s="510"/>
    </row>
    <row r="1303" spans="1:5" x14ac:dyDescent="0.35">
      <c r="A1303" s="119">
        <v>2907</v>
      </c>
      <c r="B1303" t="s">
        <v>1658</v>
      </c>
      <c r="C1303" s="909"/>
      <c r="D1303" s="482" t="s">
        <v>1658</v>
      </c>
      <c r="E1303" s="510"/>
    </row>
    <row r="1304" spans="1:5" x14ac:dyDescent="0.25">
      <c r="A1304" s="119">
        <v>2908</v>
      </c>
      <c r="B1304" s="893" t="s">
        <v>1659</v>
      </c>
      <c r="C1304" s="951"/>
      <c r="D1304" s="504" t="s">
        <v>1659</v>
      </c>
      <c r="E1304" s="510"/>
    </row>
    <row r="1305" spans="1:5" x14ac:dyDescent="0.35">
      <c r="A1305" s="119">
        <v>2909</v>
      </c>
      <c r="B1305" t="s">
        <v>1660</v>
      </c>
      <c r="C1305" s="909"/>
      <c r="D1305" s="482" t="s">
        <v>1660</v>
      </c>
      <c r="E1305" s="510"/>
    </row>
    <row r="1306" spans="1:5" x14ac:dyDescent="0.25">
      <c r="A1306" s="119" t="s">
        <v>337</v>
      </c>
      <c r="B1306" s="499" t="s">
        <v>1661</v>
      </c>
      <c r="C1306" s="951"/>
      <c r="D1306" s="505" t="s">
        <v>1661</v>
      </c>
    </row>
    <row r="1307" spans="1:5" x14ac:dyDescent="0.25">
      <c r="A1307" s="119">
        <v>2911</v>
      </c>
      <c r="B1307" s="188" t="s">
        <v>1662</v>
      </c>
      <c r="C1307" s="920"/>
      <c r="D1307" s="415" t="s">
        <v>1662</v>
      </c>
    </row>
    <row r="1308" spans="1:5" ht="87.5" x14ac:dyDescent="0.25">
      <c r="A1308" s="119" t="s">
        <v>337</v>
      </c>
      <c r="B1308" s="191" t="s">
        <v>1663</v>
      </c>
      <c r="C1308" s="922"/>
      <c r="D1308" s="485" t="s">
        <v>1664</v>
      </c>
    </row>
    <row r="1309" spans="1:5" x14ac:dyDescent="0.35">
      <c r="A1309" s="119">
        <v>2913</v>
      </c>
      <c r="B1309" t="s">
        <v>1665</v>
      </c>
      <c r="C1309" s="909"/>
      <c r="D1309" s="482" t="s">
        <v>1665</v>
      </c>
    </row>
    <row r="1310" spans="1:5" ht="39" x14ac:dyDescent="0.25">
      <c r="A1310" s="119">
        <v>2914</v>
      </c>
      <c r="B1310" s="500" t="s">
        <v>1666</v>
      </c>
      <c r="C1310" s="996"/>
      <c r="D1310" s="436" t="s">
        <v>1666</v>
      </c>
    </row>
    <row r="1311" spans="1:5" x14ac:dyDescent="0.35">
      <c r="A1311" s="119">
        <v>2915</v>
      </c>
      <c r="B1311" t="s">
        <v>1667</v>
      </c>
      <c r="C1311" s="909"/>
      <c r="D1311" s="482" t="s">
        <v>1667</v>
      </c>
    </row>
    <row r="1312" spans="1:5" x14ac:dyDescent="0.35">
      <c r="A1312" s="119">
        <v>2916</v>
      </c>
      <c r="B1312" t="s">
        <v>1668</v>
      </c>
      <c r="C1312" s="909"/>
      <c r="D1312" s="482" t="s">
        <v>1668</v>
      </c>
    </row>
    <row r="1313" spans="1:5" x14ac:dyDescent="0.25">
      <c r="A1313" s="119">
        <v>2917</v>
      </c>
      <c r="B1313" s="401" t="s">
        <v>1669</v>
      </c>
      <c r="C1313" s="997"/>
      <c r="D1313" s="508" t="s">
        <v>1669</v>
      </c>
    </row>
    <row r="1314" spans="1:5" ht="20" x14ac:dyDescent="0.25">
      <c r="A1314" s="119">
        <v>2918</v>
      </c>
      <c r="B1314" s="501" t="s">
        <v>1670</v>
      </c>
      <c r="C1314" s="952"/>
      <c r="D1314" s="506" t="s">
        <v>1670</v>
      </c>
    </row>
    <row r="1315" spans="1:5" ht="37.5" x14ac:dyDescent="0.25">
      <c r="A1315" s="119">
        <v>2919</v>
      </c>
      <c r="B1315" s="300" t="s">
        <v>1671</v>
      </c>
      <c r="C1315" s="920"/>
      <c r="D1315" s="509" t="s">
        <v>1671</v>
      </c>
    </row>
    <row r="1316" spans="1:5" ht="26" x14ac:dyDescent="0.25">
      <c r="A1316" s="119">
        <v>2920</v>
      </c>
      <c r="B1316" s="496" t="s">
        <v>1672</v>
      </c>
      <c r="C1316" s="998"/>
      <c r="D1316" s="507" t="s">
        <v>1672</v>
      </c>
    </row>
    <row r="1317" spans="1:5" ht="30" x14ac:dyDescent="0.25">
      <c r="A1317" s="119">
        <v>2921</v>
      </c>
      <c r="B1317" s="215" t="s">
        <v>1673</v>
      </c>
      <c r="C1317" s="925"/>
      <c r="D1317" s="417" t="s">
        <v>1313</v>
      </c>
    </row>
    <row r="1318" spans="1:5" x14ac:dyDescent="0.25">
      <c r="A1318" s="119" t="s">
        <v>337</v>
      </c>
      <c r="B1318" s="511" t="s">
        <v>1674</v>
      </c>
      <c r="C1318" s="917"/>
      <c r="D1318" s="451" t="s">
        <v>1674</v>
      </c>
      <c r="E1318" s="512"/>
    </row>
    <row r="1319" spans="1:5" x14ac:dyDescent="0.25">
      <c r="A1319" s="476" t="s">
        <v>337</v>
      </c>
      <c r="B1319" s="476" t="s">
        <v>1675</v>
      </c>
      <c r="C1319" s="944"/>
      <c r="D1319" s="476" t="s">
        <v>1675</v>
      </c>
    </row>
    <row r="1320" spans="1:5" x14ac:dyDescent="0.35">
      <c r="A1320" s="119" t="s">
        <v>337</v>
      </c>
      <c r="B1320" s="67" t="s">
        <v>1676</v>
      </c>
      <c r="D1320" s="502" t="s">
        <v>1676</v>
      </c>
      <c r="E1320" s="469"/>
    </row>
    <row r="1321" spans="1:5" x14ac:dyDescent="0.35">
      <c r="A1321" s="119" t="s">
        <v>337</v>
      </c>
      <c r="B1321" s="67" t="s">
        <v>1677</v>
      </c>
      <c r="D1321" s="502" t="s">
        <v>1677</v>
      </c>
      <c r="E1321" s="469"/>
    </row>
    <row r="1322" spans="1:5" x14ac:dyDescent="0.35">
      <c r="A1322" s="119" t="s">
        <v>337</v>
      </c>
      <c r="B1322" t="s">
        <v>18</v>
      </c>
      <c r="C1322" s="909"/>
      <c r="D1322" s="482" t="s">
        <v>18</v>
      </c>
      <c r="E1322" s="469"/>
    </row>
    <row r="1323" spans="1:5" x14ac:dyDescent="0.35">
      <c r="A1323" s="119">
        <v>3003</v>
      </c>
      <c r="B1323" s="67" t="s">
        <v>1678</v>
      </c>
      <c r="D1323" s="502" t="s">
        <v>1678</v>
      </c>
      <c r="E1323" s="469"/>
    </row>
    <row r="1324" spans="1:5" x14ac:dyDescent="0.25">
      <c r="A1324" s="119">
        <v>3004</v>
      </c>
      <c r="B1324" s="268" t="s">
        <v>1679</v>
      </c>
      <c r="C1324" s="914"/>
      <c r="D1324" s="546" t="s">
        <v>1679</v>
      </c>
      <c r="E1324" s="469"/>
    </row>
    <row r="1325" spans="1:5" x14ac:dyDescent="0.35">
      <c r="A1325" s="119">
        <v>3005</v>
      </c>
      <c r="B1325" s="67" t="s">
        <v>1680</v>
      </c>
      <c r="D1325" s="502" t="s">
        <v>1680</v>
      </c>
      <c r="E1325" s="469"/>
    </row>
    <row r="1326" spans="1:5" x14ac:dyDescent="0.35">
      <c r="A1326" s="119" t="s">
        <v>337</v>
      </c>
      <c r="B1326" t="s">
        <v>1681</v>
      </c>
      <c r="C1326" s="909"/>
      <c r="D1326" s="482" t="s">
        <v>1681</v>
      </c>
      <c r="E1326" s="469"/>
    </row>
    <row r="1327" spans="1:5" x14ac:dyDescent="0.25">
      <c r="A1327" s="119" t="s">
        <v>337</v>
      </c>
      <c r="B1327" s="511" t="s">
        <v>1682</v>
      </c>
      <c r="C1327" s="917"/>
      <c r="D1327" s="452" t="s">
        <v>1682</v>
      </c>
      <c r="E1327" s="512"/>
    </row>
    <row r="1328" spans="1:5" x14ac:dyDescent="0.35">
      <c r="A1328" s="119">
        <v>3008</v>
      </c>
      <c r="B1328" t="s">
        <v>1683</v>
      </c>
      <c r="C1328" s="909"/>
      <c r="D1328" s="482" t="s">
        <v>1683</v>
      </c>
      <c r="E1328" s="512"/>
    </row>
    <row r="1329" spans="1:5" ht="75" x14ac:dyDescent="0.25">
      <c r="A1329" s="119">
        <v>3009</v>
      </c>
      <c r="B1329" s="324" t="s">
        <v>1684</v>
      </c>
      <c r="C1329" s="936"/>
      <c r="D1329" s="415" t="s">
        <v>1684</v>
      </c>
      <c r="E1329" s="512"/>
    </row>
    <row r="1330" spans="1:5" ht="25" x14ac:dyDescent="0.25">
      <c r="A1330" s="119" t="s">
        <v>337</v>
      </c>
      <c r="B1330" s="300" t="s">
        <v>1685</v>
      </c>
      <c r="C1330" s="920"/>
      <c r="D1330" s="415" t="s">
        <v>1685</v>
      </c>
      <c r="E1330" s="512"/>
    </row>
    <row r="1331" spans="1:5" ht="50" x14ac:dyDescent="0.25">
      <c r="A1331" s="119" t="s">
        <v>337</v>
      </c>
      <c r="B1331" s="300" t="s">
        <v>1686</v>
      </c>
      <c r="C1331" s="920"/>
      <c r="D1331" s="415" t="s">
        <v>1686</v>
      </c>
      <c r="E1331" s="512"/>
    </row>
    <row r="1332" spans="1:5" x14ac:dyDescent="0.25">
      <c r="A1332" s="119">
        <v>3012</v>
      </c>
      <c r="B1332" s="300" t="s">
        <v>1687</v>
      </c>
      <c r="C1332" s="920"/>
      <c r="D1332" s="415" t="s">
        <v>1687</v>
      </c>
      <c r="E1332" s="512"/>
    </row>
    <row r="1333" spans="1:5" ht="25" x14ac:dyDescent="0.25">
      <c r="A1333" s="119">
        <v>3013</v>
      </c>
      <c r="B1333" s="300" t="s">
        <v>1688</v>
      </c>
      <c r="C1333" s="920"/>
      <c r="D1333" s="415" t="s">
        <v>1688</v>
      </c>
      <c r="E1333" s="512"/>
    </row>
    <row r="1334" spans="1:5" ht="50" x14ac:dyDescent="0.25">
      <c r="A1334" s="119">
        <v>3014</v>
      </c>
      <c r="B1334" s="300" t="s">
        <v>1689</v>
      </c>
      <c r="C1334" s="920"/>
      <c r="D1334" s="415" t="s">
        <v>1689</v>
      </c>
      <c r="E1334" s="512"/>
    </row>
    <row r="1335" spans="1:5" ht="37.5" x14ac:dyDescent="0.25">
      <c r="A1335" s="119">
        <v>3015</v>
      </c>
      <c r="B1335" s="300" t="s">
        <v>1690</v>
      </c>
      <c r="C1335" s="920"/>
      <c r="D1335" s="415" t="s">
        <v>1690</v>
      </c>
      <c r="E1335" s="512"/>
    </row>
    <row r="1336" spans="1:5" ht="25" x14ac:dyDescent="0.25">
      <c r="A1336" s="119">
        <v>3016</v>
      </c>
      <c r="B1336" s="300" t="s">
        <v>1691</v>
      </c>
      <c r="C1336" s="920"/>
      <c r="D1336" s="415" t="s">
        <v>1691</v>
      </c>
      <c r="E1336" s="512"/>
    </row>
    <row r="1337" spans="1:5" x14ac:dyDescent="0.25">
      <c r="A1337" s="119" t="s">
        <v>337</v>
      </c>
      <c r="B1337" s="378" t="s">
        <v>1692</v>
      </c>
      <c r="C1337" s="920"/>
      <c r="D1337" s="397" t="s">
        <v>1692</v>
      </c>
      <c r="E1337" s="512"/>
    </row>
    <row r="1338" spans="1:5" ht="25" x14ac:dyDescent="0.25">
      <c r="A1338" s="119" t="s">
        <v>337</v>
      </c>
      <c r="B1338" s="300" t="s">
        <v>1693</v>
      </c>
      <c r="C1338" s="920"/>
      <c r="D1338" s="415" t="s">
        <v>1693</v>
      </c>
      <c r="E1338" s="512"/>
    </row>
    <row r="1339" spans="1:5" x14ac:dyDescent="0.25">
      <c r="A1339" s="119">
        <v>3019</v>
      </c>
      <c r="B1339" s="378" t="s">
        <v>1694</v>
      </c>
      <c r="C1339" s="920"/>
      <c r="D1339" s="397" t="s">
        <v>1694</v>
      </c>
      <c r="E1339" s="512"/>
    </row>
    <row r="1340" spans="1:5" ht="50" x14ac:dyDescent="0.25">
      <c r="A1340" s="119" t="s">
        <v>337</v>
      </c>
      <c r="B1340" s="300" t="s">
        <v>1695</v>
      </c>
      <c r="C1340" s="920"/>
      <c r="D1340" s="415" t="s">
        <v>1695</v>
      </c>
      <c r="E1340" s="512"/>
    </row>
    <row r="1341" spans="1:5" ht="39" x14ac:dyDescent="0.25">
      <c r="A1341" s="119" t="s">
        <v>337</v>
      </c>
      <c r="B1341" s="525" t="s">
        <v>1696</v>
      </c>
      <c r="C1341" s="918"/>
      <c r="D1341" s="450" t="s">
        <v>1696</v>
      </c>
      <c r="E1341" s="512"/>
    </row>
    <row r="1342" spans="1:5" ht="37.5" x14ac:dyDescent="0.25">
      <c r="A1342" s="119" t="s">
        <v>337</v>
      </c>
      <c r="B1342" s="300" t="s">
        <v>1697</v>
      </c>
      <c r="C1342" s="920"/>
      <c r="D1342" s="415" t="s">
        <v>1697</v>
      </c>
      <c r="E1342" s="512"/>
    </row>
    <row r="1343" spans="1:5" ht="50" x14ac:dyDescent="0.25">
      <c r="A1343" s="119">
        <v>3023</v>
      </c>
      <c r="B1343" s="300" t="s">
        <v>1698</v>
      </c>
      <c r="C1343" s="920"/>
      <c r="D1343" s="415" t="s">
        <v>1698</v>
      </c>
      <c r="E1343" s="512"/>
    </row>
    <row r="1344" spans="1:5" ht="87.5" x14ac:dyDescent="0.25">
      <c r="A1344" s="119" t="s">
        <v>337</v>
      </c>
      <c r="B1344" s="300" t="s">
        <v>1699</v>
      </c>
      <c r="C1344" s="920"/>
      <c r="D1344" s="415" t="s">
        <v>1699</v>
      </c>
      <c r="E1344" s="512"/>
    </row>
    <row r="1345" spans="1:5" x14ac:dyDescent="0.25">
      <c r="A1345" s="119" t="s">
        <v>337</v>
      </c>
      <c r="B1345" s="526" t="s">
        <v>1700</v>
      </c>
      <c r="C1345" s="921"/>
      <c r="D1345" s="547" t="s">
        <v>1700</v>
      </c>
      <c r="E1345" s="512"/>
    </row>
    <row r="1346" spans="1:5" ht="91" x14ac:dyDescent="0.25">
      <c r="A1346" s="119">
        <v>3026</v>
      </c>
      <c r="B1346" s="526" t="s">
        <v>1701</v>
      </c>
      <c r="C1346" s="921"/>
      <c r="D1346" s="547" t="s">
        <v>1701</v>
      </c>
      <c r="E1346" s="512"/>
    </row>
    <row r="1347" spans="1:5" ht="87.5" x14ac:dyDescent="0.25">
      <c r="A1347" s="119" t="s">
        <v>337</v>
      </c>
      <c r="B1347" s="191" t="s">
        <v>1702</v>
      </c>
      <c r="C1347" s="922"/>
      <c r="D1347" s="485" t="s">
        <v>1702</v>
      </c>
      <c r="E1347" s="512"/>
    </row>
    <row r="1348" spans="1:5" ht="62.5" x14ac:dyDescent="0.25">
      <c r="A1348" s="119">
        <v>3028</v>
      </c>
      <c r="B1348" s="379" t="s">
        <v>1703</v>
      </c>
      <c r="C1348" s="935"/>
      <c r="D1348" s="415" t="s">
        <v>1703</v>
      </c>
      <c r="E1348" s="512"/>
    </row>
    <row r="1349" spans="1:5" x14ac:dyDescent="0.25">
      <c r="A1349" s="119">
        <v>3029</v>
      </c>
      <c r="B1349" s="204" t="s">
        <v>1704</v>
      </c>
      <c r="C1349" s="923"/>
      <c r="D1349" s="360" t="s">
        <v>1704</v>
      </c>
      <c r="E1349" s="512"/>
    </row>
    <row r="1350" spans="1:5" ht="30" x14ac:dyDescent="0.25">
      <c r="A1350" s="119">
        <v>3030</v>
      </c>
      <c r="B1350" s="192" t="s">
        <v>1705</v>
      </c>
      <c r="C1350" s="924"/>
      <c r="D1350" s="364" t="s">
        <v>1705</v>
      </c>
      <c r="E1350" s="512"/>
    </row>
    <row r="1351" spans="1:5" ht="62.5" x14ac:dyDescent="0.25">
      <c r="A1351" s="119" t="s">
        <v>337</v>
      </c>
      <c r="B1351" s="300" t="s">
        <v>1706</v>
      </c>
      <c r="C1351" s="920"/>
      <c r="D1351" s="415" t="s">
        <v>1706</v>
      </c>
      <c r="E1351" s="512"/>
    </row>
    <row r="1352" spans="1:5" ht="30" x14ac:dyDescent="0.25">
      <c r="A1352" s="119">
        <v>3032</v>
      </c>
      <c r="B1352" s="192" t="s">
        <v>1707</v>
      </c>
      <c r="C1352" s="924"/>
      <c r="D1352" s="364" t="s">
        <v>1707</v>
      </c>
      <c r="E1352" s="512"/>
    </row>
    <row r="1353" spans="1:5" ht="26" x14ac:dyDescent="0.25">
      <c r="A1353" s="119">
        <v>3033</v>
      </c>
      <c r="B1353" s="53" t="s">
        <v>183</v>
      </c>
      <c r="C1353" s="926"/>
      <c r="D1353" s="363" t="s">
        <v>183</v>
      </c>
      <c r="E1353" s="512"/>
    </row>
    <row r="1354" spans="1:5" ht="20" x14ac:dyDescent="0.25">
      <c r="A1354" s="119">
        <v>3034</v>
      </c>
      <c r="B1354" s="193" t="s">
        <v>1708</v>
      </c>
      <c r="C1354" s="924"/>
      <c r="D1354" s="364" t="s">
        <v>1708</v>
      </c>
      <c r="E1354" s="512"/>
    </row>
    <row r="1355" spans="1:5" x14ac:dyDescent="0.25">
      <c r="A1355" s="119">
        <v>3035</v>
      </c>
      <c r="B1355" s="474" t="s">
        <v>1709</v>
      </c>
      <c r="C1355" s="948"/>
      <c r="D1355" s="491" t="s">
        <v>1709</v>
      </c>
      <c r="E1355" s="512"/>
    </row>
    <row r="1356" spans="1:5" x14ac:dyDescent="0.25">
      <c r="A1356" s="119">
        <v>3036</v>
      </c>
      <c r="B1356" s="212" t="s">
        <v>1710</v>
      </c>
      <c r="C1356" s="953"/>
      <c r="D1356" s="492" t="s">
        <v>1710</v>
      </c>
      <c r="E1356" s="512"/>
    </row>
    <row r="1357" spans="1:5" ht="20" x14ac:dyDescent="0.25">
      <c r="A1357" s="119">
        <v>3037</v>
      </c>
      <c r="B1357" s="193" t="s">
        <v>1711</v>
      </c>
      <c r="C1357" s="924"/>
      <c r="D1357" s="364" t="s">
        <v>1711</v>
      </c>
      <c r="E1357" s="512"/>
    </row>
    <row r="1358" spans="1:5" ht="30" x14ac:dyDescent="0.25">
      <c r="A1358" s="119">
        <v>3038</v>
      </c>
      <c r="B1358" s="216" t="s">
        <v>1712</v>
      </c>
      <c r="C1358" s="924"/>
      <c r="D1358" s="417" t="s">
        <v>1712</v>
      </c>
      <c r="E1358" s="512"/>
    </row>
    <row r="1359" spans="1:5" ht="30" x14ac:dyDescent="0.25">
      <c r="A1359" s="119">
        <v>3039</v>
      </c>
      <c r="B1359" s="193" t="s">
        <v>1713</v>
      </c>
      <c r="C1359" s="924"/>
      <c r="D1359" s="364" t="s">
        <v>1713</v>
      </c>
      <c r="E1359" s="512"/>
    </row>
    <row r="1360" spans="1:5" ht="60" x14ac:dyDescent="0.25">
      <c r="A1360" s="119">
        <v>3040</v>
      </c>
      <c r="B1360" s="193" t="s">
        <v>1714</v>
      </c>
      <c r="C1360" s="924"/>
      <c r="D1360" s="364" t="s">
        <v>1714</v>
      </c>
      <c r="E1360" s="512"/>
    </row>
    <row r="1361" spans="1:5" ht="26" x14ac:dyDescent="0.25">
      <c r="A1361" s="119" t="s">
        <v>337</v>
      </c>
      <c r="B1361" s="53" t="s">
        <v>1715</v>
      </c>
      <c r="C1361" s="926"/>
      <c r="D1361" s="363" t="s">
        <v>1715</v>
      </c>
      <c r="E1361" s="512"/>
    </row>
    <row r="1362" spans="1:5" ht="20" x14ac:dyDescent="0.25">
      <c r="A1362" s="119">
        <v>3042</v>
      </c>
      <c r="B1362" s="193" t="s">
        <v>1716</v>
      </c>
      <c r="C1362" s="924"/>
      <c r="D1362" s="364" t="s">
        <v>1716</v>
      </c>
      <c r="E1362" s="512"/>
    </row>
    <row r="1363" spans="1:5" ht="20" x14ac:dyDescent="0.25">
      <c r="A1363" s="119">
        <v>3043</v>
      </c>
      <c r="B1363" s="193" t="s">
        <v>1717</v>
      </c>
      <c r="C1363" s="924"/>
      <c r="D1363" s="364" t="s">
        <v>1717</v>
      </c>
      <c r="E1363" s="512"/>
    </row>
    <row r="1364" spans="1:5" x14ac:dyDescent="0.25">
      <c r="A1364" s="119">
        <v>3044</v>
      </c>
      <c r="B1364" s="71" t="s">
        <v>1718</v>
      </c>
      <c r="C1364" s="928"/>
      <c r="D1364" s="362" t="s">
        <v>1718</v>
      </c>
      <c r="E1364" s="512"/>
    </row>
    <row r="1365" spans="1:5" ht="18" x14ac:dyDescent="0.25">
      <c r="A1365" s="119" t="s">
        <v>337</v>
      </c>
      <c r="B1365" s="198" t="s">
        <v>1719</v>
      </c>
      <c r="C1365" s="927"/>
      <c r="D1365" s="416" t="s">
        <v>1719</v>
      </c>
      <c r="E1365" s="512"/>
    </row>
    <row r="1366" spans="1:5" ht="40" x14ac:dyDescent="0.25">
      <c r="A1366" s="119" t="s">
        <v>337</v>
      </c>
      <c r="B1366" s="193" t="s">
        <v>1720</v>
      </c>
      <c r="C1366" s="924"/>
      <c r="D1366" s="364" t="s">
        <v>1720</v>
      </c>
      <c r="E1366" s="512"/>
    </row>
    <row r="1367" spans="1:5" ht="20" x14ac:dyDescent="0.25">
      <c r="A1367" s="119" t="s">
        <v>337</v>
      </c>
      <c r="B1367" s="193" t="s">
        <v>1721</v>
      </c>
      <c r="C1367" s="924"/>
      <c r="D1367" s="364" t="s">
        <v>1721</v>
      </c>
      <c r="E1367" s="512"/>
    </row>
    <row r="1368" spans="1:5" ht="20" x14ac:dyDescent="0.25">
      <c r="A1368" s="119" t="s">
        <v>337</v>
      </c>
      <c r="B1368" s="193" t="s">
        <v>1722</v>
      </c>
      <c r="C1368" s="924"/>
      <c r="D1368" s="364" t="s">
        <v>1722</v>
      </c>
      <c r="E1368" s="512"/>
    </row>
    <row r="1369" spans="1:5" x14ac:dyDescent="0.25">
      <c r="A1369" s="119" t="s">
        <v>337</v>
      </c>
      <c r="B1369" s="216" t="s">
        <v>1723</v>
      </c>
      <c r="C1369" s="924"/>
      <c r="D1369" s="417" t="s">
        <v>1723</v>
      </c>
      <c r="E1369" s="512"/>
    </row>
    <row r="1370" spans="1:5" ht="30" x14ac:dyDescent="0.25">
      <c r="A1370" s="119" t="s">
        <v>337</v>
      </c>
      <c r="B1370" s="216" t="s">
        <v>1724</v>
      </c>
      <c r="C1370" s="924"/>
      <c r="D1370" s="417" t="s">
        <v>1724</v>
      </c>
      <c r="E1370" s="512"/>
    </row>
    <row r="1371" spans="1:5" x14ac:dyDescent="0.25">
      <c r="A1371" s="119" t="s">
        <v>337</v>
      </c>
      <c r="B1371" s="193" t="s">
        <v>1725</v>
      </c>
      <c r="C1371" s="924"/>
      <c r="D1371" s="364" t="s">
        <v>1725</v>
      </c>
      <c r="E1371" s="512"/>
    </row>
    <row r="1372" spans="1:5" x14ac:dyDescent="0.25">
      <c r="A1372" s="119" t="s">
        <v>337</v>
      </c>
      <c r="B1372" s="53" t="s">
        <v>1726</v>
      </c>
      <c r="C1372" s="926"/>
      <c r="D1372" s="363" t="s">
        <v>1726</v>
      </c>
      <c r="E1372" s="512"/>
    </row>
    <row r="1373" spans="1:5" x14ac:dyDescent="0.25">
      <c r="A1373" s="119" t="s">
        <v>337</v>
      </c>
      <c r="B1373" s="193" t="s">
        <v>1727</v>
      </c>
      <c r="C1373" s="924"/>
      <c r="D1373" s="364" t="s">
        <v>1727</v>
      </c>
      <c r="E1373" s="512"/>
    </row>
    <row r="1374" spans="1:5" x14ac:dyDescent="0.35">
      <c r="A1374" s="119">
        <v>3054</v>
      </c>
      <c r="B1374" t="s">
        <v>1728</v>
      </c>
      <c r="C1374" s="909"/>
      <c r="D1374" s="482" t="s">
        <v>1728</v>
      </c>
      <c r="E1374" s="512"/>
    </row>
    <row r="1375" spans="1:5" x14ac:dyDescent="0.25">
      <c r="A1375" s="119" t="s">
        <v>337</v>
      </c>
      <c r="B1375" s="529" t="s">
        <v>1729</v>
      </c>
      <c r="C1375" s="999"/>
      <c r="D1375" s="548" t="s">
        <v>1729</v>
      </c>
      <c r="E1375" s="512"/>
    </row>
    <row r="1376" spans="1:5" x14ac:dyDescent="0.25">
      <c r="A1376" s="119" t="s">
        <v>337</v>
      </c>
      <c r="B1376" s="475" t="s">
        <v>1730</v>
      </c>
      <c r="C1376" s="926"/>
      <c r="D1376" s="419" t="s">
        <v>1730</v>
      </c>
      <c r="E1376" s="512"/>
    </row>
    <row r="1377" spans="1:5" x14ac:dyDescent="0.25">
      <c r="A1377" s="119" t="s">
        <v>337</v>
      </c>
      <c r="B1377" s="527" t="s">
        <v>1731</v>
      </c>
      <c r="C1377" s="953"/>
      <c r="D1377" s="549" t="s">
        <v>1731</v>
      </c>
      <c r="E1377" s="512"/>
    </row>
    <row r="1378" spans="1:5" x14ac:dyDescent="0.25">
      <c r="A1378" s="119" t="s">
        <v>337</v>
      </c>
      <c r="B1378" s="527" t="s">
        <v>1732</v>
      </c>
      <c r="C1378" s="953"/>
      <c r="D1378" s="549" t="s">
        <v>1732</v>
      </c>
      <c r="E1378" s="512"/>
    </row>
    <row r="1379" spans="1:5" x14ac:dyDescent="0.25">
      <c r="A1379" s="119" t="s">
        <v>337</v>
      </c>
      <c r="B1379" s="527" t="s">
        <v>1733</v>
      </c>
      <c r="C1379" s="953"/>
      <c r="D1379" s="549" t="s">
        <v>1733</v>
      </c>
      <c r="E1379" s="512"/>
    </row>
    <row r="1380" spans="1:5" x14ac:dyDescent="0.25">
      <c r="A1380" s="119" t="s">
        <v>337</v>
      </c>
      <c r="B1380" s="528" t="s">
        <v>1734</v>
      </c>
      <c r="C1380" s="953"/>
      <c r="D1380" s="488" t="s">
        <v>1734</v>
      </c>
      <c r="E1380" s="512"/>
    </row>
    <row r="1381" spans="1:5" ht="30" x14ac:dyDescent="0.25">
      <c r="A1381" s="119" t="s">
        <v>337</v>
      </c>
      <c r="B1381" s="193" t="s">
        <v>1735</v>
      </c>
      <c r="C1381" s="924"/>
      <c r="D1381" s="364" t="s">
        <v>1735</v>
      </c>
      <c r="E1381" s="512"/>
    </row>
    <row r="1382" spans="1:5" ht="20" x14ac:dyDescent="0.25">
      <c r="A1382" s="119" t="s">
        <v>337</v>
      </c>
      <c r="B1382" s="193" t="s">
        <v>1736</v>
      </c>
      <c r="C1382" s="924"/>
      <c r="D1382" s="364" t="s">
        <v>1736</v>
      </c>
      <c r="E1382" s="512"/>
    </row>
    <row r="1383" spans="1:5" x14ac:dyDescent="0.25">
      <c r="A1383" s="119" t="s">
        <v>337</v>
      </c>
      <c r="B1383" s="61" t="s">
        <v>1737</v>
      </c>
      <c r="C1383" s="927"/>
      <c r="D1383" s="363" t="s">
        <v>1737</v>
      </c>
      <c r="E1383" s="512"/>
    </row>
    <row r="1384" spans="1:5" ht="30" x14ac:dyDescent="0.25">
      <c r="A1384" s="119" t="s">
        <v>337</v>
      </c>
      <c r="B1384" s="216" t="s">
        <v>1738</v>
      </c>
      <c r="C1384" s="924"/>
      <c r="D1384" s="417" t="s">
        <v>1738</v>
      </c>
      <c r="E1384" s="512"/>
    </row>
    <row r="1385" spans="1:5" ht="37.5" x14ac:dyDescent="0.25">
      <c r="A1385" s="119" t="s">
        <v>337</v>
      </c>
      <c r="B1385" s="324" t="s">
        <v>1739</v>
      </c>
      <c r="C1385" s="936"/>
      <c r="D1385" s="415" t="s">
        <v>1739</v>
      </c>
      <c r="E1385" s="512"/>
    </row>
    <row r="1386" spans="1:5" ht="23" x14ac:dyDescent="0.25">
      <c r="A1386" s="119" t="s">
        <v>337</v>
      </c>
      <c r="B1386" s="388" t="s">
        <v>1740</v>
      </c>
      <c r="C1386" s="918"/>
      <c r="D1386" s="427" t="s">
        <v>1740</v>
      </c>
      <c r="E1386" s="512"/>
    </row>
    <row r="1387" spans="1:5" ht="24" x14ac:dyDescent="0.25">
      <c r="A1387" s="119" t="s">
        <v>337</v>
      </c>
      <c r="B1387" s="386" t="s">
        <v>1741</v>
      </c>
      <c r="C1387" s="918"/>
      <c r="D1387" s="398" t="s">
        <v>1741</v>
      </c>
      <c r="E1387" s="512"/>
    </row>
    <row r="1388" spans="1:5" ht="36" x14ac:dyDescent="0.25">
      <c r="A1388" s="119">
        <v>3068</v>
      </c>
      <c r="B1388" s="386" t="s">
        <v>1742</v>
      </c>
      <c r="C1388" s="918"/>
      <c r="D1388" s="398" t="s">
        <v>1742</v>
      </c>
      <c r="E1388" s="512"/>
    </row>
    <row r="1389" spans="1:5" ht="36" x14ac:dyDescent="0.25">
      <c r="A1389" s="119">
        <v>3069</v>
      </c>
      <c r="B1389" s="386" t="s">
        <v>1743</v>
      </c>
      <c r="C1389" s="918"/>
      <c r="D1389" s="398" t="s">
        <v>1743</v>
      </c>
      <c r="E1389" s="512"/>
    </row>
    <row r="1390" spans="1:5" ht="36" x14ac:dyDescent="0.25">
      <c r="A1390" s="119">
        <v>3070</v>
      </c>
      <c r="B1390" s="534" t="s">
        <v>1744</v>
      </c>
      <c r="C1390" s="938"/>
      <c r="D1390" s="398" t="s">
        <v>1744</v>
      </c>
      <c r="E1390" s="512"/>
    </row>
    <row r="1391" spans="1:5" ht="20" x14ac:dyDescent="0.25">
      <c r="A1391" s="119">
        <v>3071</v>
      </c>
      <c r="B1391" s="532" t="s">
        <v>1745</v>
      </c>
      <c r="C1391" s="954"/>
      <c r="D1391" s="417" t="s">
        <v>1745</v>
      </c>
      <c r="E1391" s="512"/>
    </row>
    <row r="1392" spans="1:5" ht="20" x14ac:dyDescent="0.25">
      <c r="A1392" s="119">
        <v>3072</v>
      </c>
      <c r="B1392" s="531" t="s">
        <v>1746</v>
      </c>
      <c r="C1392" s="954"/>
      <c r="D1392" s="364" t="s">
        <v>1746</v>
      </c>
      <c r="E1392" s="512"/>
    </row>
    <row r="1393" spans="1:5" ht="26" x14ac:dyDescent="0.25">
      <c r="A1393" s="119">
        <v>3073</v>
      </c>
      <c r="B1393" s="533" t="s">
        <v>1747</v>
      </c>
      <c r="C1393" s="1000"/>
      <c r="D1393" s="363" t="s">
        <v>1747</v>
      </c>
      <c r="E1393" s="512"/>
    </row>
    <row r="1394" spans="1:5" ht="26" x14ac:dyDescent="0.25">
      <c r="A1394" s="119" t="s">
        <v>337</v>
      </c>
      <c r="B1394" s="533" t="s">
        <v>1748</v>
      </c>
      <c r="C1394" s="1000"/>
      <c r="D1394" s="363" t="s">
        <v>1748</v>
      </c>
      <c r="E1394" s="512"/>
    </row>
    <row r="1395" spans="1:5" ht="20" x14ac:dyDescent="0.25">
      <c r="A1395" s="119">
        <v>3075</v>
      </c>
      <c r="B1395" s="530" t="s">
        <v>1749</v>
      </c>
      <c r="C1395" s="955"/>
      <c r="D1395" s="550" t="s">
        <v>1749</v>
      </c>
      <c r="E1395" s="512"/>
    </row>
    <row r="1396" spans="1:5" x14ac:dyDescent="0.25">
      <c r="A1396" s="545" t="s">
        <v>337</v>
      </c>
      <c r="B1396" s="545" t="s">
        <v>1750</v>
      </c>
      <c r="C1396" s="956"/>
      <c r="D1396" s="545" t="s">
        <v>1750</v>
      </c>
    </row>
    <row r="1397" spans="1:5" x14ac:dyDescent="0.35">
      <c r="A1397" s="119">
        <v>3500</v>
      </c>
      <c r="B1397" s="67" t="s">
        <v>16</v>
      </c>
      <c r="D1397" s="502" t="s">
        <v>16</v>
      </c>
    </row>
    <row r="1398" spans="1:5" ht="26" x14ac:dyDescent="0.35">
      <c r="A1398" s="119">
        <v>3501</v>
      </c>
      <c r="B1398" s="67" t="s">
        <v>18</v>
      </c>
      <c r="D1398" s="502" t="s">
        <v>18</v>
      </c>
    </row>
    <row r="1399" spans="1:5" x14ac:dyDescent="0.35">
      <c r="A1399" s="119">
        <v>3502</v>
      </c>
      <c r="B1399" s="67" t="s">
        <v>1983</v>
      </c>
      <c r="D1399" s="502" t="s">
        <v>1983</v>
      </c>
    </row>
    <row r="1400" spans="1:5" x14ac:dyDescent="0.35">
      <c r="A1400" s="119">
        <v>3503</v>
      </c>
      <c r="B1400" t="s">
        <v>1985</v>
      </c>
      <c r="C1400" s="909"/>
      <c r="D1400" s="482" t="s">
        <v>1985</v>
      </c>
    </row>
    <row r="1401" spans="1:5" x14ac:dyDescent="0.25">
      <c r="A1401" s="119">
        <v>3504</v>
      </c>
      <c r="B1401" s="511" t="s">
        <v>2049</v>
      </c>
      <c r="C1401" s="917" t="s">
        <v>2025</v>
      </c>
      <c r="D1401" s="452" t="s">
        <v>2022</v>
      </c>
    </row>
    <row r="1402" spans="1:5" x14ac:dyDescent="0.35">
      <c r="A1402" s="119">
        <v>3505</v>
      </c>
      <c r="B1402" t="s">
        <v>3</v>
      </c>
      <c r="C1402" s="909"/>
      <c r="D1402" s="482" t="s">
        <v>3</v>
      </c>
    </row>
    <row r="1403" spans="1:5" x14ac:dyDescent="0.35">
      <c r="A1403" s="119">
        <v>3506</v>
      </c>
      <c r="B1403" t="s">
        <v>5</v>
      </c>
      <c r="C1403" s="909"/>
      <c r="D1403" s="482" t="s">
        <v>5</v>
      </c>
    </row>
    <row r="1404" spans="1:5" x14ac:dyDescent="0.25">
      <c r="A1404" s="119">
        <v>3507</v>
      </c>
      <c r="B1404" s="205" t="s">
        <v>1873</v>
      </c>
      <c r="C1404" s="919"/>
      <c r="D1404" s="830" t="s">
        <v>1873</v>
      </c>
    </row>
    <row r="1405" spans="1:5" x14ac:dyDescent="0.25">
      <c r="A1405" s="119">
        <v>3508</v>
      </c>
      <c r="B1405" s="205" t="s">
        <v>7</v>
      </c>
      <c r="C1405" s="919"/>
      <c r="D1405" s="830" t="s">
        <v>7</v>
      </c>
    </row>
    <row r="1406" spans="1:5" x14ac:dyDescent="0.25">
      <c r="A1406" s="119">
        <v>3509</v>
      </c>
      <c r="B1406" s="205" t="s">
        <v>8</v>
      </c>
      <c r="C1406" s="919"/>
      <c r="D1406" s="830" t="s">
        <v>8</v>
      </c>
    </row>
    <row r="1407" spans="1:5" x14ac:dyDescent="0.25">
      <c r="A1407" s="119">
        <v>3510</v>
      </c>
      <c r="B1407" s="205" t="s">
        <v>9</v>
      </c>
      <c r="C1407" s="919"/>
      <c r="D1407" s="830" t="s">
        <v>9</v>
      </c>
    </row>
    <row r="1408" spans="1:5" x14ac:dyDescent="0.25">
      <c r="A1408" s="119">
        <v>3511</v>
      </c>
      <c r="B1408" s="205" t="s">
        <v>10</v>
      </c>
      <c r="C1408" s="919"/>
      <c r="D1408" s="830" t="s">
        <v>10</v>
      </c>
    </row>
    <row r="1409" spans="1:4" x14ac:dyDescent="0.25">
      <c r="A1409" s="119">
        <v>3512</v>
      </c>
      <c r="B1409" s="205" t="s">
        <v>11</v>
      </c>
      <c r="C1409" s="919"/>
      <c r="D1409" s="830" t="s">
        <v>11</v>
      </c>
    </row>
    <row r="1410" spans="1:4" x14ac:dyDescent="0.25">
      <c r="A1410" s="119">
        <v>3513</v>
      </c>
      <c r="B1410" s="205" t="s">
        <v>12</v>
      </c>
      <c r="C1410" s="919"/>
      <c r="D1410" s="830" t="s">
        <v>12</v>
      </c>
    </row>
    <row r="1411" spans="1:4" x14ac:dyDescent="0.25">
      <c r="A1411" s="119">
        <v>3514</v>
      </c>
      <c r="B1411" s="205" t="s">
        <v>13</v>
      </c>
      <c r="C1411" s="919"/>
      <c r="D1411" s="830" t="s">
        <v>13</v>
      </c>
    </row>
    <row r="1412" spans="1:4" x14ac:dyDescent="0.25">
      <c r="A1412" s="119">
        <v>3515</v>
      </c>
      <c r="B1412" s="379" t="s">
        <v>14</v>
      </c>
      <c r="C1412" s="935"/>
      <c r="D1412" s="415" t="s">
        <v>14</v>
      </c>
    </row>
    <row r="1413" spans="1:4" ht="37.5" x14ac:dyDescent="0.25">
      <c r="A1413" s="119">
        <v>3516</v>
      </c>
      <c r="B1413" s="471" t="s">
        <v>1886</v>
      </c>
      <c r="C1413" s="945"/>
      <c r="D1413" s="831" t="s">
        <v>1886</v>
      </c>
    </row>
    <row r="1414" spans="1:4" ht="75" x14ac:dyDescent="0.25">
      <c r="A1414" s="119">
        <v>3517</v>
      </c>
      <c r="B1414" s="300" t="s">
        <v>1876</v>
      </c>
      <c r="C1414" s="920"/>
      <c r="D1414" s="509" t="s">
        <v>1876</v>
      </c>
    </row>
    <row r="1415" spans="1:4" ht="25" x14ac:dyDescent="0.25">
      <c r="A1415" s="119">
        <v>3518</v>
      </c>
      <c r="B1415" s="300" t="s">
        <v>1875</v>
      </c>
      <c r="C1415" s="920"/>
      <c r="D1415" s="509" t="s">
        <v>1875</v>
      </c>
    </row>
    <row r="1416" spans="1:4" x14ac:dyDescent="0.35">
      <c r="A1416" s="119">
        <v>3519</v>
      </c>
      <c r="B1416" t="s">
        <v>17</v>
      </c>
      <c r="C1416" s="909"/>
      <c r="D1416" s="482" t="s">
        <v>17</v>
      </c>
    </row>
    <row r="1417" spans="1:4" ht="25" x14ac:dyDescent="0.25">
      <c r="A1417" s="119">
        <v>3520</v>
      </c>
      <c r="B1417" s="300" t="s">
        <v>1982</v>
      </c>
      <c r="C1417" s="920"/>
      <c r="D1417" s="509" t="s">
        <v>1982</v>
      </c>
    </row>
    <row r="1418" spans="1:4" ht="50" x14ac:dyDescent="0.25">
      <c r="A1418" s="119">
        <v>3521</v>
      </c>
      <c r="B1418" s="300" t="s">
        <v>1893</v>
      </c>
      <c r="C1418" s="920"/>
      <c r="D1418" s="509" t="s">
        <v>1893</v>
      </c>
    </row>
    <row r="1419" spans="1:4" ht="25" x14ac:dyDescent="0.25">
      <c r="A1419" s="119">
        <v>3522</v>
      </c>
      <c r="B1419" s="300" t="s">
        <v>1894</v>
      </c>
      <c r="C1419" s="920"/>
      <c r="D1419" s="509" t="s">
        <v>1894</v>
      </c>
    </row>
    <row r="1420" spans="1:4" ht="25" x14ac:dyDescent="0.25">
      <c r="A1420" s="119">
        <v>3523</v>
      </c>
      <c r="B1420" s="379" t="s">
        <v>1896</v>
      </c>
      <c r="C1420" s="935"/>
      <c r="D1420" s="415" t="s">
        <v>1896</v>
      </c>
    </row>
    <row r="1421" spans="1:4" x14ac:dyDescent="0.25">
      <c r="A1421" s="119">
        <v>3524</v>
      </c>
      <c r="B1421" s="379" t="s">
        <v>1920</v>
      </c>
      <c r="C1421" s="935"/>
      <c r="D1421" s="415" t="s">
        <v>1920</v>
      </c>
    </row>
    <row r="1422" spans="1:4" ht="25" x14ac:dyDescent="0.25">
      <c r="A1422" s="119">
        <v>3525</v>
      </c>
      <c r="B1422" s="379" t="s">
        <v>1921</v>
      </c>
      <c r="C1422" s="935"/>
      <c r="D1422" s="415" t="s">
        <v>1921</v>
      </c>
    </row>
    <row r="1423" spans="1:4" ht="25" x14ac:dyDescent="0.25">
      <c r="A1423" s="119">
        <v>3526</v>
      </c>
      <c r="B1423" s="379" t="s">
        <v>1922</v>
      </c>
      <c r="C1423" s="935"/>
      <c r="D1423" s="415" t="s">
        <v>1922</v>
      </c>
    </row>
    <row r="1424" spans="1:4" ht="25" x14ac:dyDescent="0.25">
      <c r="A1424" s="119">
        <v>3527</v>
      </c>
      <c r="B1424" s="300" t="s">
        <v>1887</v>
      </c>
      <c r="C1424" s="920"/>
      <c r="D1424" s="509" t="s">
        <v>1887</v>
      </c>
    </row>
    <row r="1425" spans="1:4" ht="75" x14ac:dyDescent="0.25">
      <c r="A1425" s="119">
        <v>3528</v>
      </c>
      <c r="B1425" s="300" t="s">
        <v>1884</v>
      </c>
      <c r="C1425" s="920"/>
      <c r="D1425" s="509" t="s">
        <v>1884</v>
      </c>
    </row>
    <row r="1426" spans="1:4" ht="25" x14ac:dyDescent="0.25">
      <c r="A1426" s="119">
        <v>3529</v>
      </c>
      <c r="B1426" s="300" t="s">
        <v>1885</v>
      </c>
      <c r="C1426" s="920"/>
      <c r="D1426" s="509" t="s">
        <v>1885</v>
      </c>
    </row>
    <row r="1427" spans="1:4" ht="37.5" x14ac:dyDescent="0.25">
      <c r="A1427" s="119">
        <v>3530</v>
      </c>
      <c r="B1427" s="300" t="s">
        <v>1874</v>
      </c>
      <c r="C1427" s="920"/>
      <c r="D1427" s="509" t="s">
        <v>1874</v>
      </c>
    </row>
    <row r="1428" spans="1:4" ht="87.5" x14ac:dyDescent="0.25">
      <c r="A1428" s="119">
        <v>3531</v>
      </c>
      <c r="B1428" s="300" t="s">
        <v>1889</v>
      </c>
      <c r="C1428" s="920"/>
      <c r="D1428" s="509" t="s">
        <v>1889</v>
      </c>
    </row>
    <row r="1429" spans="1:4" x14ac:dyDescent="0.25">
      <c r="A1429" s="119">
        <v>3532</v>
      </c>
      <c r="B1429" s="526" t="s">
        <v>1984</v>
      </c>
      <c r="C1429" s="921"/>
      <c r="D1429" s="832" t="s">
        <v>1984</v>
      </c>
    </row>
    <row r="1430" spans="1:4" ht="25" x14ac:dyDescent="0.25">
      <c r="A1430" s="119">
        <v>3533</v>
      </c>
      <c r="B1430" s="300" t="s">
        <v>1888</v>
      </c>
      <c r="C1430" s="920"/>
      <c r="D1430" s="509" t="s">
        <v>1888</v>
      </c>
    </row>
    <row r="1431" spans="1:4" ht="52.5" x14ac:dyDescent="0.25">
      <c r="A1431" s="119">
        <v>3534</v>
      </c>
      <c r="B1431" s="191" t="s">
        <v>2021</v>
      </c>
      <c r="C1431" s="922"/>
      <c r="D1431" s="833" t="s">
        <v>2021</v>
      </c>
    </row>
    <row r="1432" spans="1:4" ht="37.5" x14ac:dyDescent="0.25">
      <c r="A1432" s="119">
        <v>3535</v>
      </c>
      <c r="B1432" s="300" t="s">
        <v>1890</v>
      </c>
      <c r="C1432" s="920"/>
      <c r="D1432" s="509" t="s">
        <v>1890</v>
      </c>
    </row>
    <row r="1433" spans="1:4" ht="62.5" x14ac:dyDescent="0.25">
      <c r="A1433" s="119">
        <v>3536</v>
      </c>
      <c r="B1433" s="300" t="s">
        <v>1919</v>
      </c>
      <c r="C1433" s="920"/>
      <c r="D1433" s="509" t="s">
        <v>1919</v>
      </c>
    </row>
    <row r="1434" spans="1:4" ht="87.5" x14ac:dyDescent="0.25">
      <c r="A1434" s="119">
        <v>3537</v>
      </c>
      <c r="B1434" s="300" t="s">
        <v>1977</v>
      </c>
      <c r="C1434" s="920"/>
      <c r="D1434" s="509" t="s">
        <v>1977</v>
      </c>
    </row>
    <row r="1435" spans="1:4" ht="37.5" x14ac:dyDescent="0.25">
      <c r="A1435" s="119">
        <v>3538</v>
      </c>
      <c r="B1435" s="300" t="s">
        <v>1891</v>
      </c>
      <c r="C1435" s="920"/>
      <c r="D1435" s="509" t="s">
        <v>1891</v>
      </c>
    </row>
    <row r="1436" spans="1:4" x14ac:dyDescent="0.25">
      <c r="A1436" s="119">
        <v>3539</v>
      </c>
      <c r="B1436" s="53" t="s">
        <v>75</v>
      </c>
      <c r="C1436" s="926"/>
      <c r="D1436" s="363" t="s">
        <v>75</v>
      </c>
    </row>
    <row r="1437" spans="1:4" ht="20" x14ac:dyDescent="0.25">
      <c r="A1437" s="119">
        <v>3540</v>
      </c>
      <c r="B1437" s="215" t="s">
        <v>1901</v>
      </c>
      <c r="C1437" s="925"/>
      <c r="D1437" s="417" t="s">
        <v>1901</v>
      </c>
    </row>
    <row r="1438" spans="1:4" x14ac:dyDescent="0.25">
      <c r="A1438" s="119">
        <v>3541</v>
      </c>
      <c r="B1438" s="75" t="s">
        <v>1900</v>
      </c>
      <c r="C1438" s="925"/>
      <c r="D1438" s="364" t="s">
        <v>1900</v>
      </c>
    </row>
    <row r="1439" spans="1:4" ht="30" x14ac:dyDescent="0.25">
      <c r="A1439" s="119">
        <v>3542</v>
      </c>
      <c r="B1439" s="797" t="s">
        <v>76</v>
      </c>
      <c r="C1439" s="957"/>
      <c r="D1439" s="834" t="s">
        <v>76</v>
      </c>
    </row>
    <row r="1440" spans="1:4" ht="40" x14ac:dyDescent="0.25">
      <c r="A1440" s="119">
        <v>3543</v>
      </c>
      <c r="B1440" s="75" t="s">
        <v>1902</v>
      </c>
      <c r="C1440" s="925"/>
      <c r="D1440" s="364" t="s">
        <v>1902</v>
      </c>
    </row>
    <row r="1441" spans="1:4" x14ac:dyDescent="0.25">
      <c r="A1441" s="119">
        <v>3544</v>
      </c>
      <c r="B1441" s="798" t="s">
        <v>77</v>
      </c>
      <c r="C1441" s="962"/>
      <c r="D1441" s="835" t="s">
        <v>77</v>
      </c>
    </row>
    <row r="1442" spans="1:4" x14ac:dyDescent="0.25">
      <c r="A1442" s="119">
        <v>3545</v>
      </c>
      <c r="B1442" s="810" t="s">
        <v>78</v>
      </c>
      <c r="C1442" s="1001"/>
      <c r="D1442" s="836" t="s">
        <v>78</v>
      </c>
    </row>
    <row r="1443" spans="1:4" x14ac:dyDescent="0.25">
      <c r="A1443" s="119">
        <v>3546</v>
      </c>
      <c r="B1443" s="543" t="s">
        <v>79</v>
      </c>
      <c r="C1443" s="1002"/>
      <c r="D1443" s="837" t="s">
        <v>79</v>
      </c>
    </row>
    <row r="1444" spans="1:4" x14ac:dyDescent="0.25">
      <c r="A1444" s="119">
        <v>3547</v>
      </c>
      <c r="B1444" s="543" t="s">
        <v>1989</v>
      </c>
      <c r="C1444" s="1002"/>
      <c r="D1444" s="837" t="s">
        <v>1989</v>
      </c>
    </row>
    <row r="1445" spans="1:4" x14ac:dyDescent="0.25">
      <c r="A1445" s="119">
        <v>3548</v>
      </c>
      <c r="B1445" s="543" t="s">
        <v>80</v>
      </c>
      <c r="C1445" s="1002"/>
      <c r="D1445" s="837" t="s">
        <v>80</v>
      </c>
    </row>
    <row r="1446" spans="1:4" x14ac:dyDescent="0.25">
      <c r="A1446" s="119">
        <v>3549</v>
      </c>
      <c r="B1446" s="795" t="s">
        <v>81</v>
      </c>
      <c r="C1446" s="964"/>
      <c r="D1446" s="838" t="s">
        <v>81</v>
      </c>
    </row>
    <row r="1447" spans="1:4" x14ac:dyDescent="0.25">
      <c r="A1447" s="119">
        <v>3550</v>
      </c>
      <c r="B1447" s="811" t="s">
        <v>82</v>
      </c>
      <c r="C1447" s="958"/>
      <c r="D1447" s="839" t="s">
        <v>82</v>
      </c>
    </row>
    <row r="1448" spans="1:4" ht="20" x14ac:dyDescent="0.25">
      <c r="A1448" s="119">
        <v>3551</v>
      </c>
      <c r="B1448" s="796" t="s">
        <v>83</v>
      </c>
      <c r="C1448" s="959"/>
      <c r="D1448" s="840" t="s">
        <v>83</v>
      </c>
    </row>
    <row r="1449" spans="1:4" x14ac:dyDescent="0.25">
      <c r="A1449" s="119">
        <v>3552</v>
      </c>
      <c r="B1449" s="208" t="s">
        <v>84</v>
      </c>
      <c r="C1449" s="1003"/>
      <c r="D1449" s="841" t="s">
        <v>84</v>
      </c>
    </row>
    <row r="1450" spans="1:4" ht="20" x14ac:dyDescent="0.25">
      <c r="A1450" s="119">
        <v>3553</v>
      </c>
      <c r="B1450" s="793" t="s">
        <v>86</v>
      </c>
      <c r="C1450" s="960"/>
      <c r="D1450" s="842" t="s">
        <v>86</v>
      </c>
    </row>
    <row r="1451" spans="1:4" x14ac:dyDescent="0.25">
      <c r="A1451" s="119">
        <v>3554</v>
      </c>
      <c r="B1451" s="208" t="s">
        <v>87</v>
      </c>
      <c r="C1451" s="1003"/>
      <c r="D1451" s="841" t="s">
        <v>87</v>
      </c>
    </row>
    <row r="1452" spans="1:4" x14ac:dyDescent="0.25">
      <c r="A1452" s="119">
        <v>3555</v>
      </c>
      <c r="B1452" s="797" t="s">
        <v>88</v>
      </c>
      <c r="C1452" s="957"/>
      <c r="D1452" s="834" t="s">
        <v>88</v>
      </c>
    </row>
    <row r="1453" spans="1:4" ht="20" x14ac:dyDescent="0.25">
      <c r="A1453" s="119">
        <v>3556</v>
      </c>
      <c r="B1453" s="793" t="s">
        <v>89</v>
      </c>
      <c r="C1453" s="960"/>
      <c r="D1453" s="842" t="s">
        <v>89</v>
      </c>
    </row>
    <row r="1454" spans="1:4" x14ac:dyDescent="0.25">
      <c r="A1454" s="119">
        <v>3557</v>
      </c>
      <c r="B1454" s="208" t="s">
        <v>90</v>
      </c>
      <c r="C1454" s="1003"/>
      <c r="D1454" s="841" t="s">
        <v>90</v>
      </c>
    </row>
    <row r="1455" spans="1:4" x14ac:dyDescent="0.25">
      <c r="A1455" s="119">
        <v>3558</v>
      </c>
      <c r="B1455" s="797" t="s">
        <v>91</v>
      </c>
      <c r="C1455" s="957"/>
      <c r="D1455" s="834" t="s">
        <v>91</v>
      </c>
    </row>
    <row r="1456" spans="1:4" ht="20" x14ac:dyDescent="0.25">
      <c r="A1456" s="119">
        <v>3559</v>
      </c>
      <c r="B1456" s="793" t="s">
        <v>92</v>
      </c>
      <c r="C1456" s="960"/>
      <c r="D1456" s="842" t="s">
        <v>92</v>
      </c>
    </row>
    <row r="1457" spans="1:4" x14ac:dyDescent="0.25">
      <c r="A1457" s="119">
        <v>3560</v>
      </c>
      <c r="B1457" s="208" t="s">
        <v>93</v>
      </c>
      <c r="C1457" s="1003"/>
      <c r="D1457" s="841" t="s">
        <v>93</v>
      </c>
    </row>
    <row r="1458" spans="1:4" x14ac:dyDescent="0.25">
      <c r="A1458" s="119">
        <v>3561</v>
      </c>
      <c r="B1458" s="797" t="s">
        <v>94</v>
      </c>
      <c r="C1458" s="957"/>
      <c r="D1458" s="834" t="s">
        <v>94</v>
      </c>
    </row>
    <row r="1459" spans="1:4" ht="20" x14ac:dyDescent="0.25">
      <c r="A1459" s="119">
        <v>3562</v>
      </c>
      <c r="B1459" s="793" t="s">
        <v>95</v>
      </c>
      <c r="C1459" s="960"/>
      <c r="D1459" s="842" t="s">
        <v>95</v>
      </c>
    </row>
    <row r="1460" spans="1:4" x14ac:dyDescent="0.25">
      <c r="A1460" s="119">
        <v>3563</v>
      </c>
      <c r="B1460" s="208" t="s">
        <v>96</v>
      </c>
      <c r="C1460" s="1003"/>
      <c r="D1460" s="841" t="s">
        <v>96</v>
      </c>
    </row>
    <row r="1461" spans="1:4" x14ac:dyDescent="0.25">
      <c r="A1461" s="119">
        <v>3564</v>
      </c>
      <c r="B1461" s="797" t="s">
        <v>97</v>
      </c>
      <c r="C1461" s="957"/>
      <c r="D1461" s="834" t="s">
        <v>97</v>
      </c>
    </row>
    <row r="1462" spans="1:4" x14ac:dyDescent="0.25">
      <c r="A1462" s="119">
        <v>3565</v>
      </c>
      <c r="B1462" s="793" t="s">
        <v>98</v>
      </c>
      <c r="C1462" s="960"/>
      <c r="D1462" s="842" t="s">
        <v>98</v>
      </c>
    </row>
    <row r="1463" spans="1:4" x14ac:dyDescent="0.25">
      <c r="A1463" s="119">
        <v>3566</v>
      </c>
      <c r="B1463" s="208" t="s">
        <v>99</v>
      </c>
      <c r="C1463" s="1003"/>
      <c r="D1463" s="841" t="s">
        <v>99</v>
      </c>
    </row>
    <row r="1464" spans="1:4" x14ac:dyDescent="0.25">
      <c r="A1464" s="119">
        <v>3567</v>
      </c>
      <c r="B1464" s="797" t="s">
        <v>100</v>
      </c>
      <c r="C1464" s="957"/>
      <c r="D1464" s="834" t="s">
        <v>100</v>
      </c>
    </row>
    <row r="1465" spans="1:4" x14ac:dyDescent="0.25">
      <c r="A1465" s="119">
        <v>3568</v>
      </c>
      <c r="B1465" s="793" t="s">
        <v>101</v>
      </c>
      <c r="C1465" s="960"/>
      <c r="D1465" s="842" t="s">
        <v>101</v>
      </c>
    </row>
    <row r="1466" spans="1:4" x14ac:dyDescent="0.25">
      <c r="A1466" s="119">
        <v>3569</v>
      </c>
      <c r="B1466" s="208" t="s">
        <v>102</v>
      </c>
      <c r="C1466" s="1003"/>
      <c r="D1466" s="841" t="s">
        <v>102</v>
      </c>
    </row>
    <row r="1467" spans="1:4" ht="20" x14ac:dyDescent="0.25">
      <c r="A1467" s="119">
        <v>3570</v>
      </c>
      <c r="B1467" s="793" t="s">
        <v>103</v>
      </c>
      <c r="C1467" s="960"/>
      <c r="D1467" s="842" t="s">
        <v>103</v>
      </c>
    </row>
    <row r="1468" spans="1:4" x14ac:dyDescent="0.25">
      <c r="A1468" s="119">
        <v>3571</v>
      </c>
      <c r="B1468" s="797" t="s">
        <v>148</v>
      </c>
      <c r="C1468" s="957"/>
      <c r="D1468" s="834" t="s">
        <v>148</v>
      </c>
    </row>
    <row r="1469" spans="1:4" ht="12.65" customHeight="1" x14ac:dyDescent="0.25">
      <c r="A1469" s="119">
        <v>3572</v>
      </c>
      <c r="B1469" s="208" t="s">
        <v>104</v>
      </c>
      <c r="C1469" s="1003"/>
      <c r="D1469" s="841" t="s">
        <v>104</v>
      </c>
    </row>
    <row r="1470" spans="1:4" ht="20" x14ac:dyDescent="0.25">
      <c r="A1470" s="119">
        <v>3573</v>
      </c>
      <c r="B1470" s="793" t="s">
        <v>105</v>
      </c>
      <c r="C1470" s="960"/>
      <c r="D1470" s="842" t="s">
        <v>105</v>
      </c>
    </row>
    <row r="1471" spans="1:4" ht="12.65" customHeight="1" x14ac:dyDescent="0.25">
      <c r="A1471" s="119">
        <v>3574</v>
      </c>
      <c r="B1471" s="208" t="s">
        <v>106</v>
      </c>
      <c r="C1471" s="1003"/>
      <c r="D1471" s="841" t="s">
        <v>106</v>
      </c>
    </row>
    <row r="1472" spans="1:4" ht="12.65" customHeight="1" x14ac:dyDescent="0.25">
      <c r="A1472" s="119">
        <v>3575</v>
      </c>
      <c r="B1472" s="797" t="s">
        <v>107</v>
      </c>
      <c r="C1472" s="957"/>
      <c r="D1472" s="834" t="s">
        <v>107</v>
      </c>
    </row>
    <row r="1473" spans="1:4" ht="20" x14ac:dyDescent="0.25">
      <c r="A1473" s="119">
        <v>3576</v>
      </c>
      <c r="B1473" s="793" t="s">
        <v>108</v>
      </c>
      <c r="C1473" s="960"/>
      <c r="D1473" s="842" t="s">
        <v>108</v>
      </c>
    </row>
    <row r="1474" spans="1:4" x14ac:dyDescent="0.25">
      <c r="A1474" s="119">
        <v>3577</v>
      </c>
      <c r="B1474" s="208" t="s">
        <v>109</v>
      </c>
      <c r="C1474" s="1003"/>
      <c r="D1474" s="841" t="s">
        <v>109</v>
      </c>
    </row>
    <row r="1475" spans="1:4" x14ac:dyDescent="0.25">
      <c r="A1475" s="119">
        <v>3578</v>
      </c>
      <c r="B1475" s="797" t="s">
        <v>110</v>
      </c>
      <c r="C1475" s="957"/>
      <c r="D1475" s="834" t="s">
        <v>110</v>
      </c>
    </row>
    <row r="1476" spans="1:4" ht="20" x14ac:dyDescent="0.25">
      <c r="A1476" s="119">
        <v>3579</v>
      </c>
      <c r="B1476" s="793" t="s">
        <v>111</v>
      </c>
      <c r="C1476" s="960"/>
      <c r="D1476" s="842" t="s">
        <v>111</v>
      </c>
    </row>
    <row r="1477" spans="1:4" x14ac:dyDescent="0.25">
      <c r="A1477" s="119">
        <v>3580</v>
      </c>
      <c r="B1477" s="208" t="s">
        <v>112</v>
      </c>
      <c r="C1477" s="1003"/>
      <c r="D1477" s="841" t="s">
        <v>112</v>
      </c>
    </row>
    <row r="1478" spans="1:4" x14ac:dyDescent="0.25">
      <c r="A1478" s="119">
        <v>3581</v>
      </c>
      <c r="B1478" s="797" t="s">
        <v>113</v>
      </c>
      <c r="C1478" s="957"/>
      <c r="D1478" s="834" t="s">
        <v>113</v>
      </c>
    </row>
    <row r="1479" spans="1:4" ht="20" x14ac:dyDescent="0.25">
      <c r="A1479" s="119">
        <v>3582</v>
      </c>
      <c r="B1479" s="793" t="s">
        <v>1986</v>
      </c>
      <c r="C1479" s="960"/>
      <c r="D1479" s="842" t="s">
        <v>1986</v>
      </c>
    </row>
    <row r="1480" spans="1:4" x14ac:dyDescent="0.25">
      <c r="A1480" s="119">
        <v>3583</v>
      </c>
      <c r="B1480" s="797" t="s">
        <v>115</v>
      </c>
      <c r="C1480" s="957"/>
      <c r="D1480" s="834" t="s">
        <v>115</v>
      </c>
    </row>
    <row r="1481" spans="1:4" x14ac:dyDescent="0.25">
      <c r="A1481" s="119">
        <v>3584</v>
      </c>
      <c r="B1481" s="208" t="s">
        <v>114</v>
      </c>
      <c r="C1481" s="1003"/>
      <c r="D1481" s="841" t="s">
        <v>114</v>
      </c>
    </row>
    <row r="1482" spans="1:4" ht="20" x14ac:dyDescent="0.25">
      <c r="A1482" s="119">
        <v>3585</v>
      </c>
      <c r="B1482" s="793" t="s">
        <v>1988</v>
      </c>
      <c r="C1482" s="960"/>
      <c r="D1482" s="842" t="s">
        <v>1988</v>
      </c>
    </row>
    <row r="1483" spans="1:4" x14ac:dyDescent="0.25">
      <c r="A1483" s="119">
        <v>3586</v>
      </c>
      <c r="B1483" s="208" t="s">
        <v>116</v>
      </c>
      <c r="C1483" s="1003"/>
      <c r="D1483" s="841" t="s">
        <v>116</v>
      </c>
    </row>
    <row r="1484" spans="1:4" x14ac:dyDescent="0.25">
      <c r="A1484" s="119">
        <v>3587</v>
      </c>
      <c r="B1484" s="797" t="s">
        <v>117</v>
      </c>
      <c r="C1484" s="957"/>
      <c r="D1484" s="834" t="s">
        <v>117</v>
      </c>
    </row>
    <row r="1485" spans="1:4" ht="20" x14ac:dyDescent="0.25">
      <c r="A1485" s="119">
        <v>3588</v>
      </c>
      <c r="B1485" s="793" t="s">
        <v>1987</v>
      </c>
      <c r="C1485" s="960"/>
      <c r="D1485" s="842" t="s">
        <v>1987</v>
      </c>
    </row>
    <row r="1486" spans="1:4" x14ac:dyDescent="0.25">
      <c r="A1486" s="119">
        <v>3589</v>
      </c>
      <c r="B1486" s="793" t="s">
        <v>119</v>
      </c>
      <c r="C1486" s="960"/>
      <c r="D1486" s="842" t="s">
        <v>119</v>
      </c>
    </row>
    <row r="1487" spans="1:4" x14ac:dyDescent="0.25">
      <c r="A1487" s="119">
        <v>3590</v>
      </c>
      <c r="B1487" s="208" t="s">
        <v>120</v>
      </c>
      <c r="C1487" s="1003"/>
      <c r="D1487" s="841" t="s">
        <v>120</v>
      </c>
    </row>
    <row r="1488" spans="1:4" x14ac:dyDescent="0.25">
      <c r="A1488" s="119">
        <v>3591</v>
      </c>
      <c r="B1488" s="797" t="s">
        <v>121</v>
      </c>
      <c r="C1488" s="957"/>
      <c r="D1488" s="834" t="s">
        <v>121</v>
      </c>
    </row>
    <row r="1489" spans="1:4" ht="20" x14ac:dyDescent="0.25">
      <c r="A1489" s="119">
        <v>3592</v>
      </c>
      <c r="B1489" s="793" t="s">
        <v>122</v>
      </c>
      <c r="C1489" s="960"/>
      <c r="D1489" s="842" t="s">
        <v>122</v>
      </c>
    </row>
    <row r="1490" spans="1:4" x14ac:dyDescent="0.25">
      <c r="A1490" s="119">
        <v>3593</v>
      </c>
      <c r="B1490" s="812" t="s">
        <v>123</v>
      </c>
      <c r="C1490" s="1004"/>
      <c r="D1490" s="843" t="s">
        <v>123</v>
      </c>
    </row>
    <row r="1491" spans="1:4" ht="20" x14ac:dyDescent="0.25">
      <c r="A1491" s="119">
        <v>3594</v>
      </c>
      <c r="B1491" s="216" t="s">
        <v>1991</v>
      </c>
      <c r="C1491" s="924"/>
      <c r="D1491" s="844" t="s">
        <v>1991</v>
      </c>
    </row>
    <row r="1492" spans="1:4" x14ac:dyDescent="0.25">
      <c r="A1492" s="119">
        <v>3595</v>
      </c>
      <c r="B1492" s="478" t="s">
        <v>125</v>
      </c>
      <c r="C1492" s="965"/>
      <c r="D1492" s="490" t="s">
        <v>125</v>
      </c>
    </row>
    <row r="1493" spans="1:4" x14ac:dyDescent="0.25">
      <c r="A1493" s="119">
        <v>3596</v>
      </c>
      <c r="B1493" s="478" t="s">
        <v>126</v>
      </c>
      <c r="C1493" s="965"/>
      <c r="D1493" s="490" t="s">
        <v>126</v>
      </c>
    </row>
    <row r="1494" spans="1:4" x14ac:dyDescent="0.25">
      <c r="A1494" s="119">
        <v>3597</v>
      </c>
      <c r="B1494" s="478" t="s">
        <v>127</v>
      </c>
      <c r="C1494" s="965"/>
      <c r="D1494" s="490" t="s">
        <v>127</v>
      </c>
    </row>
    <row r="1495" spans="1:4" x14ac:dyDescent="0.25">
      <c r="A1495" s="119">
        <v>3598</v>
      </c>
      <c r="B1495" s="478" t="s">
        <v>128</v>
      </c>
      <c r="C1495" s="965"/>
      <c r="D1495" s="490" t="s">
        <v>128</v>
      </c>
    </row>
    <row r="1496" spans="1:4" x14ac:dyDescent="0.25">
      <c r="A1496" s="119">
        <v>3599</v>
      </c>
      <c r="B1496" s="791" t="s">
        <v>130</v>
      </c>
      <c r="C1496" s="961"/>
      <c r="D1496" s="845" t="s">
        <v>130</v>
      </c>
    </row>
    <row r="1497" spans="1:4" ht="20" x14ac:dyDescent="0.25">
      <c r="A1497" s="119">
        <v>3600</v>
      </c>
      <c r="B1497" s="799" t="s">
        <v>1990</v>
      </c>
      <c r="C1497" s="925"/>
      <c r="D1497" s="417" t="s">
        <v>1990</v>
      </c>
    </row>
    <row r="1498" spans="1:4" ht="40" x14ac:dyDescent="0.25">
      <c r="A1498" s="119">
        <v>3601</v>
      </c>
      <c r="B1498" s="75" t="s">
        <v>2009</v>
      </c>
      <c r="C1498" s="925"/>
      <c r="D1498" s="364" t="s">
        <v>2009</v>
      </c>
    </row>
    <row r="1499" spans="1:4" ht="20" x14ac:dyDescent="0.25">
      <c r="A1499" s="119">
        <v>3602</v>
      </c>
      <c r="B1499" s="717" t="s">
        <v>1903</v>
      </c>
      <c r="C1499" s="962"/>
      <c r="D1499" s="846" t="s">
        <v>1903</v>
      </c>
    </row>
    <row r="1500" spans="1:4" x14ac:dyDescent="0.25">
      <c r="A1500" s="119">
        <v>3603</v>
      </c>
      <c r="B1500" s="478" t="s">
        <v>1897</v>
      </c>
      <c r="C1500" s="965"/>
      <c r="D1500" s="490" t="s">
        <v>1897</v>
      </c>
    </row>
    <row r="1501" spans="1:4" x14ac:dyDescent="0.25">
      <c r="A1501" s="119">
        <v>3604</v>
      </c>
      <c r="B1501" s="478" t="s">
        <v>1877</v>
      </c>
      <c r="C1501" s="965"/>
      <c r="D1501" s="490" t="s">
        <v>1877</v>
      </c>
    </row>
    <row r="1502" spans="1:4" ht="20" x14ac:dyDescent="0.25">
      <c r="A1502" s="119">
        <v>3605</v>
      </c>
      <c r="B1502" s="75" t="s">
        <v>1905</v>
      </c>
      <c r="C1502" s="925"/>
      <c r="D1502" s="364" t="s">
        <v>1905</v>
      </c>
    </row>
    <row r="1503" spans="1:4" ht="20" x14ac:dyDescent="0.25">
      <c r="A1503" s="119">
        <v>3606</v>
      </c>
      <c r="B1503" s="794" t="s">
        <v>2005</v>
      </c>
      <c r="C1503" s="963"/>
      <c r="D1503" s="847" t="s">
        <v>2005</v>
      </c>
    </row>
    <row r="1504" spans="1:4" x14ac:dyDescent="0.35">
      <c r="A1504" s="119">
        <v>3607</v>
      </c>
      <c r="B1504" t="s">
        <v>2003</v>
      </c>
      <c r="C1504" s="909"/>
      <c r="D1504" s="482" t="s">
        <v>2003</v>
      </c>
    </row>
    <row r="1505" spans="1:4" x14ac:dyDescent="0.25">
      <c r="A1505" s="119">
        <v>3608</v>
      </c>
      <c r="B1505" s="793" t="s">
        <v>1906</v>
      </c>
      <c r="C1505" s="960"/>
      <c r="D1505" s="842" t="s">
        <v>1906</v>
      </c>
    </row>
    <row r="1506" spans="1:4" x14ac:dyDescent="0.25">
      <c r="A1506" s="119">
        <v>3609</v>
      </c>
      <c r="B1506" s="208" t="s">
        <v>151</v>
      </c>
      <c r="C1506" s="1003"/>
      <c r="D1506" s="841" t="s">
        <v>151</v>
      </c>
    </row>
    <row r="1507" spans="1:4" ht="30" x14ac:dyDescent="0.25">
      <c r="A1507" s="119">
        <v>3610</v>
      </c>
      <c r="B1507" s="793" t="s">
        <v>1907</v>
      </c>
      <c r="C1507" s="960"/>
      <c r="D1507" s="842" t="s">
        <v>1907</v>
      </c>
    </row>
    <row r="1508" spans="1:4" x14ac:dyDescent="0.25">
      <c r="A1508" s="119">
        <v>3611</v>
      </c>
      <c r="B1508" s="208" t="s">
        <v>1908</v>
      </c>
      <c r="C1508" s="1003"/>
      <c r="D1508" s="841" t="s">
        <v>1908</v>
      </c>
    </row>
    <row r="1509" spans="1:4" ht="20" x14ac:dyDescent="0.25">
      <c r="A1509" s="119">
        <v>3612</v>
      </c>
      <c r="B1509" s="793" t="s">
        <v>1909</v>
      </c>
      <c r="C1509" s="960"/>
      <c r="D1509" s="842" t="s">
        <v>1909</v>
      </c>
    </row>
    <row r="1510" spans="1:4" x14ac:dyDescent="0.25">
      <c r="A1510" s="119">
        <v>3613</v>
      </c>
      <c r="B1510" s="208" t="s">
        <v>1910</v>
      </c>
      <c r="C1510" s="1003"/>
      <c r="D1510" s="841" t="s">
        <v>1910</v>
      </c>
    </row>
    <row r="1511" spans="1:4" x14ac:dyDescent="0.25">
      <c r="A1511" s="119">
        <v>3614</v>
      </c>
      <c r="B1511" s="793" t="s">
        <v>1911</v>
      </c>
      <c r="C1511" s="960"/>
      <c r="D1511" s="842" t="s">
        <v>1911</v>
      </c>
    </row>
    <row r="1512" spans="1:4" x14ac:dyDescent="0.25">
      <c r="A1512" s="119">
        <v>3615</v>
      </c>
      <c r="B1512" s="208" t="s">
        <v>1912</v>
      </c>
      <c r="C1512" s="1003"/>
      <c r="D1512" s="841" t="s">
        <v>1912</v>
      </c>
    </row>
    <row r="1513" spans="1:4" x14ac:dyDescent="0.25">
      <c r="A1513" s="119">
        <v>3616</v>
      </c>
      <c r="B1513" s="793" t="s">
        <v>1913</v>
      </c>
      <c r="C1513" s="960"/>
      <c r="D1513" s="842" t="s">
        <v>1913</v>
      </c>
    </row>
    <row r="1514" spans="1:4" ht="20" x14ac:dyDescent="0.25">
      <c r="A1514" s="119">
        <v>3617</v>
      </c>
      <c r="B1514" s="75" t="s">
        <v>2018</v>
      </c>
      <c r="C1514" s="925"/>
      <c r="D1514" s="364" t="s">
        <v>2018</v>
      </c>
    </row>
    <row r="1515" spans="1:4" x14ac:dyDescent="0.25">
      <c r="A1515" s="119">
        <v>3618</v>
      </c>
      <c r="B1515" s="792" t="s">
        <v>2019</v>
      </c>
      <c r="C1515" s="964"/>
      <c r="D1515" s="848" t="s">
        <v>2019</v>
      </c>
    </row>
    <row r="1516" spans="1:4" ht="21" x14ac:dyDescent="0.25">
      <c r="A1516" s="119">
        <v>3619</v>
      </c>
      <c r="B1516" s="478" t="s">
        <v>1904</v>
      </c>
      <c r="C1516" s="965"/>
      <c r="D1516" s="490" t="s">
        <v>1904</v>
      </c>
    </row>
    <row r="1517" spans="1:4" x14ac:dyDescent="0.25">
      <c r="A1517" s="119">
        <v>3620</v>
      </c>
      <c r="B1517" s="813" t="s">
        <v>152</v>
      </c>
      <c r="C1517" s="965"/>
      <c r="D1517" s="849" t="s">
        <v>152</v>
      </c>
    </row>
    <row r="1518" spans="1:4" x14ac:dyDescent="0.25">
      <c r="A1518" s="119">
        <v>3621</v>
      </c>
      <c r="B1518" s="813" t="s">
        <v>153</v>
      </c>
      <c r="C1518" s="965"/>
      <c r="D1518" s="849" t="s">
        <v>153</v>
      </c>
    </row>
    <row r="1519" spans="1:4" x14ac:dyDescent="0.25">
      <c r="A1519" s="119">
        <v>3622</v>
      </c>
      <c r="B1519" s="813" t="s">
        <v>154</v>
      </c>
      <c r="C1519" s="965"/>
      <c r="D1519" s="849" t="s">
        <v>154</v>
      </c>
    </row>
    <row r="1520" spans="1:4" x14ac:dyDescent="0.25">
      <c r="A1520" s="119">
        <v>3623</v>
      </c>
      <c r="B1520" s="813" t="s">
        <v>155</v>
      </c>
      <c r="C1520" s="965"/>
      <c r="D1520" s="849" t="s">
        <v>155</v>
      </c>
    </row>
    <row r="1521" spans="1:4" x14ac:dyDescent="0.25">
      <c r="A1521" s="119">
        <v>3624</v>
      </c>
      <c r="B1521" s="813" t="s">
        <v>156</v>
      </c>
      <c r="C1521" s="965"/>
      <c r="D1521" s="849" t="s">
        <v>156</v>
      </c>
    </row>
    <row r="1522" spans="1:4" x14ac:dyDescent="0.25">
      <c r="A1522" s="119">
        <v>3625</v>
      </c>
      <c r="B1522" s="813" t="s">
        <v>157</v>
      </c>
      <c r="C1522" s="965"/>
      <c r="D1522" s="849" t="s">
        <v>157</v>
      </c>
    </row>
    <row r="1523" spans="1:4" ht="12.65" customHeight="1" x14ac:dyDescent="0.25">
      <c r="A1523" s="119">
        <v>3626</v>
      </c>
      <c r="B1523" s="813" t="s">
        <v>158</v>
      </c>
      <c r="C1523" s="965"/>
      <c r="D1523" s="849" t="s">
        <v>158</v>
      </c>
    </row>
    <row r="1524" spans="1:4" x14ac:dyDescent="0.35">
      <c r="A1524" s="119">
        <v>3627</v>
      </c>
      <c r="B1524" t="s">
        <v>2017</v>
      </c>
      <c r="C1524" s="909"/>
      <c r="D1524" s="482" t="s">
        <v>2017</v>
      </c>
    </row>
    <row r="1525" spans="1:4" x14ac:dyDescent="0.25">
      <c r="A1525" s="119">
        <v>3628</v>
      </c>
      <c r="B1525" s="211" t="s">
        <v>159</v>
      </c>
      <c r="C1525" s="966"/>
      <c r="D1525" s="850" t="s">
        <v>159</v>
      </c>
    </row>
    <row r="1526" spans="1:4" x14ac:dyDescent="0.25">
      <c r="A1526" s="119">
        <v>3629</v>
      </c>
      <c r="B1526" s="211" t="s">
        <v>161</v>
      </c>
      <c r="C1526" s="966"/>
      <c r="D1526" s="850" t="s">
        <v>161</v>
      </c>
    </row>
    <row r="1527" spans="1:4" x14ac:dyDescent="0.25">
      <c r="A1527" s="119">
        <v>3630</v>
      </c>
      <c r="B1527" s="814" t="s">
        <v>163</v>
      </c>
      <c r="C1527" s="967"/>
      <c r="D1527" s="851" t="s">
        <v>163</v>
      </c>
    </row>
    <row r="1528" spans="1:4" x14ac:dyDescent="0.25">
      <c r="A1528" s="119">
        <v>3631</v>
      </c>
      <c r="B1528" s="815" t="s">
        <v>165</v>
      </c>
      <c r="C1528" s="968"/>
      <c r="D1528" s="852" t="s">
        <v>165</v>
      </c>
    </row>
    <row r="1529" spans="1:4" x14ac:dyDescent="0.25">
      <c r="A1529" s="119">
        <v>3632</v>
      </c>
      <c r="B1529" s="815" t="s">
        <v>167</v>
      </c>
      <c r="C1529" s="968"/>
      <c r="D1529" s="852" t="s">
        <v>167</v>
      </c>
    </row>
    <row r="1530" spans="1:4" x14ac:dyDescent="0.25">
      <c r="A1530" s="119">
        <v>3633</v>
      </c>
      <c r="B1530" s="815" t="s">
        <v>169</v>
      </c>
      <c r="C1530" s="968"/>
      <c r="D1530" s="852" t="s">
        <v>169</v>
      </c>
    </row>
    <row r="1531" spans="1:4" x14ac:dyDescent="0.25">
      <c r="A1531" s="119">
        <v>3634</v>
      </c>
      <c r="B1531" s="815" t="s">
        <v>171</v>
      </c>
      <c r="C1531" s="968"/>
      <c r="D1531" s="852" t="s">
        <v>171</v>
      </c>
    </row>
    <row r="1532" spans="1:4" x14ac:dyDescent="0.25">
      <c r="A1532" s="119">
        <v>3635</v>
      </c>
      <c r="B1532" s="815" t="s">
        <v>173</v>
      </c>
      <c r="C1532" s="968"/>
      <c r="D1532" s="852" t="s">
        <v>173</v>
      </c>
    </row>
    <row r="1533" spans="1:4" ht="20" x14ac:dyDescent="0.25">
      <c r="A1533" s="119">
        <v>3636</v>
      </c>
      <c r="B1533" s="794" t="s">
        <v>2011</v>
      </c>
      <c r="C1533" s="963"/>
      <c r="D1533" s="847" t="s">
        <v>2011</v>
      </c>
    </row>
    <row r="1534" spans="1:4" x14ac:dyDescent="0.25">
      <c r="A1534" s="119">
        <v>3637</v>
      </c>
      <c r="B1534" s="472" t="s">
        <v>2007</v>
      </c>
      <c r="C1534" s="946"/>
      <c r="D1534" s="487" t="s">
        <v>2007</v>
      </c>
    </row>
    <row r="1535" spans="1:4" ht="20" x14ac:dyDescent="0.25">
      <c r="A1535" s="119">
        <v>3638</v>
      </c>
      <c r="B1535" s="75" t="s">
        <v>2006</v>
      </c>
      <c r="C1535" s="925"/>
      <c r="D1535" s="364" t="s">
        <v>2006</v>
      </c>
    </row>
    <row r="1536" spans="1:4" ht="20" x14ac:dyDescent="0.25">
      <c r="A1536" s="119">
        <v>3639</v>
      </c>
      <c r="B1536" s="75" t="s">
        <v>184</v>
      </c>
      <c r="C1536" s="925"/>
      <c r="D1536" s="364" t="s">
        <v>184</v>
      </c>
    </row>
    <row r="1537" spans="1:4" x14ac:dyDescent="0.25">
      <c r="A1537" s="119">
        <v>3640</v>
      </c>
      <c r="B1537" s="75" t="s">
        <v>1960</v>
      </c>
      <c r="C1537" s="925"/>
      <c r="D1537" s="364" t="s">
        <v>1960</v>
      </c>
    </row>
    <row r="1538" spans="1:4" x14ac:dyDescent="0.25">
      <c r="A1538" s="119">
        <v>3641</v>
      </c>
      <c r="B1538" s="475" t="s">
        <v>187</v>
      </c>
      <c r="C1538" s="926"/>
      <c r="D1538" s="419" t="s">
        <v>187</v>
      </c>
    </row>
    <row r="1539" spans="1:4" x14ac:dyDescent="0.25">
      <c r="A1539" s="119">
        <v>3642</v>
      </c>
      <c r="B1539" s="475" t="s">
        <v>2008</v>
      </c>
      <c r="C1539" s="926"/>
      <c r="D1539" s="419" t="s">
        <v>2008</v>
      </c>
    </row>
    <row r="1540" spans="1:4" x14ac:dyDescent="0.25">
      <c r="A1540" s="119">
        <v>3643</v>
      </c>
      <c r="B1540" s="71" t="s">
        <v>1992</v>
      </c>
      <c r="C1540" s="928"/>
      <c r="D1540" s="362" t="s">
        <v>1992</v>
      </c>
    </row>
    <row r="1541" spans="1:4" x14ac:dyDescent="0.25">
      <c r="A1541" s="119">
        <v>3644</v>
      </c>
      <c r="B1541" s="71" t="s">
        <v>1899</v>
      </c>
      <c r="C1541" s="928"/>
      <c r="D1541" s="362" t="s">
        <v>1899</v>
      </c>
    </row>
    <row r="1542" spans="1:4" ht="20" x14ac:dyDescent="0.25">
      <c r="A1542" s="119">
        <v>3645</v>
      </c>
      <c r="B1542" s="797" t="s">
        <v>1898</v>
      </c>
      <c r="C1542" s="957"/>
      <c r="D1542" s="834" t="s">
        <v>1898</v>
      </c>
    </row>
    <row r="1543" spans="1:4" ht="21" x14ac:dyDescent="0.25">
      <c r="A1543" s="119">
        <v>3646</v>
      </c>
      <c r="B1543" s="800" t="s">
        <v>1914</v>
      </c>
      <c r="C1543" s="1005"/>
      <c r="D1543" s="853" t="s">
        <v>1914</v>
      </c>
    </row>
    <row r="1544" spans="1:4" ht="39" x14ac:dyDescent="0.25">
      <c r="A1544" s="119">
        <v>3647</v>
      </c>
      <c r="B1544" s="53" t="s">
        <v>2010</v>
      </c>
      <c r="C1544" s="926"/>
      <c r="D1544" s="363" t="s">
        <v>2010</v>
      </c>
    </row>
    <row r="1545" spans="1:4" ht="65" x14ac:dyDescent="0.25">
      <c r="A1545" s="119">
        <v>3648</v>
      </c>
      <c r="B1545" s="53" t="s">
        <v>1881</v>
      </c>
      <c r="C1545" s="926"/>
      <c r="D1545" s="363" t="s">
        <v>1881</v>
      </c>
    </row>
    <row r="1546" spans="1:4" ht="26" x14ac:dyDescent="0.25">
      <c r="A1546" s="119">
        <v>3649</v>
      </c>
      <c r="B1546" s="888" t="s">
        <v>1880</v>
      </c>
      <c r="C1546" s="927"/>
      <c r="D1546" s="854" t="s">
        <v>1880</v>
      </c>
    </row>
    <row r="1547" spans="1:4" ht="26" x14ac:dyDescent="0.25">
      <c r="A1547" s="119">
        <v>3650</v>
      </c>
      <c r="B1547" s="801" t="s">
        <v>1915</v>
      </c>
      <c r="C1547" s="924"/>
      <c r="D1547" s="855" t="s">
        <v>1915</v>
      </c>
    </row>
    <row r="1548" spans="1:4" x14ac:dyDescent="0.25">
      <c r="A1548" s="119">
        <v>3651</v>
      </c>
      <c r="B1548" s="816" t="s">
        <v>190</v>
      </c>
      <c r="C1548" s="1006"/>
      <c r="D1548" s="856" t="s">
        <v>190</v>
      </c>
    </row>
    <row r="1549" spans="1:4" x14ac:dyDescent="0.25">
      <c r="A1549" s="119">
        <v>3652</v>
      </c>
      <c r="B1549" s="817" t="s">
        <v>191</v>
      </c>
      <c r="C1549" s="1007"/>
      <c r="D1549" s="857" t="s">
        <v>191</v>
      </c>
    </row>
    <row r="1550" spans="1:4" ht="12.65" customHeight="1" x14ac:dyDescent="0.25">
      <c r="A1550" s="119">
        <v>3653</v>
      </c>
      <c r="B1550" s="817" t="s">
        <v>192</v>
      </c>
      <c r="C1550" s="1007"/>
      <c r="D1550" s="857" t="s">
        <v>192</v>
      </c>
    </row>
    <row r="1551" spans="1:4" x14ac:dyDescent="0.25">
      <c r="A1551" s="119">
        <v>3654</v>
      </c>
      <c r="B1551" s="817" t="s">
        <v>193</v>
      </c>
      <c r="C1551" s="1007"/>
      <c r="D1551" s="857" t="s">
        <v>193</v>
      </c>
    </row>
    <row r="1552" spans="1:4" x14ac:dyDescent="0.25">
      <c r="A1552" s="119">
        <v>3655</v>
      </c>
      <c r="B1552" s="125" t="s">
        <v>199</v>
      </c>
      <c r="C1552" s="930"/>
      <c r="D1552" s="423" t="s">
        <v>199</v>
      </c>
    </row>
    <row r="1553" spans="1:4" ht="20" x14ac:dyDescent="0.25">
      <c r="A1553" s="119">
        <v>3656</v>
      </c>
      <c r="B1553" s="215" t="s">
        <v>200</v>
      </c>
      <c r="C1553" s="925"/>
      <c r="D1553" s="417" t="s">
        <v>200</v>
      </c>
    </row>
    <row r="1554" spans="1:4" x14ac:dyDescent="0.25">
      <c r="A1554" s="119">
        <v>3657</v>
      </c>
      <c r="B1554" s="214" t="s">
        <v>201</v>
      </c>
      <c r="C1554" s="968"/>
      <c r="D1554" s="858" t="s">
        <v>201</v>
      </c>
    </row>
    <row r="1555" spans="1:4" x14ac:dyDescent="0.35">
      <c r="A1555" s="119">
        <v>3658</v>
      </c>
      <c r="B1555" t="s">
        <v>202</v>
      </c>
      <c r="C1555" s="909"/>
      <c r="D1555" s="482" t="s">
        <v>202</v>
      </c>
    </row>
    <row r="1556" spans="1:4" ht="18" x14ac:dyDescent="0.25">
      <c r="A1556" s="119">
        <v>3659</v>
      </c>
      <c r="B1556" s="818" t="s">
        <v>1976</v>
      </c>
      <c r="C1556" s="1008"/>
      <c r="D1556" s="859" t="s">
        <v>1976</v>
      </c>
    </row>
    <row r="1557" spans="1:4" x14ac:dyDescent="0.25">
      <c r="A1557" s="119">
        <v>3660</v>
      </c>
      <c r="B1557" s="97" t="s">
        <v>212</v>
      </c>
      <c r="C1557" s="990"/>
      <c r="D1557" s="860" t="s">
        <v>212</v>
      </c>
    </row>
    <row r="1558" spans="1:4" ht="50" x14ac:dyDescent="0.25">
      <c r="A1558" s="119">
        <v>3661</v>
      </c>
      <c r="B1558" s="566" t="s">
        <v>2002</v>
      </c>
      <c r="C1558" s="969"/>
      <c r="D1558" s="861" t="s">
        <v>2002</v>
      </c>
    </row>
    <row r="1559" spans="1:4" ht="20" x14ac:dyDescent="0.25">
      <c r="A1559" s="119">
        <v>3662</v>
      </c>
      <c r="B1559" s="566" t="s">
        <v>2015</v>
      </c>
      <c r="C1559" s="969"/>
      <c r="D1559" s="861" t="s">
        <v>2015</v>
      </c>
    </row>
    <row r="1560" spans="1:4" x14ac:dyDescent="0.25">
      <c r="A1560" s="119">
        <v>3663</v>
      </c>
      <c r="B1560" s="566" t="s">
        <v>1938</v>
      </c>
      <c r="C1560" s="969"/>
      <c r="D1560" s="861" t="s">
        <v>1938</v>
      </c>
    </row>
    <row r="1561" spans="1:4" x14ac:dyDescent="0.25">
      <c r="A1561" s="119">
        <v>3664</v>
      </c>
      <c r="B1561" s="804" t="s">
        <v>1941</v>
      </c>
      <c r="C1561" s="969"/>
      <c r="D1561" s="862" t="s">
        <v>1941</v>
      </c>
    </row>
    <row r="1562" spans="1:4" ht="40" x14ac:dyDescent="0.25">
      <c r="A1562" s="119">
        <v>3665</v>
      </c>
      <c r="B1562" s="566" t="s">
        <v>1939</v>
      </c>
      <c r="C1562" s="969"/>
      <c r="D1562" s="861" t="s">
        <v>1939</v>
      </c>
    </row>
    <row r="1563" spans="1:4" ht="20" x14ac:dyDescent="0.25">
      <c r="A1563" s="119">
        <v>3666</v>
      </c>
      <c r="B1563" s="804" t="s">
        <v>1940</v>
      </c>
      <c r="C1563" s="969"/>
      <c r="D1563" s="862" t="s">
        <v>1940</v>
      </c>
    </row>
    <row r="1564" spans="1:4" x14ac:dyDescent="0.25">
      <c r="A1564" s="119">
        <v>3667</v>
      </c>
      <c r="B1564" s="566" t="s">
        <v>1942</v>
      </c>
      <c r="C1564" s="969"/>
      <c r="D1564" s="861" t="s">
        <v>1942</v>
      </c>
    </row>
    <row r="1565" spans="1:4" x14ac:dyDescent="0.25">
      <c r="A1565" s="119">
        <v>3668</v>
      </c>
      <c r="B1565" s="566" t="s">
        <v>1943</v>
      </c>
      <c r="C1565" s="969"/>
      <c r="D1565" s="861" t="s">
        <v>1943</v>
      </c>
    </row>
    <row r="1566" spans="1:4" ht="20" x14ac:dyDescent="0.25">
      <c r="A1566" s="119">
        <v>3669</v>
      </c>
      <c r="B1566" s="805" t="s">
        <v>1993</v>
      </c>
      <c r="C1566" s="970"/>
      <c r="D1566" s="863" t="s">
        <v>1993</v>
      </c>
    </row>
    <row r="1567" spans="1:4" x14ac:dyDescent="0.25">
      <c r="A1567" s="119">
        <v>3670</v>
      </c>
      <c r="B1567" s="805" t="s">
        <v>1998</v>
      </c>
      <c r="C1567" s="970"/>
      <c r="D1567" s="863" t="s">
        <v>1998</v>
      </c>
    </row>
    <row r="1568" spans="1:4" ht="20" x14ac:dyDescent="0.25">
      <c r="A1568" s="119">
        <v>3671</v>
      </c>
      <c r="B1568" s="805" t="s">
        <v>1944</v>
      </c>
      <c r="C1568" s="970"/>
      <c r="D1568" s="863" t="s">
        <v>1944</v>
      </c>
    </row>
    <row r="1569" spans="1:4" ht="30" x14ac:dyDescent="0.25">
      <c r="A1569" s="119">
        <v>3672</v>
      </c>
      <c r="B1569" s="805" t="s">
        <v>1945</v>
      </c>
      <c r="C1569" s="970"/>
      <c r="D1569" s="863" t="s">
        <v>1945</v>
      </c>
    </row>
    <row r="1570" spans="1:4" ht="20" x14ac:dyDescent="0.25">
      <c r="A1570" s="119">
        <v>3673</v>
      </c>
      <c r="B1570" s="805" t="s">
        <v>1946</v>
      </c>
      <c r="C1570" s="970"/>
      <c r="D1570" s="863" t="s">
        <v>1946</v>
      </c>
    </row>
    <row r="1571" spans="1:4" x14ac:dyDescent="0.25">
      <c r="A1571" s="119">
        <v>3674</v>
      </c>
      <c r="B1571" s="806" t="s">
        <v>1947</v>
      </c>
      <c r="C1571" s="1009"/>
      <c r="D1571" s="864" t="s">
        <v>1947</v>
      </c>
    </row>
    <row r="1572" spans="1:4" x14ac:dyDescent="0.25">
      <c r="A1572" s="119">
        <v>3675</v>
      </c>
      <c r="B1572" s="802" t="s">
        <v>1948</v>
      </c>
      <c r="C1572" s="971"/>
      <c r="D1572" s="865" t="s">
        <v>1948</v>
      </c>
    </row>
    <row r="1573" spans="1:4" ht="20" x14ac:dyDescent="0.25">
      <c r="A1573" s="119">
        <v>3676</v>
      </c>
      <c r="B1573" s="793" t="s">
        <v>1950</v>
      </c>
      <c r="C1573" s="960"/>
      <c r="D1573" s="842" t="s">
        <v>1950</v>
      </c>
    </row>
    <row r="1574" spans="1:4" ht="20" x14ac:dyDescent="0.25">
      <c r="A1574" s="119">
        <v>3677</v>
      </c>
      <c r="B1574" s="803" t="s">
        <v>1949</v>
      </c>
      <c r="C1574" s="972"/>
      <c r="D1574" s="866" t="s">
        <v>1949</v>
      </c>
    </row>
    <row r="1575" spans="1:4" ht="20" x14ac:dyDescent="0.25">
      <c r="A1575" s="119">
        <v>3678</v>
      </c>
      <c r="B1575" s="819" t="s">
        <v>1952</v>
      </c>
      <c r="C1575" s="973"/>
      <c r="D1575" s="867" t="s">
        <v>1952</v>
      </c>
    </row>
    <row r="1576" spans="1:4" x14ac:dyDescent="0.25">
      <c r="A1576" s="119">
        <v>3679</v>
      </c>
      <c r="B1576" s="820" t="s">
        <v>1951</v>
      </c>
      <c r="C1576" s="974"/>
      <c r="D1576" s="868" t="s">
        <v>1951</v>
      </c>
    </row>
    <row r="1577" spans="1:4" ht="30" x14ac:dyDescent="0.25">
      <c r="A1577" s="119">
        <v>3680</v>
      </c>
      <c r="B1577" s="821" t="s">
        <v>1953</v>
      </c>
      <c r="C1577" s="975"/>
      <c r="D1577" s="869" t="s">
        <v>1953</v>
      </c>
    </row>
    <row r="1578" spans="1:4" x14ac:dyDescent="0.25">
      <c r="A1578" s="119">
        <v>3681</v>
      </c>
      <c r="B1578" s="804" t="s">
        <v>1954</v>
      </c>
      <c r="C1578" s="969"/>
      <c r="D1578" s="862" t="s">
        <v>1954</v>
      </c>
    </row>
    <row r="1579" spans="1:4" ht="40" x14ac:dyDescent="0.25">
      <c r="A1579" s="119">
        <v>3682</v>
      </c>
      <c r="B1579" s="566" t="s">
        <v>1955</v>
      </c>
      <c r="C1579" s="969"/>
      <c r="D1579" s="861" t="s">
        <v>1955</v>
      </c>
    </row>
    <row r="1580" spans="1:4" ht="40" customHeight="1" x14ac:dyDescent="0.25">
      <c r="A1580" s="119">
        <v>3683</v>
      </c>
      <c r="B1580" s="566" t="s">
        <v>1956</v>
      </c>
      <c r="C1580" s="969"/>
      <c r="D1580" s="861" t="s">
        <v>1956</v>
      </c>
    </row>
    <row r="1581" spans="1:4" x14ac:dyDescent="0.25">
      <c r="A1581" s="119">
        <v>3684</v>
      </c>
      <c r="B1581" s="566" t="s">
        <v>1999</v>
      </c>
      <c r="C1581" s="969"/>
      <c r="D1581" s="861" t="s">
        <v>1999</v>
      </c>
    </row>
    <row r="1582" spans="1:4" ht="20" x14ac:dyDescent="0.25">
      <c r="A1582" s="119">
        <v>3685</v>
      </c>
      <c r="B1582" s="566" t="s">
        <v>1978</v>
      </c>
      <c r="C1582" s="969"/>
      <c r="D1582" s="861" t="s">
        <v>1978</v>
      </c>
    </row>
    <row r="1583" spans="1:4" ht="30" x14ac:dyDescent="0.25">
      <c r="A1583" s="119">
        <v>3686</v>
      </c>
      <c r="B1583" s="566" t="s">
        <v>1979</v>
      </c>
      <c r="C1583" s="969"/>
      <c r="D1583" s="861" t="s">
        <v>1979</v>
      </c>
    </row>
    <row r="1584" spans="1:4" ht="20" x14ac:dyDescent="0.25">
      <c r="A1584" s="119">
        <v>3687</v>
      </c>
      <c r="B1584" s="804" t="s">
        <v>1957</v>
      </c>
      <c r="C1584" s="969"/>
      <c r="D1584" s="862" t="s">
        <v>1957</v>
      </c>
    </row>
    <row r="1585" spans="1:4" x14ac:dyDescent="0.25">
      <c r="A1585" s="119">
        <v>3688</v>
      </c>
      <c r="B1585" s="802" t="s">
        <v>214</v>
      </c>
      <c r="C1585" s="971"/>
      <c r="D1585" s="865" t="s">
        <v>214</v>
      </c>
    </row>
    <row r="1586" spans="1:4" x14ac:dyDescent="0.25">
      <c r="A1586" s="119">
        <v>3689</v>
      </c>
      <c r="B1586" s="793" t="s">
        <v>1980</v>
      </c>
      <c r="C1586" s="960"/>
      <c r="D1586" s="842" t="s">
        <v>1980</v>
      </c>
    </row>
    <row r="1587" spans="1:4" x14ac:dyDescent="0.25">
      <c r="A1587" s="119">
        <v>3690</v>
      </c>
      <c r="B1587" s="802" t="s">
        <v>215</v>
      </c>
      <c r="C1587" s="971"/>
      <c r="D1587" s="865" t="s">
        <v>215</v>
      </c>
    </row>
    <row r="1588" spans="1:4" ht="20" x14ac:dyDescent="0.25">
      <c r="A1588" s="119">
        <v>3691</v>
      </c>
      <c r="B1588" s="793" t="s">
        <v>1959</v>
      </c>
      <c r="C1588" s="960"/>
      <c r="D1588" s="842" t="s">
        <v>1959</v>
      </c>
    </row>
    <row r="1589" spans="1:4" x14ac:dyDescent="0.25">
      <c r="A1589" s="119">
        <v>3692</v>
      </c>
      <c r="B1589" s="802" t="s">
        <v>2001</v>
      </c>
      <c r="C1589" s="971"/>
      <c r="D1589" s="865" t="s">
        <v>2001</v>
      </c>
    </row>
    <row r="1590" spans="1:4" ht="20" x14ac:dyDescent="0.25">
      <c r="A1590" s="119">
        <v>3693</v>
      </c>
      <c r="B1590" s="793" t="s">
        <v>1958</v>
      </c>
      <c r="C1590" s="960"/>
      <c r="D1590" s="842" t="s">
        <v>1958</v>
      </c>
    </row>
    <row r="1591" spans="1:4" x14ac:dyDescent="0.25">
      <c r="A1591" s="119">
        <v>3694</v>
      </c>
      <c r="B1591" s="802" t="s">
        <v>1997</v>
      </c>
      <c r="C1591" s="971"/>
      <c r="D1591" s="865" t="s">
        <v>1997</v>
      </c>
    </row>
    <row r="1592" spans="1:4" ht="20" x14ac:dyDescent="0.25">
      <c r="A1592" s="119">
        <v>3695</v>
      </c>
      <c r="B1592" s="793" t="s">
        <v>1996</v>
      </c>
      <c r="C1592" s="960"/>
      <c r="D1592" s="842" t="s">
        <v>1996</v>
      </c>
    </row>
    <row r="1593" spans="1:4" x14ac:dyDescent="0.25">
      <c r="A1593" s="119">
        <v>3696</v>
      </c>
      <c r="B1593" s="802" t="s">
        <v>1961</v>
      </c>
      <c r="C1593" s="971"/>
      <c r="D1593" s="865" t="s">
        <v>1961</v>
      </c>
    </row>
    <row r="1594" spans="1:4" ht="30" x14ac:dyDescent="0.25">
      <c r="A1594" s="119">
        <v>3697</v>
      </c>
      <c r="B1594" s="793" t="s">
        <v>1994</v>
      </c>
      <c r="C1594" s="960"/>
      <c r="D1594" s="842" t="s">
        <v>1994</v>
      </c>
    </row>
    <row r="1595" spans="1:4" x14ac:dyDescent="0.25">
      <c r="A1595" s="119">
        <v>3698</v>
      </c>
      <c r="B1595" s="802" t="s">
        <v>1962</v>
      </c>
      <c r="C1595" s="971"/>
      <c r="D1595" s="865" t="s">
        <v>1962</v>
      </c>
    </row>
    <row r="1596" spans="1:4" ht="30" x14ac:dyDescent="0.25">
      <c r="A1596" s="119">
        <v>3699</v>
      </c>
      <c r="B1596" s="793" t="s">
        <v>1995</v>
      </c>
      <c r="C1596" s="960"/>
      <c r="D1596" s="842" t="s">
        <v>1995</v>
      </c>
    </row>
    <row r="1597" spans="1:4" x14ac:dyDescent="0.25">
      <c r="A1597" s="119">
        <v>3700</v>
      </c>
      <c r="B1597" s="803" t="s">
        <v>1963</v>
      </c>
      <c r="C1597" s="972"/>
      <c r="D1597" s="866" t="s">
        <v>1963</v>
      </c>
    </row>
    <row r="1598" spans="1:4" ht="20" x14ac:dyDescent="0.25">
      <c r="A1598" s="119">
        <v>3701</v>
      </c>
      <c r="B1598" s="819" t="s">
        <v>1969</v>
      </c>
      <c r="C1598" s="973"/>
      <c r="D1598" s="867" t="s">
        <v>1969</v>
      </c>
    </row>
    <row r="1599" spans="1:4" x14ac:dyDescent="0.25">
      <c r="A1599" s="119">
        <v>3702</v>
      </c>
      <c r="B1599" s="822" t="s">
        <v>2004</v>
      </c>
      <c r="C1599" s="975"/>
      <c r="D1599" s="870" t="s">
        <v>2004</v>
      </c>
    </row>
    <row r="1600" spans="1:4" x14ac:dyDescent="0.25">
      <c r="A1600" s="119">
        <v>3703</v>
      </c>
      <c r="B1600" s="802" t="s">
        <v>1964</v>
      </c>
      <c r="C1600" s="971"/>
      <c r="D1600" s="865" t="s">
        <v>1964</v>
      </c>
    </row>
    <row r="1601" spans="1:4" ht="20" x14ac:dyDescent="0.25">
      <c r="A1601" s="119">
        <v>3704</v>
      </c>
      <c r="B1601" s="793" t="s">
        <v>1970</v>
      </c>
      <c r="C1601" s="960"/>
      <c r="D1601" s="842" t="s">
        <v>1970</v>
      </c>
    </row>
    <row r="1602" spans="1:4" x14ac:dyDescent="0.25">
      <c r="A1602" s="119">
        <v>3705</v>
      </c>
      <c r="B1602" s="802" t="s">
        <v>216</v>
      </c>
      <c r="C1602" s="971"/>
      <c r="D1602" s="865" t="s">
        <v>216</v>
      </c>
    </row>
    <row r="1603" spans="1:4" ht="30" x14ac:dyDescent="0.25">
      <c r="A1603" s="119">
        <v>3706</v>
      </c>
      <c r="B1603" s="793" t="s">
        <v>1971</v>
      </c>
      <c r="C1603" s="960"/>
      <c r="D1603" s="842" t="s">
        <v>1971</v>
      </c>
    </row>
    <row r="1604" spans="1:4" x14ac:dyDescent="0.25">
      <c r="A1604" s="119">
        <v>3707</v>
      </c>
      <c r="B1604" s="804" t="s">
        <v>1972</v>
      </c>
      <c r="C1604" s="969"/>
      <c r="D1604" s="862" t="s">
        <v>1972</v>
      </c>
    </row>
    <row r="1605" spans="1:4" ht="20" x14ac:dyDescent="0.25">
      <c r="A1605" s="119">
        <v>3708</v>
      </c>
      <c r="B1605" s="808" t="s">
        <v>2000</v>
      </c>
      <c r="C1605" s="976"/>
      <c r="D1605" s="871" t="s">
        <v>2000</v>
      </c>
    </row>
    <row r="1606" spans="1:4" x14ac:dyDescent="0.25">
      <c r="A1606" s="119">
        <v>3709</v>
      </c>
      <c r="B1606" s="566" t="s">
        <v>1981</v>
      </c>
      <c r="C1606" s="969"/>
      <c r="D1606" s="861" t="s">
        <v>1981</v>
      </c>
    </row>
    <row r="1607" spans="1:4" x14ac:dyDescent="0.25">
      <c r="A1607" s="119">
        <v>3710</v>
      </c>
      <c r="B1607" s="808" t="s">
        <v>1973</v>
      </c>
      <c r="C1607" s="976"/>
      <c r="D1607" s="871" t="s">
        <v>1973</v>
      </c>
    </row>
    <row r="1608" spans="1:4" ht="40" x14ac:dyDescent="0.25">
      <c r="A1608" s="119">
        <v>3711</v>
      </c>
      <c r="B1608" s="808" t="s">
        <v>1974</v>
      </c>
      <c r="C1608" s="976"/>
      <c r="D1608" s="871" t="s">
        <v>1974</v>
      </c>
    </row>
    <row r="1609" spans="1:4" ht="20" x14ac:dyDescent="0.25">
      <c r="A1609" s="119">
        <v>3712</v>
      </c>
      <c r="B1609" s="808" t="s">
        <v>1975</v>
      </c>
      <c r="C1609" s="976"/>
      <c r="D1609" s="871" t="s">
        <v>1975</v>
      </c>
    </row>
    <row r="1610" spans="1:4" x14ac:dyDescent="0.25">
      <c r="A1610" s="119">
        <v>3713</v>
      </c>
      <c r="B1610" s="804" t="s">
        <v>2013</v>
      </c>
      <c r="C1610" s="969"/>
      <c r="D1610" s="862" t="s">
        <v>2013</v>
      </c>
    </row>
    <row r="1611" spans="1:4" ht="20" x14ac:dyDescent="0.25">
      <c r="A1611" s="119">
        <v>3714</v>
      </c>
      <c r="B1611" s="808" t="s">
        <v>2014</v>
      </c>
      <c r="C1611" s="976"/>
      <c r="D1611" s="871" t="s">
        <v>2014</v>
      </c>
    </row>
    <row r="1612" spans="1:4" x14ac:dyDescent="0.25">
      <c r="A1612" s="119">
        <v>3715</v>
      </c>
      <c r="B1612" s="515" t="s">
        <v>213</v>
      </c>
      <c r="C1612" s="1008"/>
      <c r="D1612" s="872" t="s">
        <v>213</v>
      </c>
    </row>
    <row r="1613" spans="1:4" x14ac:dyDescent="0.25">
      <c r="A1613" s="119">
        <v>3716</v>
      </c>
      <c r="B1613" s="807" t="s">
        <v>1965</v>
      </c>
      <c r="C1613" s="969"/>
      <c r="D1613" s="861" t="s">
        <v>1965</v>
      </c>
    </row>
    <row r="1614" spans="1:4" x14ac:dyDescent="0.35">
      <c r="A1614" s="119">
        <v>3717</v>
      </c>
      <c r="B1614" t="s">
        <v>2012</v>
      </c>
      <c r="C1614" s="909"/>
      <c r="D1614" s="482" t="s">
        <v>2012</v>
      </c>
    </row>
    <row r="1615" spans="1:4" x14ac:dyDescent="0.25">
      <c r="A1615" s="119">
        <v>3718</v>
      </c>
      <c r="B1615" s="823" t="s">
        <v>222</v>
      </c>
      <c r="C1615" s="1010"/>
      <c r="D1615" s="873" t="s">
        <v>222</v>
      </c>
    </row>
    <row r="1616" spans="1:4" ht="18" x14ac:dyDescent="0.25">
      <c r="A1616" s="119">
        <v>3719</v>
      </c>
      <c r="B1616" s="818" t="s">
        <v>223</v>
      </c>
      <c r="C1616" s="1008"/>
      <c r="D1616" s="859" t="s">
        <v>223</v>
      </c>
    </row>
    <row r="1617" spans="1:4" ht="26" x14ac:dyDescent="0.25">
      <c r="A1617" s="119">
        <v>3720</v>
      </c>
      <c r="B1617" s="378" t="s">
        <v>224</v>
      </c>
      <c r="C1617" s="920"/>
      <c r="D1617" s="874" t="s">
        <v>224</v>
      </c>
    </row>
    <row r="1618" spans="1:4" x14ac:dyDescent="0.25">
      <c r="A1618" s="119">
        <v>3721</v>
      </c>
      <c r="B1618" s="808" t="s">
        <v>225</v>
      </c>
      <c r="C1618" s="976"/>
      <c r="D1618" s="871" t="s">
        <v>225</v>
      </c>
    </row>
    <row r="1619" spans="1:4" x14ac:dyDescent="0.25">
      <c r="A1619" s="119">
        <v>3722</v>
      </c>
      <c r="B1619" s="515" t="s">
        <v>227</v>
      </c>
      <c r="C1619" s="1008"/>
      <c r="D1619" s="872" t="s">
        <v>227</v>
      </c>
    </row>
    <row r="1620" spans="1:4" ht="20" x14ac:dyDescent="0.25">
      <c r="A1620" s="119">
        <v>3723</v>
      </c>
      <c r="B1620" s="808" t="s">
        <v>228</v>
      </c>
      <c r="C1620" s="976"/>
      <c r="D1620" s="871" t="s">
        <v>228</v>
      </c>
    </row>
    <row r="1621" spans="1:4" x14ac:dyDescent="0.25">
      <c r="A1621" s="119">
        <v>3724</v>
      </c>
      <c r="B1621" s="808" t="s">
        <v>229</v>
      </c>
      <c r="C1621" s="976"/>
      <c r="D1621" s="871" t="s">
        <v>229</v>
      </c>
    </row>
    <row r="1622" spans="1:4" ht="20" x14ac:dyDescent="0.25">
      <c r="A1622" s="119">
        <v>3725</v>
      </c>
      <c r="B1622" s="808" t="s">
        <v>230</v>
      </c>
      <c r="C1622" s="976"/>
      <c r="D1622" s="871" t="s">
        <v>230</v>
      </c>
    </row>
    <row r="1623" spans="1:4" x14ac:dyDescent="0.25">
      <c r="A1623" s="119">
        <v>3726</v>
      </c>
      <c r="B1623" s="824" t="s">
        <v>231</v>
      </c>
      <c r="C1623" s="977"/>
      <c r="D1623" s="875" t="s">
        <v>231</v>
      </c>
    </row>
    <row r="1624" spans="1:4" x14ac:dyDescent="0.25">
      <c r="A1624" s="119">
        <v>3727</v>
      </c>
      <c r="B1624" s="825" t="s">
        <v>233</v>
      </c>
      <c r="C1624" s="1011"/>
      <c r="D1624" s="876" t="s">
        <v>233</v>
      </c>
    </row>
    <row r="1625" spans="1:4" x14ac:dyDescent="0.25">
      <c r="A1625" s="119">
        <v>3728</v>
      </c>
      <c r="B1625" s="826" t="s">
        <v>234</v>
      </c>
      <c r="C1625" s="1011"/>
      <c r="D1625" s="876" t="s">
        <v>234</v>
      </c>
    </row>
    <row r="1626" spans="1:4" x14ac:dyDescent="0.25">
      <c r="A1626" s="119">
        <v>3729</v>
      </c>
      <c r="B1626" s="827" t="s">
        <v>235</v>
      </c>
      <c r="C1626" s="978"/>
      <c r="D1626" s="877" t="s">
        <v>235</v>
      </c>
    </row>
    <row r="1627" spans="1:4" ht="39" x14ac:dyDescent="0.25">
      <c r="A1627" s="119">
        <v>3730</v>
      </c>
      <c r="B1627" s="53" t="s">
        <v>1882</v>
      </c>
      <c r="C1627" s="926"/>
      <c r="D1627" s="363" t="s">
        <v>1882</v>
      </c>
    </row>
    <row r="1628" spans="1:4" ht="20" x14ac:dyDescent="0.25">
      <c r="A1628" s="119">
        <v>3731</v>
      </c>
      <c r="B1628" s="828" t="s">
        <v>1929</v>
      </c>
      <c r="C1628" s="924"/>
      <c r="D1628" s="844" t="s">
        <v>1929</v>
      </c>
    </row>
    <row r="1629" spans="1:4" ht="20" x14ac:dyDescent="0.25">
      <c r="A1629" s="119">
        <v>3732</v>
      </c>
      <c r="B1629" s="216" t="s">
        <v>1930</v>
      </c>
      <c r="C1629" s="924"/>
      <c r="D1629" s="844" t="s">
        <v>1930</v>
      </c>
    </row>
    <row r="1630" spans="1:4" ht="60" x14ac:dyDescent="0.25">
      <c r="A1630" s="119">
        <v>3733</v>
      </c>
      <c r="B1630" s="193" t="s">
        <v>2016</v>
      </c>
      <c r="C1630" s="924"/>
      <c r="D1630" s="878" t="s">
        <v>2016</v>
      </c>
    </row>
    <row r="1631" spans="1:4" x14ac:dyDescent="0.25">
      <c r="A1631" s="119">
        <v>3734</v>
      </c>
      <c r="B1631" s="478" t="s">
        <v>1925</v>
      </c>
      <c r="C1631" s="965"/>
      <c r="D1631" s="490" t="s">
        <v>1925</v>
      </c>
    </row>
    <row r="1632" spans="1:4" x14ac:dyDescent="0.25">
      <c r="A1632" s="119">
        <v>3735</v>
      </c>
      <c r="B1632" s="478" t="s">
        <v>1926</v>
      </c>
      <c r="C1632" s="965"/>
      <c r="D1632" s="490" t="s">
        <v>1926</v>
      </c>
    </row>
    <row r="1633" spans="1:4" x14ac:dyDescent="0.25">
      <c r="A1633" s="119">
        <v>3736</v>
      </c>
      <c r="B1633" s="478" t="s">
        <v>1928</v>
      </c>
      <c r="C1633" s="965"/>
      <c r="D1633" s="490" t="s">
        <v>1928</v>
      </c>
    </row>
    <row r="1634" spans="1:4" ht="56" x14ac:dyDescent="0.25">
      <c r="A1634" s="119">
        <v>3737</v>
      </c>
      <c r="B1634" s="387" t="s">
        <v>1937</v>
      </c>
      <c r="C1634" s="936"/>
      <c r="D1634" s="879" t="s">
        <v>1937</v>
      </c>
    </row>
    <row r="1635" spans="1:4" ht="24" x14ac:dyDescent="0.25">
      <c r="A1635" s="119">
        <v>3738</v>
      </c>
      <c r="B1635" s="386" t="s">
        <v>1931</v>
      </c>
      <c r="C1635" s="918"/>
      <c r="D1635" s="880" t="s">
        <v>1931</v>
      </c>
    </row>
    <row r="1636" spans="1:4" ht="24" x14ac:dyDescent="0.25">
      <c r="A1636" s="119">
        <v>3739</v>
      </c>
      <c r="B1636" s="386" t="s">
        <v>1932</v>
      </c>
      <c r="C1636" s="918"/>
      <c r="D1636" s="880" t="s">
        <v>1932</v>
      </c>
    </row>
    <row r="1637" spans="1:4" x14ac:dyDescent="0.25">
      <c r="A1637" s="119">
        <v>3740</v>
      </c>
      <c r="B1637" s="385" t="s">
        <v>1936</v>
      </c>
      <c r="C1637" s="979"/>
      <c r="D1637" s="881" t="s">
        <v>1936</v>
      </c>
    </row>
    <row r="1638" spans="1:4" ht="48.5" thickBot="1" x14ac:dyDescent="0.3">
      <c r="A1638" s="119">
        <v>3741</v>
      </c>
      <c r="B1638" s="386" t="s">
        <v>1934</v>
      </c>
      <c r="C1638" s="918"/>
      <c r="D1638" s="880" t="s">
        <v>1934</v>
      </c>
    </row>
    <row r="1639" spans="1:4" x14ac:dyDescent="0.25">
      <c r="A1639" s="119">
        <v>3742</v>
      </c>
      <c r="B1639" s="393" t="s">
        <v>1933</v>
      </c>
      <c r="C1639" s="980"/>
      <c r="D1639" s="882" t="s">
        <v>1933</v>
      </c>
    </row>
    <row r="1640" spans="1:4" x14ac:dyDescent="0.25">
      <c r="A1640" s="119">
        <v>3743</v>
      </c>
      <c r="B1640" s="389" t="s">
        <v>1935</v>
      </c>
      <c r="C1640" s="981"/>
      <c r="D1640" s="883" t="s">
        <v>1935</v>
      </c>
    </row>
    <row r="1641" spans="1:4" x14ac:dyDescent="0.25">
      <c r="A1641" s="119">
        <v>3744</v>
      </c>
      <c r="B1641" s="829" t="s">
        <v>1883</v>
      </c>
      <c r="C1641" s="982"/>
      <c r="D1641" s="884" t="s">
        <v>1883</v>
      </c>
    </row>
    <row r="1642" spans="1:4" x14ac:dyDescent="0.35">
      <c r="A1642" s="119">
        <v>3745</v>
      </c>
      <c r="B1642" s="430" t="s">
        <v>250</v>
      </c>
      <c r="C1642" s="942"/>
      <c r="D1642" s="495" t="s">
        <v>250</v>
      </c>
    </row>
    <row r="1643" spans="1:4" x14ac:dyDescent="0.35">
      <c r="A1643" s="119">
        <v>3746</v>
      </c>
      <c r="B1643" s="202" t="s">
        <v>305</v>
      </c>
      <c r="C1643" s="933"/>
      <c r="D1643" s="885" t="s">
        <v>305</v>
      </c>
    </row>
    <row r="1644" spans="1:4" x14ac:dyDescent="0.35">
      <c r="A1644" s="119">
        <v>3747</v>
      </c>
      <c r="B1644" s="202" t="s">
        <v>314</v>
      </c>
      <c r="C1644" s="933"/>
      <c r="D1644" s="885" t="s">
        <v>314</v>
      </c>
    </row>
    <row r="1645" spans="1:4" x14ac:dyDescent="0.35">
      <c r="A1645" s="119">
        <v>3748</v>
      </c>
      <c r="B1645" s="202" t="s">
        <v>315</v>
      </c>
      <c r="C1645" s="933"/>
      <c r="D1645" s="885" t="s">
        <v>315</v>
      </c>
    </row>
    <row r="1646" spans="1:4" x14ac:dyDescent="0.35">
      <c r="A1646" s="119">
        <v>3749</v>
      </c>
      <c r="B1646" s="202" t="s">
        <v>316</v>
      </c>
      <c r="C1646" s="933"/>
      <c r="D1646" s="885" t="s">
        <v>316</v>
      </c>
    </row>
    <row r="1647" spans="1:4" x14ac:dyDescent="0.35">
      <c r="A1647" s="119">
        <v>3750</v>
      </c>
      <c r="B1647" s="395" t="s">
        <v>317</v>
      </c>
      <c r="C1647" s="932"/>
      <c r="D1647" s="886" t="s">
        <v>317</v>
      </c>
    </row>
    <row r="1648" spans="1:4" x14ac:dyDescent="0.35">
      <c r="A1648" s="119">
        <v>3751</v>
      </c>
      <c r="B1648" s="218" t="s">
        <v>327</v>
      </c>
      <c r="C1648" s="932"/>
      <c r="D1648" s="886" t="s">
        <v>327</v>
      </c>
    </row>
    <row r="1649" spans="1:4" x14ac:dyDescent="0.35">
      <c r="A1649" s="119">
        <v>3752</v>
      </c>
      <c r="B1649" s="218" t="s">
        <v>329</v>
      </c>
      <c r="C1649" s="932"/>
      <c r="D1649" s="886" t="s">
        <v>329</v>
      </c>
    </row>
    <row r="1650" spans="1:4" x14ac:dyDescent="0.35">
      <c r="A1650" s="119">
        <v>3753</v>
      </c>
      <c r="B1650" s="218" t="s">
        <v>331</v>
      </c>
      <c r="C1650" s="932"/>
      <c r="D1650" s="886" t="s">
        <v>331</v>
      </c>
    </row>
    <row r="1651" spans="1:4" x14ac:dyDescent="0.35">
      <c r="A1651" s="119">
        <v>3754</v>
      </c>
      <c r="B1651" s="218" t="s">
        <v>1917</v>
      </c>
      <c r="C1651" s="932"/>
      <c r="D1651" s="886" t="s">
        <v>1917</v>
      </c>
    </row>
    <row r="1652" spans="1:4" x14ac:dyDescent="0.35">
      <c r="A1652" s="119">
        <v>3755</v>
      </c>
      <c r="B1652" s="218" t="s">
        <v>1918</v>
      </c>
      <c r="C1652" s="932"/>
      <c r="D1652" s="886" t="s">
        <v>1918</v>
      </c>
    </row>
    <row r="1653" spans="1:4" x14ac:dyDescent="0.35">
      <c r="A1653" s="1020">
        <v>3756</v>
      </c>
      <c r="B1653" s="125" t="s">
        <v>2037</v>
      </c>
      <c r="C1653" s="934" t="s">
        <v>2025</v>
      </c>
    </row>
  </sheetData>
  <sheetProtection formatCells="0" formatColumns="0" formatRows="0" insertColumns="0" insertRows="0"/>
  <hyperlinks>
    <hyperlink ref="D36" r:id="rId1" xr:uid="{00000000-0004-0000-0D00-000000000000}"/>
    <hyperlink ref="D38" r:id="rId2" xr:uid="{00000000-0004-0000-0D00-000001000000}"/>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indexed="57"/>
    <pageSetUpPr fitToPage="1"/>
  </sheetPr>
  <dimension ref="A1:E113"/>
  <sheetViews>
    <sheetView zoomScale="115" zoomScaleNormal="115" workbookViewId="0">
      <selection activeCell="C6" sqref="C6"/>
    </sheetView>
  </sheetViews>
  <sheetFormatPr baseColWidth="10" defaultColWidth="11.453125" defaultRowHeight="12.5" x14ac:dyDescent="0.25"/>
  <cols>
    <col min="1" max="1" width="17.1796875" customWidth="1"/>
    <col min="2" max="2" width="34.54296875" customWidth="1"/>
    <col min="3" max="3" width="15.1796875" customWidth="1"/>
  </cols>
  <sheetData>
    <row r="1" spans="1:5" ht="13.5" thickBot="1" x14ac:dyDescent="0.35">
      <c r="A1" s="13" t="s">
        <v>1751</v>
      </c>
    </row>
    <row r="2" spans="1:5" ht="13" thickBot="1" x14ac:dyDescent="0.3">
      <c r="A2" s="27" t="s">
        <v>1752</v>
      </c>
      <c r="B2" s="28" t="s">
        <v>1753</v>
      </c>
    </row>
    <row r="3" spans="1:5" ht="13" thickBot="1" x14ac:dyDescent="0.3">
      <c r="A3" s="29" t="s">
        <v>1754</v>
      </c>
      <c r="B3" s="30">
        <v>45699</v>
      </c>
      <c r="C3" s="31" t="str">
        <f>IF(ISNUMBER(MATCH(B3,A25:A51,0)),VLOOKUP(B3,A25:B51,2,FALSE),"---")</f>
        <v>AER AO 2024_FOEN_en_110225.xls</v>
      </c>
      <c r="D3" s="32"/>
      <c r="E3" s="33"/>
    </row>
    <row r="4" spans="1:5" x14ac:dyDescent="0.25">
      <c r="A4" s="34" t="s">
        <v>1755</v>
      </c>
      <c r="B4" s="35" t="s">
        <v>2032</v>
      </c>
    </row>
    <row r="5" spans="1:5" ht="13" thickBot="1" x14ac:dyDescent="0.3">
      <c r="A5" s="36" t="s">
        <v>1757</v>
      </c>
      <c r="B5" s="37" t="s">
        <v>1567</v>
      </c>
    </row>
    <row r="7" spans="1:5" ht="13" x14ac:dyDescent="0.3">
      <c r="A7" s="13" t="s">
        <v>1758</v>
      </c>
    </row>
    <row r="8" spans="1:5" x14ac:dyDescent="0.25">
      <c r="A8" s="5" t="s">
        <v>1759</v>
      </c>
      <c r="B8" s="5"/>
      <c r="C8" s="5" t="s">
        <v>1760</v>
      </c>
    </row>
    <row r="9" spans="1:5" x14ac:dyDescent="0.25">
      <c r="A9" s="5" t="s">
        <v>1761</v>
      </c>
      <c r="B9" s="5"/>
      <c r="C9" s="5" t="s">
        <v>1762</v>
      </c>
    </row>
    <row r="10" spans="1:5" x14ac:dyDescent="0.25">
      <c r="A10" s="5" t="s">
        <v>1763</v>
      </c>
      <c r="B10" s="5"/>
      <c r="C10" s="5" t="s">
        <v>1764</v>
      </c>
    </row>
    <row r="11" spans="1:5" x14ac:dyDescent="0.25">
      <c r="A11" s="5" t="s">
        <v>1765</v>
      </c>
      <c r="B11" s="5"/>
      <c r="C11" s="5" t="s">
        <v>1766</v>
      </c>
    </row>
    <row r="12" spans="1:5" x14ac:dyDescent="0.25">
      <c r="A12" s="5" t="s">
        <v>1767</v>
      </c>
      <c r="B12" s="5"/>
      <c r="C12" s="5" t="s">
        <v>1768</v>
      </c>
    </row>
    <row r="13" spans="1:5" x14ac:dyDescent="0.25">
      <c r="A13" s="5" t="s">
        <v>1769</v>
      </c>
      <c r="B13" s="5"/>
      <c r="C13" s="5" t="s">
        <v>1770</v>
      </c>
    </row>
    <row r="14" spans="1:5" x14ac:dyDescent="0.25">
      <c r="A14" s="5" t="s">
        <v>1771</v>
      </c>
      <c r="B14" s="5"/>
      <c r="C14" s="5" t="s">
        <v>1772</v>
      </c>
    </row>
    <row r="15" spans="1:5" x14ac:dyDescent="0.25">
      <c r="A15" s="48" t="s">
        <v>1773</v>
      </c>
      <c r="B15" s="5"/>
      <c r="C15" s="48" t="s">
        <v>1774</v>
      </c>
    </row>
    <row r="16" spans="1:5" x14ac:dyDescent="0.25">
      <c r="A16" s="48" t="s">
        <v>1775</v>
      </c>
      <c r="B16" s="5"/>
      <c r="C16" s="48" t="s">
        <v>1776</v>
      </c>
    </row>
    <row r="17" spans="1:4" x14ac:dyDescent="0.25">
      <c r="A17" s="48" t="s">
        <v>1777</v>
      </c>
      <c r="B17" s="5"/>
      <c r="C17" s="48" t="s">
        <v>1778</v>
      </c>
    </row>
    <row r="18" spans="1:4" x14ac:dyDescent="0.25">
      <c r="A18" s="48" t="s">
        <v>1779</v>
      </c>
      <c r="B18" s="5"/>
      <c r="C18" s="48" t="s">
        <v>1780</v>
      </c>
    </row>
    <row r="19" spans="1:4" x14ac:dyDescent="0.25">
      <c r="A19" s="48" t="s">
        <v>1781</v>
      </c>
      <c r="B19" s="5"/>
      <c r="C19" s="48" t="s">
        <v>1782</v>
      </c>
    </row>
    <row r="20" spans="1:4" x14ac:dyDescent="0.25">
      <c r="A20" s="48" t="s">
        <v>1753</v>
      </c>
      <c r="B20" s="5"/>
      <c r="C20" s="48" t="s">
        <v>1783</v>
      </c>
    </row>
    <row r="21" spans="1:4" x14ac:dyDescent="0.25">
      <c r="A21" s="48"/>
      <c r="B21" s="5"/>
      <c r="C21" s="48"/>
    </row>
    <row r="22" spans="1:4" x14ac:dyDescent="0.25">
      <c r="A22" s="48"/>
      <c r="B22" s="5"/>
      <c r="C22" s="48"/>
    </row>
    <row r="24" spans="1:4" ht="13" x14ac:dyDescent="0.3">
      <c r="A24" s="13" t="s">
        <v>1784</v>
      </c>
      <c r="B24" s="13" t="s">
        <v>1785</v>
      </c>
      <c r="C24" s="13" t="s">
        <v>1786</v>
      </c>
    </row>
    <row r="25" spans="1:4" x14ac:dyDescent="0.25">
      <c r="A25" s="38">
        <v>41233</v>
      </c>
      <c r="B25" s="39" t="s">
        <v>1787</v>
      </c>
      <c r="C25" s="49" t="s">
        <v>1788</v>
      </c>
      <c r="D25" s="40"/>
    </row>
    <row r="26" spans="1:4" x14ac:dyDescent="0.25">
      <c r="A26" s="41">
        <v>41299</v>
      </c>
      <c r="B26" s="42" t="s">
        <v>1789</v>
      </c>
      <c r="C26" s="42" t="s">
        <v>1790</v>
      </c>
      <c r="D26" s="43"/>
    </row>
    <row r="27" spans="1:4" x14ac:dyDescent="0.25">
      <c r="A27" s="41">
        <v>41342</v>
      </c>
      <c r="B27" s="42" t="s">
        <v>1791</v>
      </c>
      <c r="C27" s="42" t="s">
        <v>1792</v>
      </c>
      <c r="D27" s="43"/>
    </row>
    <row r="28" spans="1:4" x14ac:dyDescent="0.25">
      <c r="A28" s="41">
        <v>41355</v>
      </c>
      <c r="B28" s="42" t="s">
        <v>1793</v>
      </c>
      <c r="C28" s="47" t="s">
        <v>1794</v>
      </c>
      <c r="D28" s="43"/>
    </row>
    <row r="29" spans="1:4" x14ac:dyDescent="0.25">
      <c r="A29" s="41">
        <v>41390</v>
      </c>
      <c r="B29" s="42" t="s">
        <v>1795</v>
      </c>
      <c r="C29" s="42" t="s">
        <v>1796</v>
      </c>
      <c r="D29" s="43"/>
    </row>
    <row r="30" spans="1:4" x14ac:dyDescent="0.25">
      <c r="A30" s="41">
        <v>42332</v>
      </c>
      <c r="B30" s="42" t="s">
        <v>1797</v>
      </c>
      <c r="C30" s="47" t="s">
        <v>1798</v>
      </c>
      <c r="D30" s="43"/>
    </row>
    <row r="31" spans="1:4" x14ac:dyDescent="0.25">
      <c r="A31" s="41">
        <v>42354</v>
      </c>
      <c r="B31" s="42" t="s">
        <v>1799</v>
      </c>
      <c r="C31" s="47" t="s">
        <v>1800</v>
      </c>
      <c r="D31" s="43"/>
    </row>
    <row r="32" spans="1:4" x14ac:dyDescent="0.25">
      <c r="A32" s="41">
        <v>43633</v>
      </c>
      <c r="B32" s="42" t="str">
        <f t="shared" ref="B32:B37" si="0">IF(ISBLANK($A32),"---", VLOOKUP($B$2,$A$8:$C$22,3,0) &amp; "_" &amp; VLOOKUP($B$4,$A$54:$B$86,2,0)&amp;"_"&amp;VLOOKUP($B$5,$A$89:$B$113,2,0)&amp;"_"&amp; TEXT(DAY($A32),"0#")&amp; TEXT(MONTH($A32),"0#")&amp; TEXT(YEAR($A32)-2000,"0#")&amp;".xls")</f>
        <v>AER AO 2024_FOEN_en_170619.xls</v>
      </c>
      <c r="C32" s="47" t="s">
        <v>1801</v>
      </c>
      <c r="D32" s="43"/>
    </row>
    <row r="33" spans="1:4" x14ac:dyDescent="0.25">
      <c r="A33" s="41">
        <v>43756</v>
      </c>
      <c r="B33" s="42" t="str">
        <f t="shared" si="0"/>
        <v>AER AO 2024_FOEN_en_181019.xls</v>
      </c>
      <c r="C33" s="47" t="s">
        <v>1802</v>
      </c>
      <c r="D33" s="43"/>
    </row>
    <row r="34" spans="1:4" x14ac:dyDescent="0.25">
      <c r="A34" s="41">
        <v>43814</v>
      </c>
      <c r="B34" s="42" t="str">
        <f t="shared" si="0"/>
        <v>AER AO 2024_FOEN_en_151219.xls</v>
      </c>
      <c r="C34" s="47" t="s">
        <v>1803</v>
      </c>
      <c r="D34" s="43"/>
    </row>
    <row r="35" spans="1:4" x14ac:dyDescent="0.25">
      <c r="A35" s="41">
        <v>43852</v>
      </c>
      <c r="B35" s="42" t="str">
        <f t="shared" si="0"/>
        <v>AER AO 2024_FOEN_en_220120.xls</v>
      </c>
      <c r="C35" s="47" t="s">
        <v>1804</v>
      </c>
      <c r="D35" s="43"/>
    </row>
    <row r="36" spans="1:4" x14ac:dyDescent="0.25">
      <c r="A36" s="41">
        <v>44103</v>
      </c>
      <c r="B36" s="42" t="str">
        <f t="shared" si="0"/>
        <v>AER AO 2024_FOEN_en_290920.xls</v>
      </c>
      <c r="C36" s="47" t="s">
        <v>1805</v>
      </c>
      <c r="D36" s="43"/>
    </row>
    <row r="37" spans="1:4" x14ac:dyDescent="0.25">
      <c r="A37" s="41">
        <v>44153</v>
      </c>
      <c r="B37" s="42" t="str">
        <f t="shared" si="0"/>
        <v>AER AO 2024_FOEN_en_181120.xls</v>
      </c>
      <c r="C37" s="47" t="s">
        <v>1806</v>
      </c>
      <c r="D37" s="43"/>
    </row>
    <row r="38" spans="1:4" x14ac:dyDescent="0.25">
      <c r="A38" s="41">
        <v>44399</v>
      </c>
      <c r="B38" s="42" t="str">
        <f>IF(ISBLANK($A38),"---", VLOOKUP($B$2,$A$8:$C$22,3,0) &amp; "_" &amp; VLOOKUP($B$4,$A$54:$B$86,2,0)&amp;"_"&amp;VLOOKUP($B$5,$A$89:$B$113,2,0)&amp;"_"&amp; TEXT(DAY($A38),"0#")&amp; TEXT(MONTH($A38),"0#")&amp; TEXT(YEAR($A38)-2000,"0#")&amp;".xls")</f>
        <v>AER AO 2024_FOEN_en_220721.xls</v>
      </c>
      <c r="C38" s="47" t="s">
        <v>1807</v>
      </c>
      <c r="D38" s="43"/>
    </row>
    <row r="39" spans="1:4" x14ac:dyDescent="0.25">
      <c r="A39" s="41">
        <v>44601</v>
      </c>
      <c r="B39" s="42" t="str">
        <f t="shared" ref="B39:B50" si="1">IF(ISBLANK($A39),"---", VLOOKUP($B$2,$A$8:$C$22,3,0) &amp; "_" &amp; VLOOKUP($B$4,$A$54:$B$86,2,0)&amp;"_"&amp;VLOOKUP($B$5,$A$89:$B$113,2,0)&amp;"_"&amp; TEXT(DAY($A39),"0#")&amp; TEXT(MONTH($A39),"0#")&amp; TEXT(YEAR($A39)-2000,"0#")&amp;".xls")</f>
        <v>AER AO 2024_FOEN_en_090222.xls</v>
      </c>
      <c r="C39" s="47" t="s">
        <v>1808</v>
      </c>
      <c r="D39" s="43"/>
    </row>
    <row r="40" spans="1:4" x14ac:dyDescent="0.25">
      <c r="A40" s="41">
        <v>45243</v>
      </c>
      <c r="B40" s="42" t="str">
        <f t="shared" si="1"/>
        <v>AER AO 2024_FOEN_en_131123.xls</v>
      </c>
      <c r="C40" s="47" t="s">
        <v>1809</v>
      </c>
      <c r="D40" s="43"/>
    </row>
    <row r="41" spans="1:4" x14ac:dyDescent="0.25">
      <c r="A41" s="41">
        <v>45267</v>
      </c>
      <c r="B41" s="42" t="str">
        <f t="shared" si="1"/>
        <v>AER AO 2024_FOEN_en_071223.xls</v>
      </c>
      <c r="C41" s="47" t="s">
        <v>1810</v>
      </c>
      <c r="D41" s="43"/>
    </row>
    <row r="42" spans="1:4" x14ac:dyDescent="0.25">
      <c r="A42" s="41">
        <v>45281</v>
      </c>
      <c r="B42" s="42" t="str">
        <f t="shared" si="1"/>
        <v>AER AO 2024_FOEN_en_211223.xls</v>
      </c>
      <c r="C42" s="47" t="s">
        <v>1811</v>
      </c>
      <c r="D42" s="43"/>
    </row>
    <row r="43" spans="1:4" x14ac:dyDescent="0.25">
      <c r="A43" s="41">
        <v>45306</v>
      </c>
      <c r="B43" s="42" t="str">
        <f t="shared" si="1"/>
        <v>AER AO 2024_FOEN_en_150124.xls</v>
      </c>
      <c r="C43" s="47" t="s">
        <v>1812</v>
      </c>
      <c r="D43" s="43"/>
    </row>
    <row r="44" spans="1:4" x14ac:dyDescent="0.25">
      <c r="A44" s="41">
        <v>45362</v>
      </c>
      <c r="B44" s="42" t="str">
        <f t="shared" si="1"/>
        <v>AER AO 2024_FOEN_en_110324.xls</v>
      </c>
      <c r="C44" s="47" t="s">
        <v>1813</v>
      </c>
      <c r="D44" s="43"/>
    </row>
    <row r="45" spans="1:4" x14ac:dyDescent="0.25">
      <c r="A45" s="41">
        <v>45667</v>
      </c>
      <c r="B45" s="42" t="str">
        <f t="shared" si="1"/>
        <v>AER AO 2024_FOEN_en_100125.xls</v>
      </c>
      <c r="C45" s="47" t="s">
        <v>1814</v>
      </c>
      <c r="D45" s="43"/>
    </row>
    <row r="46" spans="1:4" x14ac:dyDescent="0.25">
      <c r="A46" s="41">
        <v>45680</v>
      </c>
      <c r="B46" s="42" t="str">
        <f t="shared" si="1"/>
        <v>AER AO 2024_FOEN_en_230125.xls</v>
      </c>
      <c r="C46" s="47" t="s">
        <v>2020</v>
      </c>
      <c r="D46" s="43"/>
    </row>
    <row r="47" spans="1:4" x14ac:dyDescent="0.25">
      <c r="A47" s="41">
        <v>45687</v>
      </c>
      <c r="B47" s="42" t="str">
        <f t="shared" si="1"/>
        <v>AER AO 2024_FOEN_en_300125.xls</v>
      </c>
      <c r="C47" s="47" t="s">
        <v>2043</v>
      </c>
      <c r="D47" s="43"/>
    </row>
    <row r="48" spans="1:4" x14ac:dyDescent="0.25">
      <c r="A48" s="41">
        <v>45699</v>
      </c>
      <c r="B48" s="42" t="str">
        <f t="shared" si="1"/>
        <v>AER AO 2024_FOEN_en_110225.xls</v>
      </c>
      <c r="C48" s="47" t="s">
        <v>2050</v>
      </c>
      <c r="D48" s="43"/>
    </row>
    <row r="49" spans="1:4" x14ac:dyDescent="0.25">
      <c r="A49" s="41"/>
      <c r="B49" s="42" t="str">
        <f t="shared" si="1"/>
        <v>---</v>
      </c>
      <c r="C49" s="47"/>
      <c r="D49" s="43"/>
    </row>
    <row r="50" spans="1:4" x14ac:dyDescent="0.25">
      <c r="A50" s="41"/>
      <c r="B50" s="42" t="str">
        <f t="shared" si="1"/>
        <v>---</v>
      </c>
      <c r="C50" s="47"/>
      <c r="D50" s="43"/>
    </row>
    <row r="51" spans="1:4" x14ac:dyDescent="0.25">
      <c r="A51" s="44"/>
      <c r="B51" s="45" t="str">
        <f>IF(ISBLANK($A51),"---", VLOOKUP($B$2,$A$8:$C$22,3,0) &amp; "_" &amp; VLOOKUP($B$4,$A$54:$B$86,2,0)&amp;"_"&amp;VLOOKUP($B$5,$A$89:$B$113,2,0)&amp;"_"&amp; TEXT(DAY($A51),"0#")&amp; TEXT(MONTH($A51),"0#")&amp; TEXT(YEAR($A51)-2000,"0#")&amp;".xls")</f>
        <v>---</v>
      </c>
      <c r="C51" s="45"/>
      <c r="D51" s="46"/>
    </row>
    <row r="53" spans="1:4" ht="13" x14ac:dyDescent="0.3">
      <c r="A53" s="13" t="s">
        <v>1755</v>
      </c>
    </row>
    <row r="54" spans="1:4" x14ac:dyDescent="0.25">
      <c r="A54" s="26" t="s">
        <v>1756</v>
      </c>
      <c r="B54" s="26" t="s">
        <v>1815</v>
      </c>
    </row>
    <row r="55" spans="1:4" x14ac:dyDescent="0.25">
      <c r="A55" s="377" t="s">
        <v>2032</v>
      </c>
      <c r="B55" s="377" t="s">
        <v>2042</v>
      </c>
    </row>
    <row r="56" spans="1:4" x14ac:dyDescent="0.25">
      <c r="A56" s="26" t="s">
        <v>733</v>
      </c>
      <c r="B56" s="26" t="s">
        <v>1816</v>
      </c>
    </row>
    <row r="57" spans="1:4" x14ac:dyDescent="0.25">
      <c r="A57" s="26" t="s">
        <v>734</v>
      </c>
      <c r="B57" s="26" t="s">
        <v>1817</v>
      </c>
    </row>
    <row r="58" spans="1:4" x14ac:dyDescent="0.25">
      <c r="A58" s="26" t="s">
        <v>735</v>
      </c>
      <c r="B58" s="26" t="s">
        <v>1818</v>
      </c>
    </row>
    <row r="59" spans="1:4" x14ac:dyDescent="0.25">
      <c r="A59" s="26" t="s">
        <v>736</v>
      </c>
      <c r="B59" s="26" t="s">
        <v>1819</v>
      </c>
    </row>
    <row r="60" spans="1:4" x14ac:dyDescent="0.25">
      <c r="A60" s="26" t="s">
        <v>737</v>
      </c>
      <c r="B60" s="26" t="s">
        <v>1820</v>
      </c>
    </row>
    <row r="61" spans="1:4" x14ac:dyDescent="0.25">
      <c r="A61" s="377" t="s">
        <v>738</v>
      </c>
      <c r="B61" s="26" t="s">
        <v>1821</v>
      </c>
    </row>
    <row r="62" spans="1:4" x14ac:dyDescent="0.25">
      <c r="A62" s="26" t="s">
        <v>739</v>
      </c>
      <c r="B62" s="26" t="s">
        <v>1822</v>
      </c>
    </row>
    <row r="63" spans="1:4" x14ac:dyDescent="0.25">
      <c r="A63" s="26" t="s">
        <v>740</v>
      </c>
      <c r="B63" s="26" t="s">
        <v>1823</v>
      </c>
    </row>
    <row r="64" spans="1:4" x14ac:dyDescent="0.25">
      <c r="A64" s="26" t="s">
        <v>741</v>
      </c>
      <c r="B64" s="26" t="s">
        <v>1824</v>
      </c>
    </row>
    <row r="65" spans="1:2" x14ac:dyDescent="0.25">
      <c r="A65" s="26" t="s">
        <v>742</v>
      </c>
      <c r="B65" s="26" t="s">
        <v>1825</v>
      </c>
    </row>
    <row r="66" spans="1:2" x14ac:dyDescent="0.25">
      <c r="A66" s="26" t="s">
        <v>743</v>
      </c>
      <c r="B66" s="26" t="s">
        <v>1826</v>
      </c>
    </row>
    <row r="67" spans="1:2" x14ac:dyDescent="0.25">
      <c r="A67" s="26" t="s">
        <v>744</v>
      </c>
      <c r="B67" s="26" t="s">
        <v>1827</v>
      </c>
    </row>
    <row r="68" spans="1:2" x14ac:dyDescent="0.25">
      <c r="A68" s="26" t="s">
        <v>745</v>
      </c>
      <c r="B68" s="26" t="s">
        <v>1828</v>
      </c>
    </row>
    <row r="69" spans="1:2" x14ac:dyDescent="0.25">
      <c r="A69" s="26" t="s">
        <v>746</v>
      </c>
      <c r="B69" s="26" t="s">
        <v>1829</v>
      </c>
    </row>
    <row r="70" spans="1:2" x14ac:dyDescent="0.25">
      <c r="A70" s="26" t="s">
        <v>747</v>
      </c>
      <c r="B70" s="26" t="s">
        <v>1830</v>
      </c>
    </row>
    <row r="71" spans="1:2" x14ac:dyDescent="0.25">
      <c r="A71" s="26" t="s">
        <v>748</v>
      </c>
      <c r="B71" s="26" t="s">
        <v>1831</v>
      </c>
    </row>
    <row r="72" spans="1:2" x14ac:dyDescent="0.25">
      <c r="A72" s="26" t="s">
        <v>749</v>
      </c>
      <c r="B72" s="26" t="s">
        <v>1832</v>
      </c>
    </row>
    <row r="73" spans="1:2" x14ac:dyDescent="0.25">
      <c r="A73" s="26" t="s">
        <v>750</v>
      </c>
      <c r="B73" s="26" t="s">
        <v>1833</v>
      </c>
    </row>
    <row r="74" spans="1:2" x14ac:dyDescent="0.25">
      <c r="A74" s="26" t="s">
        <v>751</v>
      </c>
      <c r="B74" s="26" t="s">
        <v>1834</v>
      </c>
    </row>
    <row r="75" spans="1:2" x14ac:dyDescent="0.25">
      <c r="A75" s="26" t="s">
        <v>752</v>
      </c>
      <c r="B75" s="26" t="s">
        <v>1835</v>
      </c>
    </row>
    <row r="76" spans="1:2" x14ac:dyDescent="0.25">
      <c r="A76" s="26" t="s">
        <v>753</v>
      </c>
      <c r="B76" s="26" t="s">
        <v>1836</v>
      </c>
    </row>
    <row r="77" spans="1:2" x14ac:dyDescent="0.25">
      <c r="A77" s="26" t="s">
        <v>754</v>
      </c>
      <c r="B77" s="26" t="s">
        <v>1837</v>
      </c>
    </row>
    <row r="78" spans="1:2" x14ac:dyDescent="0.25">
      <c r="A78" s="26" t="s">
        <v>755</v>
      </c>
      <c r="B78" s="26" t="s">
        <v>1838</v>
      </c>
    </row>
    <row r="79" spans="1:2" x14ac:dyDescent="0.25">
      <c r="A79" s="26" t="s">
        <v>756</v>
      </c>
      <c r="B79" s="26" t="s">
        <v>1839</v>
      </c>
    </row>
    <row r="80" spans="1:2" x14ac:dyDescent="0.25">
      <c r="A80" s="26" t="s">
        <v>757</v>
      </c>
      <c r="B80" s="26" t="s">
        <v>1840</v>
      </c>
    </row>
    <row r="81" spans="1:2" x14ac:dyDescent="0.25">
      <c r="A81" s="26" t="s">
        <v>758</v>
      </c>
      <c r="B81" s="26" t="s">
        <v>1841</v>
      </c>
    </row>
    <row r="82" spans="1:2" x14ac:dyDescent="0.25">
      <c r="A82" s="26" t="s">
        <v>759</v>
      </c>
      <c r="B82" s="26" t="s">
        <v>1842</v>
      </c>
    </row>
    <row r="83" spans="1:2" x14ac:dyDescent="0.25">
      <c r="A83" s="26" t="s">
        <v>760</v>
      </c>
      <c r="B83" s="26" t="s">
        <v>1843</v>
      </c>
    </row>
    <row r="84" spans="1:2" x14ac:dyDescent="0.25">
      <c r="A84" s="26" t="s">
        <v>761</v>
      </c>
      <c r="B84" s="26" t="s">
        <v>1844</v>
      </c>
    </row>
    <row r="85" spans="1:2" x14ac:dyDescent="0.25">
      <c r="A85" s="26" t="s">
        <v>762</v>
      </c>
      <c r="B85" s="26" t="s">
        <v>1845</v>
      </c>
    </row>
    <row r="86" spans="1:2" x14ac:dyDescent="0.25">
      <c r="A86" s="26" t="s">
        <v>763</v>
      </c>
      <c r="B86" s="26" t="s">
        <v>1846</v>
      </c>
    </row>
    <row r="88" spans="1:2" ht="13" x14ac:dyDescent="0.3">
      <c r="A88" s="13" t="s">
        <v>1847</v>
      </c>
    </row>
    <row r="89" spans="1:2" x14ac:dyDescent="0.25">
      <c r="A89" s="536" t="s">
        <v>1559</v>
      </c>
      <c r="B89" s="536" t="s">
        <v>1848</v>
      </c>
    </row>
    <row r="90" spans="1:2" x14ac:dyDescent="0.25">
      <c r="A90" s="536" t="s">
        <v>1560</v>
      </c>
      <c r="B90" s="536" t="s">
        <v>1849</v>
      </c>
    </row>
    <row r="91" spans="1:2" x14ac:dyDescent="0.25">
      <c r="A91" s="536" t="s">
        <v>1561</v>
      </c>
      <c r="B91" s="536" t="s">
        <v>1850</v>
      </c>
    </row>
    <row r="92" spans="1:2" x14ac:dyDescent="0.25">
      <c r="A92" s="536" t="s">
        <v>1562</v>
      </c>
      <c r="B92" s="536" t="s">
        <v>1851</v>
      </c>
    </row>
    <row r="93" spans="1:2" x14ac:dyDescent="0.25">
      <c r="A93" s="536" t="s">
        <v>1563</v>
      </c>
      <c r="B93" s="536" t="s">
        <v>1852</v>
      </c>
    </row>
    <row r="94" spans="1:2" x14ac:dyDescent="0.25">
      <c r="A94" s="536" t="s">
        <v>1564</v>
      </c>
      <c r="B94" s="536" t="s">
        <v>1853</v>
      </c>
    </row>
    <row r="95" spans="1:2" x14ac:dyDescent="0.25">
      <c r="A95" s="536" t="s">
        <v>1565</v>
      </c>
      <c r="B95" s="536" t="s">
        <v>1854</v>
      </c>
    </row>
    <row r="96" spans="1:2" x14ac:dyDescent="0.25">
      <c r="A96" s="536" t="s">
        <v>1566</v>
      </c>
      <c r="B96" s="536" t="s">
        <v>1855</v>
      </c>
    </row>
    <row r="97" spans="1:2" x14ac:dyDescent="0.25">
      <c r="A97" s="536" t="s">
        <v>1567</v>
      </c>
      <c r="B97" s="536" t="s">
        <v>1856</v>
      </c>
    </row>
    <row r="98" spans="1:2" x14ac:dyDescent="0.25">
      <c r="A98" s="536" t="s">
        <v>1568</v>
      </c>
      <c r="B98" s="536" t="s">
        <v>1857</v>
      </c>
    </row>
    <row r="99" spans="1:2" x14ac:dyDescent="0.25">
      <c r="A99" s="536" t="s">
        <v>1569</v>
      </c>
      <c r="B99" s="536" t="s">
        <v>1858</v>
      </c>
    </row>
    <row r="100" spans="1:2" x14ac:dyDescent="0.25">
      <c r="A100" s="536" t="s">
        <v>1570</v>
      </c>
      <c r="B100" s="536" t="s">
        <v>1859</v>
      </c>
    </row>
    <row r="101" spans="1:2" x14ac:dyDescent="0.25">
      <c r="A101" s="536" t="s">
        <v>1571</v>
      </c>
      <c r="B101" s="536" t="s">
        <v>1860</v>
      </c>
    </row>
    <row r="102" spans="1:2" x14ac:dyDescent="0.25">
      <c r="A102" s="536" t="s">
        <v>1572</v>
      </c>
      <c r="B102" s="536" t="s">
        <v>1861</v>
      </c>
    </row>
    <row r="103" spans="1:2" x14ac:dyDescent="0.25">
      <c r="A103" s="536" t="s">
        <v>1573</v>
      </c>
      <c r="B103" s="536" t="s">
        <v>1862</v>
      </c>
    </row>
    <row r="104" spans="1:2" x14ac:dyDescent="0.25">
      <c r="A104" s="536" t="s">
        <v>1574</v>
      </c>
      <c r="B104" s="536" t="s">
        <v>1863</v>
      </c>
    </row>
    <row r="105" spans="1:2" x14ac:dyDescent="0.25">
      <c r="A105" s="536" t="s">
        <v>1575</v>
      </c>
      <c r="B105" s="536" t="s">
        <v>1864</v>
      </c>
    </row>
    <row r="106" spans="1:2" x14ac:dyDescent="0.25">
      <c r="A106" s="536" t="s">
        <v>1576</v>
      </c>
      <c r="B106" s="536" t="s">
        <v>1865</v>
      </c>
    </row>
    <row r="107" spans="1:2" x14ac:dyDescent="0.25">
      <c r="A107" s="536" t="s">
        <v>1577</v>
      </c>
      <c r="B107" s="536" t="s">
        <v>1866</v>
      </c>
    </row>
    <row r="108" spans="1:2" x14ac:dyDescent="0.25">
      <c r="A108" s="536" t="s">
        <v>1578</v>
      </c>
      <c r="B108" s="536" t="s">
        <v>1867</v>
      </c>
    </row>
    <row r="109" spans="1:2" x14ac:dyDescent="0.25">
      <c r="A109" s="536" t="s">
        <v>1579</v>
      </c>
      <c r="B109" s="536" t="s">
        <v>1868</v>
      </c>
    </row>
    <row r="110" spans="1:2" x14ac:dyDescent="0.25">
      <c r="A110" s="536" t="s">
        <v>1580</v>
      </c>
      <c r="B110" s="536" t="s">
        <v>1869</v>
      </c>
    </row>
    <row r="111" spans="1:2" x14ac:dyDescent="0.25">
      <c r="A111" s="536" t="s">
        <v>1581</v>
      </c>
      <c r="B111" s="536" t="s">
        <v>1870</v>
      </c>
    </row>
    <row r="112" spans="1:2" x14ac:dyDescent="0.25">
      <c r="A112" s="536" t="s">
        <v>1582</v>
      </c>
      <c r="B112" s="536" t="s">
        <v>1871</v>
      </c>
    </row>
    <row r="113" spans="1:2" x14ac:dyDescent="0.25">
      <c r="A113" s="536" t="s">
        <v>1583</v>
      </c>
      <c r="B113" s="536" t="s">
        <v>1872</v>
      </c>
    </row>
  </sheetData>
  <sheetProtection formatCells="0" formatColumns="0" formatRows="0" insertColumns="0" insertRows="0"/>
  <phoneticPr fontId="12" type="noConversion"/>
  <dataValidations count="4">
    <dataValidation type="list" allowBlank="1" showInputMessage="1" showErrorMessage="1" sqref="B2" xr:uid="{00000000-0002-0000-0E00-000000000000}">
      <formula1>$A$8:$A$22</formula1>
    </dataValidation>
    <dataValidation type="list" allowBlank="1" showInputMessage="1" showErrorMessage="1" sqref="B3" xr:uid="{00000000-0002-0000-0E00-000001000000}">
      <formula1>$A$25:$A$51</formula1>
    </dataValidation>
    <dataValidation type="list" allowBlank="1" showInputMessage="1" showErrorMessage="1" sqref="B4" xr:uid="{00000000-0002-0000-0E00-000002000000}">
      <formula1>$A$54:$A$86</formula1>
    </dataValidation>
    <dataValidation type="list" allowBlank="1" showInputMessage="1" showErrorMessage="1" sqref="B5" xr:uid="{00000000-0002-0000-0E00-000003000000}">
      <formula1>$A$89:$A$113</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M167"/>
  <sheetViews>
    <sheetView showGridLines="0" zoomScale="115" zoomScaleNormal="115" zoomScaleSheetLayoutView="100" workbookViewId="0">
      <selection activeCell="B1" sqref="B1"/>
    </sheetView>
  </sheetViews>
  <sheetFormatPr baseColWidth="10" defaultColWidth="11.453125" defaultRowHeight="13" x14ac:dyDescent="0.25"/>
  <cols>
    <col min="1" max="1" width="5.453125" style="10" customWidth="1"/>
    <col min="2" max="2" width="7.453125" customWidth="1"/>
    <col min="3" max="12" width="11.54296875" customWidth="1"/>
    <col min="13" max="13" width="5.453125" customWidth="1"/>
  </cols>
  <sheetData>
    <row r="2" spans="1:12" ht="30" customHeight="1" x14ac:dyDescent="0.25">
      <c r="B2" s="1063" t="str">
        <f>Translations!$B$33</f>
        <v>GUIDELINES AND CONDITIONS</v>
      </c>
      <c r="C2" s="1063"/>
      <c r="D2" s="1063"/>
      <c r="E2" s="1063"/>
      <c r="F2" s="1063"/>
      <c r="G2" s="1063"/>
      <c r="H2" s="1063"/>
      <c r="I2" s="1063"/>
      <c r="J2" s="1063"/>
      <c r="K2" s="1063"/>
      <c r="L2" s="1063"/>
    </row>
    <row r="3" spans="1:12" ht="13.4" customHeight="1" x14ac:dyDescent="0.25">
      <c r="B3" s="1034"/>
      <c r="C3" s="1034"/>
      <c r="D3" s="1034"/>
      <c r="E3" s="1034"/>
      <c r="F3" s="1034"/>
      <c r="G3" s="1034"/>
      <c r="H3" s="1034"/>
      <c r="I3" s="1034"/>
      <c r="J3" s="1034"/>
      <c r="K3" s="1034"/>
      <c r="L3" s="1034"/>
    </row>
    <row r="4" spans="1:12" ht="13.4" customHeight="1" x14ac:dyDescent="0.25">
      <c r="A4" s="301" t="s">
        <v>15</v>
      </c>
      <c r="B4" s="1069" t="str">
        <f>Translations!$B$1049</f>
        <v>Legal basis</v>
      </c>
      <c r="C4" s="1034"/>
      <c r="D4" s="1034"/>
      <c r="E4" s="1034"/>
      <c r="F4" s="1034"/>
      <c r="G4" s="1034"/>
      <c r="H4" s="1034"/>
      <c r="I4" s="1034"/>
      <c r="J4" s="1034"/>
      <c r="K4" s="1034"/>
      <c r="L4" s="1034"/>
    </row>
    <row r="5" spans="1:12" ht="53.15" customHeight="1" x14ac:dyDescent="0.25">
      <c r="A5" s="301">
        <v>1</v>
      </c>
      <c r="B5" s="1074" t="str">
        <f>Translations!$B$1329</f>
        <v>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1075"/>
      <c r="D5" s="1075"/>
      <c r="E5" s="1075"/>
      <c r="F5" s="1075"/>
      <c r="G5" s="1075"/>
      <c r="H5" s="1075"/>
      <c r="I5" s="1075"/>
      <c r="J5" s="1075"/>
      <c r="K5" s="1075"/>
      <c r="L5" s="1075"/>
    </row>
    <row r="6" spans="1:12" ht="13.4" customHeight="1" x14ac:dyDescent="0.25">
      <c r="A6" s="301"/>
      <c r="B6" s="1076" t="str">
        <f>Translations!$B$1051</f>
        <v>The EU ETS Directive can be retrieved from:</v>
      </c>
      <c r="C6" s="1076"/>
      <c r="D6" s="1076"/>
      <c r="E6" s="1076"/>
      <c r="F6" s="1076"/>
      <c r="G6" s="1076"/>
      <c r="H6" s="1076"/>
      <c r="I6" s="1076"/>
      <c r="J6" s="1076"/>
      <c r="K6" s="1076"/>
      <c r="L6" s="1076"/>
    </row>
    <row r="7" spans="1:12" ht="13.4" customHeight="1" x14ac:dyDescent="0.25">
      <c r="A7" s="302"/>
      <c r="B7" s="1070" t="str">
        <f>HYPERLINK(Translations!$B$1397,Translations!$B$1397)</f>
        <v>http://data.europa.eu/eli/dir/2003/87/2024-03-01</v>
      </c>
      <c r="C7" s="1071"/>
      <c r="D7" s="1071"/>
      <c r="E7" s="1071"/>
      <c r="F7" s="1071"/>
      <c r="G7" s="1071"/>
      <c r="H7" s="1071"/>
      <c r="I7" s="1071"/>
      <c r="J7" s="1071"/>
      <c r="K7" s="1071"/>
      <c r="L7" s="1071"/>
    </row>
    <row r="8" spans="1:12" ht="26.9" customHeight="1" x14ac:dyDescent="0.25">
      <c r="A8" s="710" t="s">
        <v>21</v>
      </c>
      <c r="B8" s="1101" t="str">
        <f>Translations!$B$1413</f>
        <v>The EU ETS Directive also provides for a support scheme for the use of certain alternative aviation fuels by allocating allowances for free pursuant to Article 3c(6) of the Directive. Relavant data need to be reported together with the annual emissions.</v>
      </c>
      <c r="C8" s="1044"/>
      <c r="D8" s="1044"/>
      <c r="E8" s="1044"/>
      <c r="F8" s="1044"/>
      <c r="G8" s="1044"/>
      <c r="H8" s="1044"/>
      <c r="I8" s="1044"/>
      <c r="J8" s="1044"/>
      <c r="K8" s="1044"/>
      <c r="L8" s="1044"/>
    </row>
    <row r="9" spans="1:12" ht="38.25" customHeight="1" x14ac:dyDescent="0.25">
      <c r="A9" s="301">
        <v>2</v>
      </c>
      <c r="B9" s="1076"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9" s="1076"/>
      <c r="D9" s="1076"/>
      <c r="E9" s="1076"/>
      <c r="F9" s="1076"/>
      <c r="G9" s="1076"/>
      <c r="H9" s="1076"/>
      <c r="I9" s="1076"/>
      <c r="J9" s="1076"/>
      <c r="K9" s="1076"/>
      <c r="L9" s="1076"/>
    </row>
    <row r="10" spans="1:12" ht="53.15" customHeight="1" x14ac:dyDescent="0.25">
      <c r="A10" s="301"/>
      <c r="B10" s="1076" t="str">
        <f>Translations!$B$1414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CORSIA delegated act" or "the delegated act [pursuant to Article 28c]".</v>
      </c>
      <c r="C10" s="1076"/>
      <c r="D10" s="1076"/>
      <c r="E10" s="1076"/>
      <c r="F10" s="1076"/>
      <c r="G10" s="1076"/>
      <c r="H10" s="1076"/>
      <c r="I10" s="1076"/>
      <c r="J10" s="1076"/>
      <c r="K10" s="1076"/>
      <c r="L10" s="1076"/>
    </row>
    <row r="11" spans="1:12" ht="26.5" customHeight="1" x14ac:dyDescent="0.25">
      <c r="A11" s="301"/>
      <c r="B11" s="1067" t="str">
        <f>Translations!$B$1415</f>
        <v>In case this act is replaced by a new one, this will be mentioned in Eur-Lex (see link below). In this case, follow the link to the new legislation given on that website.</v>
      </c>
      <c r="C11" s="1034"/>
      <c r="D11" s="1034"/>
      <c r="E11" s="1034"/>
      <c r="F11" s="1034"/>
      <c r="G11" s="1034"/>
      <c r="H11" s="1034"/>
      <c r="I11" s="1034"/>
      <c r="J11" s="1034"/>
      <c r="K11" s="1034"/>
      <c r="L11" s="1034"/>
    </row>
    <row r="12" spans="1:12" ht="13.4" customHeight="1" x14ac:dyDescent="0.25">
      <c r="A12" s="301"/>
      <c r="B12" s="1067" t="str">
        <f>Translations!$B$1055</f>
        <v>That delegated act can be downloaded from:</v>
      </c>
      <c r="C12" s="1034"/>
      <c r="D12" s="1034"/>
      <c r="E12" s="1034"/>
      <c r="F12" s="1034"/>
      <c r="G12" s="1034"/>
      <c r="H12" s="1034"/>
      <c r="I12" s="1034"/>
      <c r="J12" s="1034"/>
      <c r="K12" s="1034"/>
      <c r="L12" s="1034"/>
    </row>
    <row r="13" spans="1:12" ht="13.4" customHeight="1" x14ac:dyDescent="0.25">
      <c r="A13" s="301"/>
      <c r="B13" s="1070" t="str">
        <f>HYPERLINK(Translations!$B$1056,Translations!$B$1056)</f>
        <v>https://eur-lex.europa.eu/eli/reg_del/2019/1603/oj</v>
      </c>
      <c r="C13" s="1071"/>
      <c r="D13" s="1071"/>
      <c r="E13" s="1071"/>
      <c r="F13" s="1071"/>
      <c r="G13" s="1071"/>
      <c r="H13" s="1071"/>
      <c r="I13" s="1071"/>
      <c r="J13" s="1071"/>
      <c r="K13" s="1071"/>
      <c r="L13" s="1071"/>
    </row>
    <row r="14" spans="1:12" ht="26.5" customHeight="1" x14ac:dyDescent="0.25">
      <c r="A14" s="301">
        <v>3</v>
      </c>
      <c r="B14" s="1076" t="str">
        <f>Translations!$B$1297</f>
        <v>The Monitoring and Reporting Regulation (Commission Implementing Regulation (EU) No 2018/2066, as amended, hereinafter the "MRR"), defines further requirements for monitoring and reporting. The MRR can be downloaded from:</v>
      </c>
      <c r="C14" s="1076"/>
      <c r="D14" s="1076"/>
      <c r="E14" s="1076"/>
      <c r="F14" s="1076"/>
      <c r="G14" s="1076"/>
      <c r="H14" s="1076"/>
      <c r="I14" s="1076"/>
      <c r="J14" s="1076"/>
      <c r="K14" s="1076"/>
      <c r="L14" s="1076"/>
    </row>
    <row r="15" spans="1:12" ht="13.4" customHeight="1" x14ac:dyDescent="0.25">
      <c r="A15" s="301"/>
      <c r="B15" s="1070" t="str">
        <f>Translations!$B$1416</f>
        <v>http://data.europa.eu/eli/reg_impl/2018/2066/2024-07-01</v>
      </c>
      <c r="C15" s="1071"/>
      <c r="D15" s="1071"/>
      <c r="E15" s="1071"/>
      <c r="F15" s="1071"/>
      <c r="G15" s="1071"/>
      <c r="H15" s="1071"/>
      <c r="I15" s="1071"/>
      <c r="J15" s="1071"/>
      <c r="K15" s="1071"/>
      <c r="L15" s="1071"/>
    </row>
    <row r="16" spans="1:12" ht="13.4" customHeight="1" x14ac:dyDescent="0.25">
      <c r="A16" s="301"/>
      <c r="B16" s="1076" t="str">
        <f>Translations!$B$1417</f>
        <v>This template also reflects the latest amendments of the MRR by Commission Implementing Regulation (EU) 2024/2493 of 23 September 2024:</v>
      </c>
      <c r="C16" s="1076"/>
      <c r="D16" s="1076"/>
      <c r="E16" s="1076"/>
      <c r="F16" s="1076"/>
      <c r="G16" s="1076"/>
      <c r="H16" s="1076"/>
      <c r="I16" s="1076"/>
      <c r="J16" s="1076"/>
      <c r="K16" s="1076"/>
      <c r="L16" s="1076"/>
    </row>
    <row r="17" spans="1:12" ht="13.4" customHeight="1" x14ac:dyDescent="0.25">
      <c r="A17" s="301"/>
      <c r="B17" s="1070" t="str">
        <f>HYPERLINK(Translations!$B$1399,Translations!$B$1399)</f>
        <v>http://data.europa.eu/eli/reg_impl/2024/2493/oj</v>
      </c>
      <c r="C17" s="1071"/>
      <c r="D17" s="1071"/>
      <c r="E17" s="1071"/>
      <c r="F17" s="1071"/>
      <c r="G17" s="1071"/>
      <c r="H17" s="1071"/>
      <c r="I17" s="1071"/>
      <c r="J17" s="1071"/>
      <c r="K17" s="1071"/>
      <c r="L17" s="1071"/>
    </row>
    <row r="18" spans="1:12" ht="13.4" customHeight="1" x14ac:dyDescent="0.25">
      <c r="A18" s="301"/>
      <c r="B18" s="522"/>
      <c r="C18" s="523"/>
      <c r="D18" s="523"/>
      <c r="E18" s="523"/>
      <c r="F18" s="523"/>
      <c r="G18" s="523"/>
      <c r="H18" s="523"/>
      <c r="I18" s="523"/>
      <c r="J18" s="523"/>
      <c r="K18" s="523"/>
      <c r="L18" s="523"/>
    </row>
    <row r="19" spans="1:12" ht="13.4" customHeight="1" x14ac:dyDescent="0.25">
      <c r="A19" s="301">
        <v>4</v>
      </c>
      <c r="B19" s="1100" t="str">
        <f>Translations!$B$1249</f>
        <v>Linking between the EU ETS and the Swiss ETS (CH ETS)</v>
      </c>
      <c r="C19" s="1065"/>
      <c r="D19" s="1065"/>
      <c r="E19" s="1065"/>
      <c r="F19" s="1065"/>
      <c r="G19" s="1065"/>
      <c r="H19" s="1065"/>
      <c r="I19" s="1065"/>
      <c r="J19" s="1065"/>
      <c r="K19" s="1065"/>
      <c r="L19" s="1065"/>
    </row>
    <row r="20" spans="1:12" ht="26.15" customHeight="1" x14ac:dyDescent="0.25">
      <c r="A20" s="301"/>
      <c r="B20" s="1072" t="str">
        <f>Translations!$B$1250</f>
        <v>The EU and Switzerland have concluded an agreement on linking their respective greenhouse gas emission trading systems. The agreement, which can be found under the following internet link, has entered into force on 1 January 2020.</v>
      </c>
      <c r="C20" s="1065"/>
      <c r="D20" s="1065"/>
      <c r="E20" s="1065"/>
      <c r="F20" s="1065"/>
      <c r="G20" s="1065"/>
      <c r="H20" s="1065"/>
      <c r="I20" s="1065"/>
      <c r="J20" s="1065"/>
      <c r="K20" s="1065"/>
      <c r="L20" s="1065"/>
    </row>
    <row r="21" spans="1:12" ht="13.4" customHeight="1" x14ac:dyDescent="0.25">
      <c r="A21" s="301"/>
      <c r="B21" s="1070" t="str">
        <f>HYPERLINK(Translations!$B$1400,Translations!$B$1400)</f>
        <v>http://data.europa.eu/eli/agree_internation/2017/2240/2023-11-15</v>
      </c>
      <c r="C21" s="1071"/>
      <c r="D21" s="1071"/>
      <c r="E21" s="1071"/>
      <c r="F21" s="1071"/>
      <c r="G21" s="1071"/>
      <c r="H21" s="1071"/>
      <c r="I21" s="1071"/>
      <c r="J21" s="1071"/>
      <c r="K21" s="1071"/>
      <c r="L21" s="1071"/>
    </row>
    <row r="22" spans="1:12" ht="26.15" customHeight="1" x14ac:dyDescent="0.25">
      <c r="A22" s="301"/>
      <c r="B22" s="1072" t="str">
        <f>Translations!$B$1252</f>
        <v>Consequently, the EU ETS Directive has been amended to exclude flights arriving in an EEA country from aerodromes in Switzerland. This amendment is already included in the EU ETS Directive's consolidated version mentioned under point 1 above.</v>
      </c>
      <c r="C22" s="1065"/>
      <c r="D22" s="1065"/>
      <c r="E22" s="1065"/>
      <c r="F22" s="1065"/>
      <c r="G22" s="1065"/>
      <c r="H22" s="1065"/>
      <c r="I22" s="1065"/>
      <c r="J22" s="1065"/>
      <c r="K22" s="1065"/>
      <c r="L22" s="1065"/>
    </row>
    <row r="23" spans="1:12" ht="12.75" customHeight="1" x14ac:dyDescent="0.25">
      <c r="A23" s="301"/>
      <c r="B23" s="1072" t="str">
        <f>Translations!$B$1253</f>
        <v>The excluded flights are covered by the Swiss ETS.</v>
      </c>
      <c r="C23" s="1065"/>
      <c r="D23" s="1065"/>
      <c r="E23" s="1065"/>
      <c r="F23" s="1065"/>
      <c r="G23" s="1065"/>
      <c r="H23" s="1065"/>
      <c r="I23" s="1065"/>
      <c r="J23" s="1065"/>
      <c r="K23" s="1065"/>
      <c r="L23" s="1065"/>
    </row>
    <row r="24" spans="1:12" ht="13.4" customHeight="1" x14ac:dyDescent="0.25">
      <c r="A24" s="301">
        <v>5</v>
      </c>
      <c r="B24" s="1072" t="str">
        <f>Translations!$B$1254</f>
        <v xml:space="preserve">"One-stop-shop" principle: </v>
      </c>
      <c r="C24" s="1065"/>
      <c r="D24" s="1065"/>
      <c r="E24" s="1065"/>
      <c r="F24" s="1065"/>
      <c r="G24" s="1065"/>
      <c r="H24" s="1065"/>
      <c r="I24" s="1065"/>
      <c r="J24" s="1065"/>
      <c r="K24" s="1065"/>
      <c r="L24" s="1065"/>
    </row>
    <row r="25" spans="1:12" ht="57" customHeight="1" x14ac:dyDescent="0.25">
      <c r="A25" s="301"/>
      <c r="B25" s="1072"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5" s="1065"/>
      <c r="D25" s="1065"/>
      <c r="E25" s="1065"/>
      <c r="F25" s="1065"/>
      <c r="G25" s="1065"/>
      <c r="H25" s="1065"/>
      <c r="I25" s="1065"/>
      <c r="J25" s="1065"/>
      <c r="K25" s="1065"/>
      <c r="L25" s="1065"/>
    </row>
    <row r="26" spans="1:12" ht="12.75" customHeight="1" x14ac:dyDescent="0.25">
      <c r="A26" s="301">
        <v>6</v>
      </c>
      <c r="B26" s="1072" t="str">
        <f>Translations!$B$1256</f>
        <v>Information about the Swiss ETS can be obtained from the following address:</v>
      </c>
      <c r="C26" s="1034"/>
      <c r="D26" s="1034"/>
      <c r="E26" s="1034"/>
      <c r="F26" s="1034"/>
      <c r="G26" s="1034"/>
      <c r="H26" s="1034"/>
      <c r="I26" s="1034"/>
      <c r="J26" s="1034"/>
      <c r="K26" s="1034"/>
      <c r="L26" s="1034"/>
    </row>
    <row r="27" spans="1:12" ht="12.75" customHeight="1" x14ac:dyDescent="0.25">
      <c r="A27" s="301"/>
      <c r="B27" s="1070" t="str">
        <f>HYPERLINK(Translations!$B$1398,Translations!$B$1398)</f>
        <v>https://www.bafu.admin.ch/bafu/en/home/topics/climate/info-specialists/reduction-measures/ets/aviation.html</v>
      </c>
      <c r="C27" s="1071"/>
      <c r="D27" s="1071"/>
      <c r="E27" s="1071"/>
      <c r="F27" s="1071"/>
      <c r="G27" s="1071"/>
      <c r="H27" s="1071"/>
      <c r="I27" s="1071"/>
      <c r="J27" s="1071"/>
      <c r="K27" s="1071"/>
      <c r="L27" s="1071"/>
    </row>
    <row r="28" spans="1:12" ht="13.4" customHeight="1" x14ac:dyDescent="0.25">
      <c r="A28" s="301"/>
      <c r="B28" s="1067"/>
      <c r="C28" s="1065"/>
      <c r="D28" s="1065"/>
      <c r="E28" s="1065"/>
      <c r="F28" s="1065"/>
      <c r="G28" s="1065"/>
      <c r="H28" s="1065"/>
      <c r="I28" s="1065"/>
      <c r="J28" s="1065"/>
      <c r="K28" s="1065"/>
      <c r="L28" s="1065"/>
    </row>
    <row r="29" spans="1:12" ht="13.4" customHeight="1" x14ac:dyDescent="0.25">
      <c r="A29" s="301">
        <v>7</v>
      </c>
      <c r="B29" s="1100" t="str">
        <f>Translations!$B1299</f>
        <v>Brexit and the UK ETS</v>
      </c>
      <c r="C29" s="1034"/>
      <c r="D29" s="1034"/>
      <c r="E29" s="1034"/>
      <c r="F29" s="1034"/>
      <c r="G29" s="1034"/>
      <c r="H29" s="1034"/>
      <c r="I29" s="1034"/>
      <c r="J29" s="1034"/>
      <c r="K29" s="1034"/>
      <c r="L29" s="1034"/>
    </row>
    <row r="30" spans="1:12" ht="38.9" customHeight="1" x14ac:dyDescent="0.25">
      <c r="A30" s="301"/>
      <c r="B30" s="1072" t="str">
        <f>Translations!$B1300</f>
        <v>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v>
      </c>
      <c r="C30" s="1065"/>
      <c r="D30" s="1065"/>
      <c r="E30" s="1065"/>
      <c r="F30" s="1065"/>
      <c r="G30" s="1065"/>
      <c r="H30" s="1065"/>
      <c r="I30" s="1065"/>
      <c r="J30" s="1065"/>
      <c r="K30" s="1065"/>
      <c r="L30" s="1065"/>
    </row>
    <row r="31" spans="1:12" ht="13.4" customHeight="1" x14ac:dyDescent="0.25">
      <c r="A31" s="301"/>
      <c r="B31" s="1072" t="str">
        <f>Translations!$B1301</f>
        <v>Flights from the EEA to the UK are included in the EU ETS. Flights from the UK to the EEA and domestic flights in the UK are included in the UK ETS.</v>
      </c>
      <c r="C31" s="1065"/>
      <c r="D31" s="1065"/>
      <c r="E31" s="1065"/>
      <c r="F31" s="1065"/>
      <c r="G31" s="1065"/>
      <c r="H31" s="1065"/>
      <c r="I31" s="1065"/>
      <c r="J31" s="1065"/>
      <c r="K31" s="1065"/>
      <c r="L31" s="1065"/>
    </row>
    <row r="32" spans="1:12" ht="13.4" customHeight="1" x14ac:dyDescent="0.25">
      <c r="A32" s="301"/>
      <c r="B32" s="1072" t="str">
        <f>Translations!$B1302</f>
        <v>The Trade and Cooperation Agreement between the EU and the UK can be downloaded here:</v>
      </c>
      <c r="C32" s="1065"/>
      <c r="D32" s="1065"/>
      <c r="E32" s="1065"/>
      <c r="F32" s="1065"/>
      <c r="G32" s="1065"/>
      <c r="H32" s="1065"/>
      <c r="I32" s="1065"/>
      <c r="J32" s="1065"/>
      <c r="K32" s="1065"/>
      <c r="L32" s="1065"/>
    </row>
    <row r="33" spans="1:12" ht="13.4" customHeight="1" x14ac:dyDescent="0.25">
      <c r="A33" s="301"/>
      <c r="B33" s="1070" t="str">
        <f>HYPERLINK(Translations!$B1303,Translations!$B1303)</f>
        <v>https://ec.europa.eu/info/strategy/relations-non-eu-countries/relations-united-kingdom/eu-uk-trade-and-cooperation-agreement_en</v>
      </c>
      <c r="C33" s="1071"/>
      <c r="D33" s="1071"/>
      <c r="E33" s="1071"/>
      <c r="F33" s="1071"/>
      <c r="G33" s="1071"/>
      <c r="H33" s="1071"/>
      <c r="I33" s="1071"/>
      <c r="J33" s="1071"/>
      <c r="K33" s="1071"/>
      <c r="L33" s="1071"/>
    </row>
    <row r="34" spans="1:12" ht="13.4" customHeight="1" x14ac:dyDescent="0.25">
      <c r="A34" s="301">
        <v>8</v>
      </c>
      <c r="B34" s="1072" t="str">
        <f>Translations!$B1304</f>
        <v>Information about the UK ETS can be obtained from the following address:</v>
      </c>
      <c r="C34" s="1065"/>
      <c r="D34" s="1065"/>
      <c r="E34" s="1065"/>
      <c r="F34" s="1065"/>
      <c r="G34" s="1065"/>
      <c r="H34" s="1065"/>
      <c r="I34" s="1065"/>
      <c r="J34" s="1065"/>
      <c r="K34" s="1065"/>
      <c r="L34" s="1065"/>
    </row>
    <row r="35" spans="1:12" ht="13.4" customHeight="1" x14ac:dyDescent="0.25">
      <c r="A35" s="301"/>
      <c r="B35" s="1070" t="str">
        <f>HYPERLINK(Translations!$B1305,Translations!$B1305)</f>
        <v>https://www.gov.uk/guidance/complying-with-the-uk-ets-as-an-aircraft-operator</v>
      </c>
      <c r="C35" s="1071"/>
      <c r="D35" s="1071"/>
      <c r="E35" s="1071"/>
      <c r="F35" s="1071"/>
      <c r="G35" s="1071"/>
      <c r="H35" s="1071"/>
      <c r="I35" s="1071"/>
      <c r="J35" s="1071"/>
      <c r="K35" s="1071"/>
      <c r="L35" s="1071"/>
    </row>
    <row r="36" spans="1:12" ht="13.4" customHeight="1" x14ac:dyDescent="0.25">
      <c r="A36" s="301"/>
      <c r="B36" s="1067"/>
      <c r="C36" s="1034"/>
      <c r="D36" s="1034"/>
      <c r="E36" s="1034"/>
      <c r="F36" s="1034"/>
      <c r="G36" s="1034"/>
      <c r="H36" s="1034"/>
      <c r="I36" s="1034"/>
      <c r="J36" s="1034"/>
      <c r="K36" s="1034"/>
      <c r="L36" s="1034"/>
    </row>
    <row r="37" spans="1:12" ht="13.4" customHeight="1" x14ac:dyDescent="0.25">
      <c r="A37" s="301" t="s">
        <v>19</v>
      </c>
      <c r="B37" s="1068" t="str">
        <f>Translations!$B$1062</f>
        <v>Information on CORSIA</v>
      </c>
      <c r="C37" s="1069"/>
      <c r="D37" s="1069"/>
      <c r="E37" s="1069"/>
      <c r="F37" s="1069"/>
      <c r="G37" s="1069"/>
      <c r="H37" s="1069"/>
      <c r="I37" s="1069"/>
      <c r="J37" s="1069"/>
      <c r="K37" s="1069"/>
      <c r="L37" s="1069"/>
    </row>
    <row r="38" spans="1:12" ht="39.65" customHeight="1" x14ac:dyDescent="0.25">
      <c r="A38" s="301">
        <v>1</v>
      </c>
      <c r="B38" s="1067" t="str">
        <f>Translations!$B$1418</f>
        <v>As has been mentioned above under point (I), CORSIA is implemented in the EU through the EU ETS Directive, the implementing act pursuant to Article 28c of the Directive, and the MRR. Furthermore, rules of the Accreditation and Verification Regulation (Commission Implementing Regulation (EU) 2018/2067, hereinafter the "AVR") apply.</v>
      </c>
      <c r="C38" s="1065"/>
      <c r="D38" s="1065"/>
      <c r="E38" s="1065"/>
      <c r="F38" s="1065"/>
      <c r="G38" s="1065"/>
      <c r="H38" s="1065"/>
      <c r="I38" s="1065"/>
      <c r="J38" s="1065"/>
      <c r="K38" s="1065"/>
      <c r="L38" s="1065"/>
    </row>
    <row r="39" spans="1:12" ht="13.4" customHeight="1" x14ac:dyDescent="0.25">
      <c r="A39" s="301">
        <v>2</v>
      </c>
      <c r="B39" s="1067" t="str">
        <f>Translations!$B$1419</f>
        <v>For distinguishing the compliance mechanisms of the EU ETS and CORSIA, this template uses the following terminology:</v>
      </c>
      <c r="C39" s="1065"/>
      <c r="D39" s="1065"/>
      <c r="E39" s="1065"/>
      <c r="F39" s="1065"/>
      <c r="G39" s="1065"/>
      <c r="H39" s="1065"/>
      <c r="I39" s="1065"/>
      <c r="J39" s="1065"/>
      <c r="K39" s="1065"/>
      <c r="L39" s="1065"/>
    </row>
    <row r="40" spans="1:12" ht="26.5" customHeight="1" x14ac:dyDescent="0.25">
      <c r="A40" s="301"/>
      <c r="B40" s="713" t="s">
        <v>1923</v>
      </c>
      <c r="C40" s="1065" t="str">
        <f>Translations!$B$1420</f>
        <v>emissions or flights "falling under the EU ETS" means emissions or flights for which allowances have to be surrendered pursuant to Article 12(3) of the EU ETS Directive;</v>
      </c>
      <c r="D40" s="1034"/>
      <c r="E40" s="1034"/>
      <c r="F40" s="1034"/>
      <c r="G40" s="1034"/>
      <c r="H40" s="1034"/>
      <c r="I40" s="1034"/>
      <c r="J40" s="1034"/>
      <c r="K40" s="1034"/>
      <c r="L40" s="1034"/>
    </row>
    <row r="41" spans="1:12" ht="13.4" customHeight="1" x14ac:dyDescent="0.25">
      <c r="A41" s="301"/>
      <c r="B41" s="713" t="s">
        <v>1923</v>
      </c>
      <c r="C41" s="1065" t="str">
        <f>Translations!$B$1421</f>
        <v>emissions or flights "falling under CORSIA" means one of the following:</v>
      </c>
      <c r="D41" s="1034"/>
      <c r="E41" s="1034"/>
      <c r="F41" s="1034"/>
      <c r="G41" s="1034"/>
      <c r="H41" s="1034"/>
      <c r="I41" s="1034"/>
      <c r="J41" s="1034"/>
      <c r="K41" s="1034"/>
      <c r="L41" s="1034"/>
    </row>
    <row r="42" spans="1:12" ht="26.5" customHeight="1" x14ac:dyDescent="0.25">
      <c r="A42" s="301"/>
      <c r="B42" s="713"/>
      <c r="C42" s="713" t="s">
        <v>1895</v>
      </c>
      <c r="D42" s="1065" t="str">
        <f>Translations!$B$1422</f>
        <v>emissions or flights with offsetting requirement, i.e. for which the aircraft operator shall cancel units pursuant to Article 12(9) of the EU ETS Directive;</v>
      </c>
      <c r="E42" s="1034"/>
      <c r="F42" s="1034"/>
      <c r="G42" s="1034"/>
      <c r="H42" s="1034"/>
      <c r="I42" s="1034"/>
      <c r="J42" s="1034"/>
      <c r="K42" s="1034"/>
      <c r="L42" s="1034"/>
    </row>
    <row r="43" spans="1:12" ht="26.5" customHeight="1" x14ac:dyDescent="0.25">
      <c r="A43" s="301"/>
      <c r="B43" s="713"/>
      <c r="C43" s="713" t="s">
        <v>1895</v>
      </c>
      <c r="D43" s="1065" t="str">
        <f>Translations!$B$1423</f>
        <v>flights with CORSIA MRV obligation: Emissions or flights for which the aircraft operator shall monitor and report emissions in accordance with the CORSIA Delegated Act.</v>
      </c>
      <c r="E43" s="1034"/>
      <c r="F43" s="1034"/>
      <c r="G43" s="1034"/>
      <c r="H43" s="1034"/>
      <c r="I43" s="1034"/>
      <c r="J43" s="1034"/>
      <c r="K43" s="1034"/>
      <c r="L43" s="1034"/>
    </row>
    <row r="44" spans="1:12" ht="13.4" customHeight="1" x14ac:dyDescent="0.25">
      <c r="A44" s="301"/>
      <c r="B44" s="1062" t="str">
        <f>Translations!$B$1332</f>
        <v>However, general information on CORSIA are available on ICAO's website:</v>
      </c>
      <c r="C44" s="1062"/>
      <c r="D44" s="1062"/>
      <c r="E44" s="1062"/>
      <c r="F44" s="1062"/>
      <c r="G44" s="1062"/>
      <c r="H44" s="1062"/>
      <c r="I44" s="1062"/>
      <c r="J44" s="1062"/>
      <c r="K44" s="1062"/>
      <c r="L44" s="1062"/>
    </row>
    <row r="45" spans="1:12" ht="13.4" customHeight="1" x14ac:dyDescent="0.25">
      <c r="A45" s="301"/>
      <c r="B45" s="1073" t="str">
        <f>Translations!$B$1066</f>
        <v>https://www.icao.int/environmental-protection/CORSIA/Pages/default.aspx</v>
      </c>
      <c r="C45" s="1073"/>
      <c r="D45" s="1073"/>
      <c r="E45" s="1073"/>
      <c r="F45" s="1073"/>
      <c r="G45" s="1073"/>
      <c r="H45" s="1073"/>
      <c r="I45" s="1073"/>
      <c r="J45" s="1073"/>
      <c r="K45" s="1073"/>
      <c r="L45" s="1073"/>
    </row>
    <row r="46" spans="1:12" ht="13.4" customHeight="1" x14ac:dyDescent="0.25">
      <c r="A46" s="301"/>
      <c r="B46" s="300"/>
      <c r="C46" s="299"/>
      <c r="D46" s="299"/>
      <c r="E46" s="299"/>
      <c r="F46" s="299"/>
      <c r="G46" s="299"/>
      <c r="H46" s="299"/>
      <c r="I46" s="299"/>
      <c r="J46" s="299"/>
      <c r="K46" s="299"/>
      <c r="L46" s="299"/>
    </row>
    <row r="47" spans="1:12" ht="13.4" customHeight="1" x14ac:dyDescent="0.25">
      <c r="A47" s="301" t="s">
        <v>20</v>
      </c>
      <c r="B47" s="1068" t="str">
        <f>Translations!$B$1068</f>
        <v>Scope and relevance</v>
      </c>
      <c r="C47" s="1069"/>
      <c r="D47" s="1069"/>
      <c r="E47" s="1069"/>
      <c r="F47" s="1069"/>
      <c r="G47" s="1069"/>
      <c r="H47" s="1069"/>
      <c r="I47" s="1069"/>
      <c r="J47" s="1069"/>
      <c r="K47" s="1069"/>
      <c r="L47" s="1069"/>
    </row>
    <row r="48" spans="1:12" ht="13.4" customHeight="1" x14ac:dyDescent="0.25">
      <c r="A48" s="301">
        <v>1</v>
      </c>
      <c r="B48" s="1067" t="str">
        <f>Translations!$B$1333</f>
        <v>This template is the only template that should be used by aircraft operators for reporting their annual emissions, in line with the MRR and the AVR.</v>
      </c>
      <c r="C48" s="1034"/>
      <c r="D48" s="1034"/>
      <c r="E48" s="1034"/>
      <c r="F48" s="1034"/>
      <c r="G48" s="1034"/>
      <c r="H48" s="1034"/>
      <c r="I48" s="1034"/>
      <c r="J48" s="1034"/>
      <c r="K48" s="1034"/>
      <c r="L48" s="1034"/>
    </row>
    <row r="49" spans="1:12" ht="13.4" customHeight="1" x14ac:dyDescent="0.25">
      <c r="A49" s="301"/>
      <c r="B49" s="1067" t="str">
        <f>Translations!$B$1424</f>
        <v>It is also to be used for application for free allowances pursuant to Article 3c(6) of the EU ETS Directive.</v>
      </c>
      <c r="C49" s="1034"/>
      <c r="D49" s="1034"/>
      <c r="E49" s="1034"/>
      <c r="F49" s="1034"/>
      <c r="G49" s="1034"/>
      <c r="H49" s="1034"/>
      <c r="I49" s="1034"/>
      <c r="J49" s="1034"/>
      <c r="K49" s="1034"/>
      <c r="L49" s="1034"/>
    </row>
    <row r="50" spans="1:12" ht="53.15" customHeight="1" x14ac:dyDescent="0.25">
      <c r="A50" s="301" t="s">
        <v>21</v>
      </c>
      <c r="B50" s="1067" t="str">
        <f>Translations!$B$1425</f>
        <v>There are three possible situations in which you are required to use this template: (1) if you have to comply with the EU ETS and/or CH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50" s="1034"/>
      <c r="D50" s="1034"/>
      <c r="E50" s="1034"/>
      <c r="F50" s="1034"/>
      <c r="G50" s="1034"/>
      <c r="H50" s="1034"/>
      <c r="I50" s="1034"/>
      <c r="J50" s="1034"/>
      <c r="K50" s="1034"/>
      <c r="L50" s="1034"/>
    </row>
    <row r="51" spans="1:12" ht="39.65" customHeight="1" x14ac:dyDescent="0.25">
      <c r="A51" s="301">
        <v>2</v>
      </c>
      <c r="B51" s="1067" t="str">
        <f>Translations!$B$1334</f>
        <v>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v>
      </c>
      <c r="C51" s="1034"/>
      <c r="D51" s="1034"/>
      <c r="E51" s="1034"/>
      <c r="F51" s="1034"/>
      <c r="G51" s="1034"/>
      <c r="H51" s="1034"/>
      <c r="I51" s="1034"/>
      <c r="J51" s="1034"/>
      <c r="K51" s="1034"/>
      <c r="L51" s="1034"/>
    </row>
    <row r="52" spans="1:12" ht="26.5" customHeight="1" x14ac:dyDescent="0.25">
      <c r="A52" s="301"/>
      <c r="B52" s="303" t="s">
        <v>22</v>
      </c>
      <c r="C52" s="1067" t="str">
        <f>Translations!$B$1335</f>
        <v>Commercial air transport operators, operating either fewer than 243 flights per period for three consecutive four-month periods, or operating flights with total annual emissions lower than 10 000 tonnes per year under the "extended full scope".</v>
      </c>
      <c r="D52" s="1067"/>
      <c r="E52" s="1067"/>
      <c r="F52" s="1067"/>
      <c r="G52" s="1067"/>
      <c r="H52" s="1067"/>
      <c r="I52" s="1067"/>
      <c r="J52" s="1067"/>
      <c r="K52" s="1067"/>
      <c r="L52" s="1067"/>
    </row>
    <row r="53" spans="1:12" ht="13.4" customHeight="1" x14ac:dyDescent="0.25">
      <c r="A53" s="301"/>
      <c r="B53" s="303" t="s">
        <v>22</v>
      </c>
      <c r="C53" s="1067" t="str">
        <f>Translations!$B$1336</f>
        <v>Non-commercial air transport operators which emit less than 1 000 t CO2 per year under the "extended full scope" of the EU ETS.</v>
      </c>
      <c r="D53" s="1034"/>
      <c r="E53" s="1034"/>
      <c r="F53" s="1034"/>
      <c r="G53" s="1034"/>
      <c r="H53" s="1034"/>
      <c r="I53" s="1034"/>
      <c r="J53" s="1034"/>
      <c r="K53" s="1034"/>
      <c r="L53" s="1034"/>
    </row>
    <row r="54" spans="1:12" ht="26.5" customHeight="1" x14ac:dyDescent="0.25">
      <c r="A54" s="301"/>
      <c r="B54" s="1067" t="str">
        <f>Translations!$B$1315</f>
        <v>Note that for the purposes of the EU ETS, the threshold applies to the sum of all flights within EEA, outgoing from EEA and incoming to EEA, including those incoming from Switzerland and the UK.</v>
      </c>
      <c r="C54" s="1067"/>
      <c r="D54" s="1067"/>
      <c r="E54" s="1067"/>
      <c r="F54" s="1067"/>
      <c r="G54" s="1067"/>
      <c r="H54" s="1067"/>
      <c r="I54" s="1067"/>
      <c r="J54" s="1067"/>
      <c r="K54" s="1067"/>
      <c r="L54" s="1067"/>
    </row>
    <row r="55" spans="1:12" ht="26.5" customHeight="1" x14ac:dyDescent="0.25">
      <c r="A55" s="301"/>
      <c r="B55" s="1067" t="str">
        <f>Translations!$B$1426</f>
        <v>For checking the compliance with the relevant thresholds, emissions have to be calculated using the preliminary emission factor, i.e. without any zero-rating of fuels.</v>
      </c>
      <c r="C55" s="1067"/>
      <c r="D55" s="1067"/>
      <c r="E55" s="1067"/>
      <c r="F55" s="1067"/>
      <c r="G55" s="1067"/>
      <c r="H55" s="1067"/>
      <c r="I55" s="1067"/>
      <c r="J55" s="1067"/>
      <c r="K55" s="1067"/>
      <c r="L55" s="1067"/>
    </row>
    <row r="56" spans="1:12" ht="12.75" customHeight="1" x14ac:dyDescent="0.25">
      <c r="A56" s="301" t="s">
        <v>23</v>
      </c>
      <c r="B56" s="1068" t="str">
        <f>Translations!$B$1339</f>
        <v xml:space="preserve">Scope changes from 2024: </v>
      </c>
      <c r="C56" s="1069"/>
      <c r="D56" s="1069"/>
      <c r="E56" s="1069"/>
      <c r="F56" s="1069"/>
      <c r="G56" s="1069"/>
      <c r="H56" s="1069"/>
      <c r="I56" s="1069"/>
      <c r="J56" s="1069"/>
      <c r="K56" s="1069"/>
      <c r="L56" s="1069"/>
    </row>
    <row r="57" spans="1:12" ht="26.5" customHeight="1" x14ac:dyDescent="0.25">
      <c r="A57" s="301"/>
      <c r="B57" s="303" t="s">
        <v>22</v>
      </c>
      <c r="C57" s="1067" t="str">
        <f>Translations!$B$1427</f>
        <v>All flights between an aerodrome located in an outermost region and an aerodrome located in another MS of the EEA, and flights departing from an aerodrome located in an outermost region and arriving in Switzerland or the United Kingdom will be included from 2024.</v>
      </c>
      <c r="D57" s="1065"/>
      <c r="E57" s="1065"/>
      <c r="F57" s="1065"/>
      <c r="G57" s="1065"/>
      <c r="H57" s="1065"/>
      <c r="I57" s="1065"/>
      <c r="J57" s="1065"/>
      <c r="K57" s="1065"/>
      <c r="L57" s="1065"/>
    </row>
    <row r="58" spans="1:12" ht="52" customHeight="1" x14ac:dyDescent="0.25">
      <c r="A58" s="301"/>
      <c r="B58" s="303" t="s">
        <v>22</v>
      </c>
      <c r="C58" s="1067" t="str">
        <f>Translations!$B$1343</f>
        <v>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v>
      </c>
      <c r="D58" s="1065"/>
      <c r="E58" s="1065"/>
      <c r="F58" s="1065"/>
      <c r="G58" s="1065"/>
      <c r="H58" s="1065"/>
      <c r="I58" s="1065"/>
      <c r="J58" s="1065"/>
      <c r="K58" s="1065"/>
      <c r="L58" s="1065"/>
    </row>
    <row r="59" spans="1:12" ht="26.5" customHeight="1" x14ac:dyDescent="0.25">
      <c r="A59" s="301">
        <v>3</v>
      </c>
      <c r="B59" s="1067" t="str">
        <f>Translations!$B$1073</f>
        <v>Note that under the EU ETS some simplified monitoring, reporting and verification requirements apply for small emitters. This template guides you whether you are allowed to use the simplified approaches (see section (6) of this template).</v>
      </c>
      <c r="C59" s="1034"/>
      <c r="D59" s="1034"/>
      <c r="E59" s="1034"/>
      <c r="F59" s="1034"/>
      <c r="G59" s="1034"/>
      <c r="H59" s="1034"/>
      <c r="I59" s="1034"/>
      <c r="J59" s="1034"/>
      <c r="K59" s="1034"/>
      <c r="L59" s="1034"/>
    </row>
    <row r="60" spans="1:12" ht="26.5" customHeight="1" x14ac:dyDescent="0.25">
      <c r="A60" s="301"/>
      <c r="B60" s="1067" t="str">
        <f>Translations!$B$1074</f>
        <v>For further information, in particular regarding "full" and "reduced" scope and simplified approaches, please see MRR guidance document No.2 "General guidance for Aircraft Operators", which can be downloaded under:</v>
      </c>
      <c r="C60" s="1067"/>
      <c r="D60" s="1067"/>
      <c r="E60" s="1067"/>
      <c r="F60" s="1067"/>
      <c r="G60" s="1067"/>
      <c r="H60" s="1067"/>
      <c r="I60" s="1067"/>
      <c r="J60" s="1067"/>
      <c r="K60" s="1067"/>
      <c r="L60" s="1067"/>
    </row>
    <row r="61" spans="1:12" ht="13.4" customHeight="1" x14ac:dyDescent="0.25">
      <c r="A61" s="301"/>
      <c r="B61" s="1070" t="str">
        <f>HYPERLINK(Translations!$B$1325,Translations!$B$1325)</f>
        <v>https://climate.ec.europa.eu/system/files/2023-05/gd2_guidance_aircraft_en.pdf</v>
      </c>
      <c r="C61" s="1071"/>
      <c r="D61" s="1071"/>
      <c r="E61" s="1071"/>
      <c r="F61" s="1071"/>
      <c r="G61" s="1071"/>
      <c r="H61" s="1071"/>
      <c r="I61" s="1071"/>
      <c r="J61" s="1071"/>
      <c r="K61" s="1071"/>
      <c r="L61" s="1071"/>
    </row>
    <row r="62" spans="1:12" ht="66.25" customHeight="1" x14ac:dyDescent="0.25">
      <c r="A62" s="301">
        <v>4</v>
      </c>
      <c r="B62" s="1067" t="str">
        <f>Translations!$B$1428</f>
        <v>Aircraft operators have obligations of "CORSIA reporting" to a Member State if they fall within the scope of sub-paragraphs 3 and 4 of Article 12(6) of the EU ETS Directive,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v>
      </c>
      <c r="C62" s="1067"/>
      <c r="D62" s="1067"/>
      <c r="E62" s="1067"/>
      <c r="F62" s="1067"/>
      <c r="G62" s="1067"/>
      <c r="H62" s="1067"/>
      <c r="I62" s="1067"/>
      <c r="J62" s="1067"/>
      <c r="K62" s="1067"/>
      <c r="L62" s="1067"/>
    </row>
    <row r="63" spans="1:12" ht="13.4" customHeight="1" x14ac:dyDescent="0.25">
      <c r="B63" s="299"/>
      <c r="C63" s="299"/>
      <c r="D63" s="299"/>
      <c r="E63" s="299"/>
      <c r="F63" s="299"/>
      <c r="G63" s="299"/>
      <c r="H63" s="299"/>
      <c r="I63" s="299"/>
      <c r="J63" s="299"/>
      <c r="K63" s="299"/>
      <c r="L63" s="299"/>
    </row>
    <row r="64" spans="1:12" x14ac:dyDescent="0.25">
      <c r="A64" s="301" t="s">
        <v>24</v>
      </c>
      <c r="B64" s="1068" t="str">
        <f>Translations!$B$1077</f>
        <v>Guidance on this template</v>
      </c>
      <c r="C64" s="1069"/>
      <c r="D64" s="1069"/>
      <c r="E64" s="1069"/>
      <c r="F64" s="1069"/>
      <c r="G64" s="1069"/>
      <c r="H64" s="1069"/>
      <c r="I64" s="1069"/>
      <c r="J64" s="1069"/>
      <c r="K64" s="1069"/>
      <c r="L64" s="1069"/>
    </row>
    <row r="65" spans="1:13" s="6" customFormat="1" ht="13.4" customHeight="1" x14ac:dyDescent="0.25">
      <c r="A65" s="301">
        <v>1</v>
      </c>
      <c r="B65" s="1076" t="str">
        <f>Translations!$B$1307</f>
        <v>Article 68(3) of the MRR requires:</v>
      </c>
      <c r="C65" s="1076"/>
      <c r="D65" s="1076"/>
      <c r="E65" s="1076"/>
      <c r="F65" s="1076"/>
      <c r="G65" s="1076"/>
      <c r="H65" s="1076"/>
      <c r="I65" s="1076"/>
      <c r="J65" s="1076"/>
      <c r="K65" s="1076"/>
      <c r="L65" s="1076"/>
    </row>
    <row r="66" spans="1:13" s="6" customFormat="1" ht="13.4" customHeight="1" x14ac:dyDescent="0.25">
      <c r="A66" s="301"/>
      <c r="B66" s="1103" t="str">
        <f>Translations!$B$1429</f>
        <v>The annual emission reports shall at least contain the information listed in Annex X.</v>
      </c>
      <c r="C66" s="1103"/>
      <c r="D66" s="1103"/>
      <c r="E66" s="1103"/>
      <c r="F66" s="1103"/>
      <c r="G66" s="1103"/>
      <c r="H66" s="1103"/>
      <c r="I66" s="1103"/>
      <c r="J66" s="1103"/>
      <c r="K66" s="1103"/>
      <c r="L66" s="1103"/>
    </row>
    <row r="67" spans="1:13" s="6" customFormat="1" ht="13.4" customHeight="1" x14ac:dyDescent="0.25">
      <c r="A67" s="301"/>
      <c r="B67" s="1076" t="str">
        <f>Translations!$B$858</f>
        <v>Annex X sets out the minimum content of Annual Emissions Reports.</v>
      </c>
      <c r="C67" s="1076"/>
      <c r="D67" s="1076"/>
      <c r="E67" s="1076"/>
      <c r="F67" s="1076"/>
      <c r="G67" s="1076"/>
      <c r="H67" s="1076"/>
      <c r="I67" s="1076"/>
      <c r="J67" s="1076"/>
      <c r="K67" s="1076"/>
      <c r="L67" s="1076"/>
    </row>
    <row r="68" spans="1:13" s="6" customFormat="1" ht="13.4" customHeight="1" x14ac:dyDescent="0.25">
      <c r="A68" s="301"/>
      <c r="B68" s="1076" t="str">
        <f>Translations!$B$41</f>
        <v>Furthermore, Article 74(1) states:</v>
      </c>
      <c r="C68" s="1076"/>
      <c r="D68" s="1076"/>
      <c r="E68" s="1076"/>
      <c r="F68" s="1076"/>
      <c r="G68" s="1076"/>
      <c r="H68" s="1076"/>
      <c r="I68" s="1076"/>
      <c r="J68" s="1076"/>
      <c r="K68" s="1076"/>
      <c r="L68" s="1076"/>
    </row>
    <row r="69" spans="1:13" s="6" customFormat="1" ht="64.400000000000006" customHeight="1" x14ac:dyDescent="0.25">
      <c r="A69" s="301"/>
      <c r="B69" s="1103" t="str">
        <f>Translations!$B$1346</f>
        <v>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v>
      </c>
      <c r="C69" s="1103"/>
      <c r="D69" s="1103"/>
      <c r="E69" s="1103"/>
      <c r="F69" s="1103"/>
      <c r="G69" s="1103"/>
      <c r="H69" s="1103"/>
      <c r="I69" s="1103"/>
      <c r="J69" s="1103"/>
      <c r="K69" s="1103"/>
      <c r="L69" s="1103"/>
    </row>
    <row r="70" spans="1:13" s="6" customFormat="1" ht="39.65" customHeight="1" x14ac:dyDescent="0.25">
      <c r="A70" s="301">
        <v>2</v>
      </c>
      <c r="B70" s="1076"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70" s="1076"/>
      <c r="D70" s="1076"/>
      <c r="E70" s="1076"/>
      <c r="F70" s="1076"/>
      <c r="G70" s="1076"/>
      <c r="H70" s="1076"/>
      <c r="I70" s="1076"/>
      <c r="J70" s="1076"/>
      <c r="K70" s="1076"/>
      <c r="L70" s="1076"/>
    </row>
    <row r="71" spans="1:13" s="6" customFormat="1" ht="26.5" customHeight="1" x14ac:dyDescent="0.25">
      <c r="A71" s="301"/>
      <c r="B71" s="1067" t="str">
        <f>Translations!$B$1430</f>
        <v xml:space="preserve">According to the delegated act pursuant to Article 3c(6) of the EU ETS Directive, this template is also to be used for application for the EU ETS support under that Article. </v>
      </c>
      <c r="C71" s="1034"/>
      <c r="D71" s="1034"/>
      <c r="E71" s="1034"/>
      <c r="F71" s="1034"/>
      <c r="G71" s="1034"/>
      <c r="H71" s="1034"/>
      <c r="I71" s="1034"/>
      <c r="J71" s="1034"/>
      <c r="K71" s="1034"/>
      <c r="L71" s="1034"/>
      <c r="M71"/>
    </row>
    <row r="72" spans="1:13" s="6" customFormat="1" ht="13.4" customHeight="1" x14ac:dyDescent="0.25">
      <c r="A72" s="301">
        <v>3</v>
      </c>
      <c r="B72" s="1067" t="str">
        <f>Translations!$B$1078</f>
        <v>According to the delegated act pursuant to Article 28c of the EU ETS Directive, this template is also to be used for CORSIA reporting.</v>
      </c>
      <c r="C72" s="1065"/>
      <c r="D72" s="1065"/>
      <c r="E72" s="1065"/>
      <c r="F72" s="1065"/>
      <c r="G72" s="1065"/>
      <c r="H72" s="1065"/>
      <c r="I72" s="1065"/>
      <c r="J72" s="1065"/>
      <c r="K72" s="1065"/>
      <c r="L72" s="1065"/>
    </row>
    <row r="73" spans="1:13" s="6" customFormat="1" ht="13.4" customHeight="1" x14ac:dyDescent="0.25">
      <c r="A73" s="301">
        <v>4</v>
      </c>
      <c r="B73" s="1076" t="str">
        <f>Translations!$B$860</f>
        <v xml:space="preserve">This reporting template represents the views of the Commission services at the time of publication. </v>
      </c>
      <c r="C73" s="1076"/>
      <c r="D73" s="1076"/>
      <c r="E73" s="1076"/>
      <c r="F73" s="1076"/>
      <c r="G73" s="1076"/>
      <c r="H73" s="1076"/>
      <c r="I73" s="1076"/>
      <c r="J73" s="1076"/>
      <c r="K73" s="1076"/>
      <c r="L73" s="1076"/>
    </row>
    <row r="74" spans="1:13" s="6" customFormat="1" ht="63.75" hidden="1" customHeight="1" x14ac:dyDescent="0.25">
      <c r="A74" s="7"/>
      <c r="B74" s="1104" t="str">
        <f>Translations!$B$1431</f>
        <v>This is the final version, dated 23 January 2025, providing an update of the final version of the annual emission report template endorsed by the Climate Change Committee in January 2020.</v>
      </c>
      <c r="C74" s="1105"/>
      <c r="D74" s="1105"/>
      <c r="E74" s="1105"/>
      <c r="F74" s="1105"/>
      <c r="G74" s="1105"/>
      <c r="H74" s="1105"/>
      <c r="I74" s="1105"/>
      <c r="J74" s="1105"/>
      <c r="K74" s="1105"/>
      <c r="L74" s="1106"/>
    </row>
    <row r="75" spans="1:13" s="6" customFormat="1" ht="12.75" customHeight="1" x14ac:dyDescent="0.25">
      <c r="A75" s="7"/>
      <c r="B75" s="1086"/>
      <c r="C75" s="1087"/>
      <c r="D75" s="1087"/>
      <c r="E75" s="1087"/>
      <c r="F75" s="1087"/>
      <c r="G75" s="1087"/>
      <c r="H75" s="1087"/>
      <c r="I75" s="1087"/>
      <c r="J75" s="1087"/>
      <c r="K75" s="1087"/>
      <c r="L75" s="1087"/>
    </row>
    <row r="76" spans="1:13" s="6" customFormat="1" ht="12.75" customHeight="1" x14ac:dyDescent="0.25">
      <c r="A76" s="7">
        <v>5</v>
      </c>
      <c r="B76" s="1076" t="str">
        <f>Translations!$B$44</f>
        <v>All Commission guidance documents on the Monitoring and Reporting Regulation can be found at:</v>
      </c>
      <c r="C76" s="1076"/>
      <c r="D76" s="1076"/>
      <c r="E76" s="1076"/>
      <c r="F76" s="1076"/>
      <c r="G76" s="1076"/>
      <c r="H76" s="1076"/>
      <c r="I76" s="1076"/>
      <c r="J76" s="1076"/>
      <c r="K76" s="1076"/>
      <c r="L76" s="1076"/>
    </row>
    <row r="77" spans="1:13" s="6" customFormat="1" ht="12.75" customHeight="1" x14ac:dyDescent="0.25">
      <c r="A77" s="7"/>
      <c r="B77" s="1070" t="str">
        <f>HYPERLINK(Translations!$B$1309,Translations!$B$1309)</f>
        <v>https://ec.europa.eu/clima/eu-action/eu-emissions-trading-system-eu-ets/monitoring-reporting-and-verification-eu-ets-emissions_en</v>
      </c>
      <c r="C77" s="1071"/>
      <c r="D77" s="1071"/>
      <c r="E77" s="1071"/>
      <c r="F77" s="1071"/>
      <c r="G77" s="1071"/>
      <c r="H77" s="1071"/>
      <c r="I77" s="1071"/>
      <c r="J77" s="1071"/>
      <c r="K77" s="1071"/>
      <c r="L77" s="1071"/>
    </row>
    <row r="78" spans="1:13" s="6" customFormat="1" x14ac:dyDescent="0.25">
      <c r="A78" s="7"/>
      <c r="B78" s="304"/>
      <c r="C78" s="304"/>
      <c r="D78" s="304"/>
      <c r="E78" s="304"/>
      <c r="F78" s="304"/>
      <c r="G78" s="304"/>
      <c r="H78" s="304"/>
      <c r="I78" s="304"/>
      <c r="J78" s="304"/>
      <c r="K78" s="304"/>
      <c r="L78" s="304"/>
    </row>
    <row r="79" spans="1:13" ht="39.65" customHeight="1" x14ac:dyDescent="0.25">
      <c r="A79" s="7">
        <v>6</v>
      </c>
      <c r="B79" s="1065" t="str">
        <f>Translations!$B$1348</f>
        <v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v>
      </c>
      <c r="C79" s="1034"/>
      <c r="D79" s="1034"/>
      <c r="E79" s="1034"/>
      <c r="F79" s="1034"/>
      <c r="G79" s="1034"/>
      <c r="H79" s="1034"/>
      <c r="I79" s="1034"/>
      <c r="J79" s="1034"/>
      <c r="K79" s="1034"/>
      <c r="L79" s="1034"/>
      <c r="M79" s="6"/>
    </row>
    <row r="80" spans="1:13" ht="26.5" customHeight="1" x14ac:dyDescent="0.25">
      <c r="A80" s="7"/>
      <c r="B80" s="1069" t="str">
        <f>Translations!$B$1310</f>
        <v>Accordingly, all references to Member States in this template should be interpreted as including all 30 EEA States. The EEA comprises the 27 EU Member States, Iceland, Liechtenstein and Norway.</v>
      </c>
      <c r="C80" s="1069"/>
      <c r="D80" s="1069"/>
      <c r="E80" s="1069"/>
      <c r="F80" s="1069"/>
      <c r="G80" s="1069"/>
      <c r="H80" s="1069"/>
      <c r="I80" s="1069"/>
      <c r="J80" s="1069"/>
      <c r="K80" s="1069"/>
      <c r="L80" s="1069"/>
    </row>
    <row r="81" spans="1:13" s="6" customFormat="1" x14ac:dyDescent="0.25">
      <c r="A81" s="7"/>
      <c r="B81" s="304"/>
      <c r="C81" s="304"/>
      <c r="D81" s="304"/>
      <c r="E81" s="304"/>
      <c r="F81" s="304"/>
      <c r="G81" s="304"/>
      <c r="H81" s="304"/>
      <c r="I81" s="304"/>
      <c r="J81" s="304"/>
      <c r="K81" s="304"/>
      <c r="L81" s="304"/>
    </row>
    <row r="82" spans="1:13" s="11" customFormat="1" ht="15.5" x14ac:dyDescent="0.35">
      <c r="A82" s="7">
        <v>7</v>
      </c>
      <c r="B82" s="1102" t="str">
        <f>Translations!$B$48</f>
        <v>Before you use this file, please carry out the following steps:</v>
      </c>
      <c r="C82" s="1102"/>
      <c r="D82" s="1102"/>
      <c r="E82" s="1102"/>
      <c r="F82" s="1102"/>
      <c r="G82" s="1102"/>
      <c r="H82" s="1102"/>
      <c r="I82" s="1102"/>
      <c r="J82" s="1102"/>
      <c r="K82" s="1102"/>
      <c r="L82" s="1102"/>
    </row>
    <row r="83" spans="1:13" ht="51" customHeight="1" x14ac:dyDescent="0.25">
      <c r="A83" s="7"/>
      <c r="B83" s="305" t="s">
        <v>25</v>
      </c>
      <c r="C83" s="1068"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83" s="1067"/>
      <c r="E83" s="1067"/>
      <c r="F83" s="1067"/>
      <c r="G83" s="1067"/>
      <c r="H83" s="1067"/>
      <c r="I83" s="1067"/>
      <c r="J83" s="1067"/>
      <c r="K83" s="1067"/>
      <c r="L83" s="1067"/>
    </row>
    <row r="84" spans="1:13" ht="30" customHeight="1" x14ac:dyDescent="0.25">
      <c r="A84" s="301"/>
      <c r="B84" s="309"/>
      <c r="C84" s="1069" t="str">
        <f>Translations!$B$1083</f>
        <v>If you are not on this list, you may still be subject to EU ETS or CORSIA reporting to a Member State based on the criteria referred to under point III(4) above.</v>
      </c>
      <c r="D84" s="1034"/>
      <c r="E84" s="1034"/>
      <c r="F84" s="1034"/>
      <c r="G84" s="1034"/>
      <c r="H84" s="1034"/>
      <c r="I84" s="1034"/>
      <c r="J84" s="1034"/>
      <c r="K84" s="1034"/>
      <c r="L84" s="1034"/>
      <c r="M84" s="10"/>
    </row>
    <row r="85" spans="1:13" ht="53.15" customHeight="1" x14ac:dyDescent="0.25">
      <c r="A85" s="301"/>
      <c r="B85" s="309"/>
      <c r="C85" s="1069"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85" s="1034"/>
      <c r="E85" s="1034"/>
      <c r="F85" s="1034"/>
      <c r="G85" s="1034"/>
      <c r="H85" s="1034"/>
      <c r="I85" s="1034"/>
      <c r="J85" s="1034"/>
      <c r="K85" s="1034"/>
      <c r="L85" s="1034"/>
      <c r="M85" s="10"/>
    </row>
    <row r="86" spans="1:13" ht="29.25" customHeight="1" x14ac:dyDescent="0.25">
      <c r="A86" s="7"/>
      <c r="B86" s="305" t="s">
        <v>26</v>
      </c>
      <c r="C86" s="1067" t="str">
        <f>Translations!$B$50</f>
        <v xml:space="preserve">Identify the Competent Authority (CA) responsible for your case in that administering Member State (there may be more than one CA per Member State). </v>
      </c>
      <c r="D86" s="1067"/>
      <c r="E86" s="1067"/>
      <c r="F86" s="1067"/>
      <c r="G86" s="1067"/>
      <c r="H86" s="1067"/>
      <c r="I86" s="1067"/>
      <c r="J86" s="1067"/>
      <c r="K86" s="1067"/>
      <c r="L86" s="1067"/>
    </row>
    <row r="87" spans="1:13" ht="30.75" customHeight="1" x14ac:dyDescent="0.25">
      <c r="A87" s="7"/>
      <c r="B87" s="305" t="s">
        <v>27</v>
      </c>
      <c r="C87" s="1067" t="str">
        <f>Translations!$B$51</f>
        <v>Check the CA's webpage or directly contact the CA in order to find out if you have the correct version of the template. The template version is clearly indicated on the cover page of this file.</v>
      </c>
      <c r="D87" s="1067"/>
      <c r="E87" s="1067"/>
      <c r="F87" s="1067"/>
      <c r="G87" s="1067"/>
      <c r="H87" s="1067"/>
      <c r="I87" s="1067"/>
      <c r="J87" s="1067"/>
      <c r="K87" s="1067"/>
      <c r="L87" s="1067"/>
    </row>
    <row r="88" spans="1:13" ht="29.25" customHeight="1" x14ac:dyDescent="0.25">
      <c r="A88" s="7"/>
      <c r="B88" s="305" t="s">
        <v>28</v>
      </c>
      <c r="C88" s="1067" t="str">
        <f>Translations!$B$52</f>
        <v>Some Member States may require you to use an alternative system, such as Internet-based forms instead of a spreadsheet. Check your administering Member State requirements. In this case the CA will provide further information to you.</v>
      </c>
      <c r="D88" s="1067"/>
      <c r="E88" s="1067"/>
      <c r="F88" s="1067"/>
      <c r="G88" s="1067"/>
      <c r="H88" s="1067"/>
      <c r="I88" s="1067"/>
      <c r="J88" s="1067"/>
      <c r="K88" s="1067"/>
      <c r="L88" s="1067"/>
    </row>
    <row r="89" spans="1:13" s="6" customFormat="1" x14ac:dyDescent="0.25">
      <c r="A89" s="7"/>
      <c r="B89" s="305" t="s">
        <v>29</v>
      </c>
      <c r="C89" s="1076" t="str">
        <f>Translations!$B$53</f>
        <v>Read carefully the instructions below for filling this template.</v>
      </c>
      <c r="D89" s="1076"/>
      <c r="E89" s="1076"/>
      <c r="F89" s="1076"/>
      <c r="G89" s="1076"/>
      <c r="H89" s="1076"/>
      <c r="I89" s="1076"/>
      <c r="J89" s="1076"/>
      <c r="K89" s="1076"/>
      <c r="L89" s="1076"/>
    </row>
    <row r="90" spans="1:13" x14ac:dyDescent="0.25">
      <c r="A90" s="7"/>
      <c r="B90" s="1067"/>
      <c r="C90" s="1067"/>
      <c r="D90" s="1067"/>
      <c r="E90" s="1067"/>
      <c r="F90" s="1067"/>
      <c r="G90" s="1067"/>
      <c r="H90" s="1067"/>
      <c r="I90" s="1067"/>
      <c r="J90" s="1067"/>
      <c r="K90" s="1067"/>
      <c r="L90" s="1067"/>
    </row>
    <row r="91" spans="1:13" ht="43.5" customHeight="1" x14ac:dyDescent="0.25">
      <c r="A91" s="7">
        <f>A82+1</f>
        <v>8</v>
      </c>
      <c r="B91" s="1102" t="str">
        <f>Translations!$B$867</f>
        <v>Please submit the electronic version of this file by using FOEN’s information and documentation system under the following link:</v>
      </c>
      <c r="C91" s="1102"/>
      <c r="D91" s="1102"/>
      <c r="E91" s="1102"/>
      <c r="F91" s="1102"/>
      <c r="G91" s="1102"/>
      <c r="H91" s="1102"/>
      <c r="I91" s="1102"/>
      <c r="J91" s="1102"/>
      <c r="K91" s="1102"/>
      <c r="L91" s="1102"/>
    </row>
    <row r="92" spans="1:13" s="1030" customFormat="1" ht="38.25" customHeight="1" x14ac:dyDescent="0.25">
      <c r="A92" s="1029"/>
      <c r="B92" s="1064" t="s">
        <v>2046</v>
      </c>
      <c r="C92" s="1064"/>
      <c r="D92" s="1064"/>
      <c r="E92" s="1064"/>
      <c r="F92" s="1064"/>
      <c r="G92" s="1064"/>
      <c r="H92" s="1064"/>
      <c r="I92" s="1064"/>
      <c r="J92" s="1064"/>
      <c r="K92" s="1064"/>
      <c r="L92" s="1064"/>
    </row>
    <row r="93" spans="1:13" ht="24" customHeight="1" x14ac:dyDescent="0.25">
      <c r="B93" s="1065" t="s">
        <v>2047</v>
      </c>
      <c r="C93" s="1065"/>
      <c r="D93" s="1066"/>
      <c r="E93" s="1077" t="str">
        <f>Translations!$B$55</f>
        <v>Federal Office for the Environment
Climate Division
Reference 'ETS Aviation'
3003 Bern
Switzerland
ets-avitation@bafu.admin.ch</v>
      </c>
      <c r="F93" s="1078"/>
      <c r="G93" s="1078"/>
      <c r="H93" s="1079"/>
      <c r="I93" s="19"/>
      <c r="J93" s="19"/>
      <c r="K93" s="19"/>
      <c r="L93" s="19"/>
    </row>
    <row r="94" spans="1:13" x14ac:dyDescent="0.25">
      <c r="B94" s="1065"/>
      <c r="C94" s="1065"/>
      <c r="D94" s="1066"/>
      <c r="E94" s="1080"/>
      <c r="F94" s="1081"/>
      <c r="G94" s="1081"/>
      <c r="H94" s="1082"/>
      <c r="I94" s="19"/>
      <c r="J94" s="19"/>
      <c r="K94" s="19"/>
      <c r="L94" s="19"/>
    </row>
    <row r="95" spans="1:13" x14ac:dyDescent="0.25">
      <c r="B95" s="19"/>
      <c r="C95" s="19"/>
      <c r="D95" s="19"/>
      <c r="E95" s="1080"/>
      <c r="F95" s="1081"/>
      <c r="G95" s="1081"/>
      <c r="H95" s="1082"/>
      <c r="I95" s="19"/>
      <c r="J95" s="19"/>
      <c r="K95" s="19"/>
      <c r="L95" s="19"/>
    </row>
    <row r="96" spans="1:13" x14ac:dyDescent="0.25">
      <c r="B96" s="19"/>
      <c r="C96" s="9"/>
      <c r="D96" s="19"/>
      <c r="E96" s="1080"/>
      <c r="F96" s="1081"/>
      <c r="G96" s="1081"/>
      <c r="H96" s="1082"/>
      <c r="I96" s="19"/>
      <c r="J96" s="19"/>
      <c r="K96" s="19"/>
      <c r="L96" s="19"/>
    </row>
    <row r="97" spans="1:12" x14ac:dyDescent="0.25">
      <c r="B97" s="19"/>
      <c r="C97" s="19"/>
      <c r="D97" s="19"/>
      <c r="E97" s="1080"/>
      <c r="F97" s="1081"/>
      <c r="G97" s="1081"/>
      <c r="H97" s="1082"/>
      <c r="I97" s="19"/>
      <c r="J97" s="19"/>
      <c r="K97" s="19"/>
      <c r="L97" s="19"/>
    </row>
    <row r="98" spans="1:12" x14ac:dyDescent="0.25">
      <c r="B98" s="19"/>
      <c r="C98" s="19"/>
      <c r="D98" s="19"/>
      <c r="E98" s="1080"/>
      <c r="F98" s="1081"/>
      <c r="G98" s="1081"/>
      <c r="H98" s="1082"/>
      <c r="I98" s="19"/>
      <c r="J98" s="19"/>
      <c r="K98" s="19"/>
      <c r="L98" s="19"/>
    </row>
    <row r="99" spans="1:12" x14ac:dyDescent="0.25">
      <c r="B99" s="19"/>
      <c r="C99" s="19"/>
      <c r="D99" s="19"/>
      <c r="E99" s="1080"/>
      <c r="F99" s="1081"/>
      <c r="G99" s="1081"/>
      <c r="H99" s="1082"/>
      <c r="I99" s="19"/>
      <c r="J99" s="19"/>
      <c r="K99" s="19"/>
      <c r="L99" s="19"/>
    </row>
    <row r="100" spans="1:12" x14ac:dyDescent="0.25">
      <c r="B100" s="19"/>
      <c r="C100" s="19"/>
      <c r="D100" s="19"/>
      <c r="E100" s="1083"/>
      <c r="F100" s="1084"/>
      <c r="G100" s="1084"/>
      <c r="H100" s="1085"/>
      <c r="I100" s="19"/>
      <c r="J100" s="19"/>
      <c r="K100" s="19"/>
      <c r="L100" s="19"/>
    </row>
    <row r="101" spans="1:12" x14ac:dyDescent="0.25">
      <c r="B101" s="19"/>
      <c r="C101" s="19"/>
      <c r="D101" s="19"/>
      <c r="E101" s="19"/>
      <c r="F101" s="19"/>
      <c r="G101" s="19"/>
      <c r="H101" s="19"/>
      <c r="I101" s="19"/>
      <c r="J101" s="19"/>
      <c r="K101" s="19"/>
      <c r="L101" s="19"/>
    </row>
    <row r="102" spans="1:12" ht="33" customHeight="1" x14ac:dyDescent="0.25">
      <c r="A102" s="7">
        <f>A91+1</f>
        <v>9</v>
      </c>
      <c r="B102" s="1067" t="str">
        <f>Translations!$B$868</f>
        <v>Contact your Competent Authority if you need assistance to complete your Annual Emissions Report. Some Member States have produced guidance documents which you may find useful in addition to the Commission's guidance mentioned above.</v>
      </c>
      <c r="C102" s="1067"/>
      <c r="D102" s="1067"/>
      <c r="E102" s="1067"/>
      <c r="F102" s="1067"/>
      <c r="G102" s="1067"/>
      <c r="H102" s="1067"/>
      <c r="I102" s="1067"/>
      <c r="J102" s="1067"/>
      <c r="K102" s="1067"/>
      <c r="L102" s="1067"/>
    </row>
    <row r="103" spans="1:12" ht="66" customHeight="1" x14ac:dyDescent="0.25">
      <c r="A103" s="7">
        <f>A102+1</f>
        <v>10</v>
      </c>
      <c r="B103" s="1054"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103" s="1058"/>
      <c r="D103" s="1058"/>
      <c r="E103" s="1058"/>
      <c r="F103" s="1058"/>
      <c r="G103" s="1058"/>
      <c r="H103" s="1058"/>
      <c r="I103" s="1058"/>
      <c r="J103" s="1058"/>
      <c r="K103" s="1058"/>
      <c r="L103" s="1058"/>
    </row>
    <row r="104" spans="1:12" x14ac:dyDescent="0.25">
      <c r="A104" s="7"/>
      <c r="B104" s="304"/>
      <c r="C104" s="304"/>
      <c r="D104" s="304"/>
      <c r="E104" s="304"/>
      <c r="F104" s="304"/>
      <c r="G104" s="304"/>
      <c r="H104" s="304"/>
      <c r="I104" s="304"/>
      <c r="J104" s="304"/>
      <c r="K104" s="304"/>
      <c r="L104" s="304"/>
    </row>
    <row r="105" spans="1:12" ht="15.5" x14ac:dyDescent="0.25">
      <c r="A105" s="7">
        <f>A103+1</f>
        <v>11</v>
      </c>
      <c r="B105" s="1089" t="str">
        <f>Translations!$B$61</f>
        <v>Information sources:</v>
      </c>
      <c r="C105" s="1089"/>
      <c r="D105" s="1089"/>
      <c r="E105" s="1089"/>
      <c r="F105" s="1089"/>
      <c r="G105" s="1089"/>
      <c r="H105" s="1089"/>
      <c r="I105" s="1089"/>
      <c r="J105" s="1089"/>
      <c r="K105" s="1089"/>
      <c r="L105" s="1089"/>
    </row>
    <row r="106" spans="1:12" x14ac:dyDescent="0.3">
      <c r="A106" s="7"/>
      <c r="B106" s="306" t="str">
        <f>Translations!$B$62</f>
        <v>EU Websites:</v>
      </c>
      <c r="C106" s="304"/>
      <c r="D106" s="1067"/>
      <c r="E106" s="1034"/>
      <c r="F106" s="1034"/>
      <c r="G106" s="1034"/>
      <c r="H106" s="1034"/>
      <c r="I106" s="1034"/>
      <c r="J106" s="1034"/>
      <c r="K106" s="1034"/>
      <c r="L106" s="1034"/>
    </row>
    <row r="107" spans="1:12" s="6" customFormat="1" x14ac:dyDescent="0.25">
      <c r="A107" s="7"/>
      <c r="B107" s="304" t="str">
        <f>Translations!$B$63</f>
        <v>EU-Legislation:</v>
      </c>
      <c r="C107" s="304"/>
      <c r="D107" s="1070" t="str">
        <f>HYPERLINK(Translations!$B$64,Translations!$B$64)</f>
        <v xml:space="preserve">http://eur-lex.europa.eu/en/index.htm </v>
      </c>
      <c r="E107" s="1071"/>
      <c r="F107" s="1071"/>
      <c r="G107" s="1071"/>
      <c r="H107" s="1071"/>
      <c r="I107" s="1071"/>
      <c r="J107" s="1034"/>
      <c r="K107" s="1034"/>
      <c r="L107" s="1034"/>
    </row>
    <row r="108" spans="1:12" s="6" customFormat="1" ht="13.4" customHeight="1" x14ac:dyDescent="0.25">
      <c r="A108" s="7"/>
      <c r="B108" s="304" t="str">
        <f>Translations!$B$65</f>
        <v>EU ETS general:</v>
      </c>
      <c r="C108" s="304"/>
      <c r="D108" s="1070" t="str">
        <f>HYPERLINK(Translations!$B$1311,Translations!$B$1311)</f>
        <v>https://ec.europa.eu/clima/eu-action/eu-emissions-trading-system-eu-ets_en</v>
      </c>
      <c r="E108" s="1071"/>
      <c r="F108" s="1071"/>
      <c r="G108" s="1071"/>
      <c r="H108" s="1071"/>
      <c r="I108" s="1071"/>
      <c r="J108" s="1034"/>
      <c r="K108" s="1034"/>
      <c r="L108" s="1034"/>
    </row>
    <row r="109" spans="1:12" s="6" customFormat="1" ht="13.4" customHeight="1" x14ac:dyDescent="0.25">
      <c r="A109" s="7"/>
      <c r="B109" s="304" t="str">
        <f>Translations!$B$67</f>
        <v xml:space="preserve">Aviation EU ETS: </v>
      </c>
      <c r="C109" s="304"/>
      <c r="D109" s="1070" t="str">
        <f>HYPERLINK(Translations!$B$1312,Translations!$B$1312)</f>
        <v>https://ec.europa.eu/clima/eu-action/transport-emissions/reducing-emissions-aviation_en</v>
      </c>
      <c r="E109" s="1071"/>
      <c r="F109" s="1071"/>
      <c r="G109" s="1071"/>
      <c r="H109" s="1071"/>
      <c r="I109" s="1071"/>
      <c r="J109" s="1034"/>
      <c r="K109" s="1034"/>
      <c r="L109" s="1034"/>
    </row>
    <row r="110" spans="1:12" s="6" customFormat="1" x14ac:dyDescent="0.25">
      <c r="A110" s="7"/>
      <c r="B110" s="1067" t="str">
        <f>Translations!$B$69</f>
        <v xml:space="preserve">Monitoring and Reporting in the EU ETS: </v>
      </c>
      <c r="C110" s="1034"/>
      <c r="D110" s="1034"/>
      <c r="E110" s="1034"/>
      <c r="F110" s="1034"/>
      <c r="G110" s="1034"/>
      <c r="H110" s="1034"/>
      <c r="I110" s="1034"/>
      <c r="J110" s="1034"/>
      <c r="K110" s="1034"/>
      <c r="L110" s="1034"/>
    </row>
    <row r="111" spans="1:12" s="6" customFormat="1" ht="26.15" customHeight="1" x14ac:dyDescent="0.25">
      <c r="A111" s="7"/>
      <c r="B111" s="304"/>
      <c r="C111" s="304"/>
      <c r="D111" s="1070" t="str">
        <f>HYPERLINK(Translations!$B$1309,Translations!$B$1309)</f>
        <v>https://ec.europa.eu/clima/eu-action/eu-emissions-trading-system-eu-ets/monitoring-reporting-and-verification-eu-ets-emissions_en</v>
      </c>
      <c r="E111" s="1071"/>
      <c r="F111" s="1071"/>
      <c r="G111" s="1071"/>
      <c r="H111" s="1071"/>
      <c r="I111" s="1071"/>
      <c r="J111" s="1034"/>
      <c r="K111" s="1034"/>
      <c r="L111" s="1034"/>
    </row>
    <row r="112" spans="1:12" s="6" customFormat="1" ht="13.4" customHeight="1" x14ac:dyDescent="0.3">
      <c r="A112" s="7"/>
      <c r="B112" s="306" t="str">
        <f>Translations!$B$1085</f>
        <v>CORSIA Website:</v>
      </c>
      <c r="C112" s="304"/>
      <c r="D112" s="1070" t="str">
        <f>HYPERLINK(Translations!$B$1066,Translations!$B$1066)</f>
        <v>https://www.icao.int/environmental-protection/CORSIA/Pages/default.aspx</v>
      </c>
      <c r="E112" s="1071"/>
      <c r="F112" s="1071"/>
      <c r="G112" s="1071"/>
      <c r="H112" s="1071"/>
      <c r="I112" s="1071"/>
      <c r="J112" s="1034"/>
      <c r="K112" s="1034"/>
      <c r="L112" s="1034"/>
    </row>
    <row r="113" spans="1:12" s="6" customFormat="1" x14ac:dyDescent="0.25">
      <c r="A113" s="7"/>
      <c r="B113" s="304"/>
      <c r="C113" s="304"/>
      <c r="D113" s="307"/>
      <c r="E113" s="304"/>
      <c r="F113" s="304"/>
      <c r="G113" s="304"/>
      <c r="H113" s="304"/>
      <c r="I113" s="304"/>
      <c r="J113" s="304"/>
      <c r="K113" s="304"/>
      <c r="L113" s="304"/>
    </row>
    <row r="114" spans="1:12" x14ac:dyDescent="0.3">
      <c r="A114" s="7"/>
      <c r="B114" s="306" t="str">
        <f>Translations!$B$70</f>
        <v>Other Websites:</v>
      </c>
      <c r="C114" s="304"/>
      <c r="D114" s="304"/>
      <c r="E114" s="304"/>
      <c r="F114" s="304"/>
      <c r="G114" s="304"/>
      <c r="H114" s="304"/>
      <c r="I114" s="304"/>
      <c r="J114" s="304"/>
      <c r="K114" s="304"/>
      <c r="L114" s="304"/>
    </row>
    <row r="115" spans="1:12" x14ac:dyDescent="0.25">
      <c r="B115" s="308" t="str">
        <f>Translations!$B$71</f>
        <v>&lt;to be provided by Member State&gt;</v>
      </c>
      <c r="C115" s="308"/>
      <c r="D115" s="308"/>
      <c r="E115" s="308"/>
      <c r="F115" s="308"/>
      <c r="G115" s="308"/>
      <c r="H115" s="308"/>
      <c r="I115" s="308"/>
      <c r="J115" s="9"/>
      <c r="K115" s="9"/>
      <c r="L115" s="9"/>
    </row>
    <row r="116" spans="1:12" x14ac:dyDescent="0.25">
      <c r="B116" s="308"/>
      <c r="C116" s="308"/>
      <c r="D116" s="308"/>
      <c r="E116" s="308"/>
      <c r="F116" s="308"/>
      <c r="G116" s="308"/>
      <c r="H116" s="308"/>
      <c r="I116" s="308"/>
      <c r="J116" s="9"/>
      <c r="K116" s="9"/>
      <c r="L116" s="9"/>
    </row>
    <row r="117" spans="1:12" x14ac:dyDescent="0.25">
      <c r="B117" s="304" t="str">
        <f>Translations!$B$72</f>
        <v>Helpdesk:</v>
      </c>
      <c r="C117" s="9"/>
      <c r="D117" s="9"/>
      <c r="E117" s="9"/>
      <c r="F117" s="9"/>
      <c r="G117" s="9"/>
      <c r="H117" s="9"/>
      <c r="I117" s="9"/>
      <c r="J117" s="9"/>
      <c r="K117" s="9"/>
      <c r="L117" s="9"/>
    </row>
    <row r="118" spans="1:12" x14ac:dyDescent="0.25">
      <c r="B118" s="308" t="str">
        <f>Translations!$B$73</f>
        <v>&lt;to be provided by Member State, if relevant&gt;</v>
      </c>
      <c r="C118" s="308"/>
      <c r="D118" s="308"/>
      <c r="E118" s="308"/>
      <c r="F118" s="308"/>
      <c r="G118" s="308"/>
      <c r="H118" s="308"/>
      <c r="I118" s="308"/>
      <c r="J118" s="9"/>
      <c r="K118" s="9"/>
      <c r="L118" s="9"/>
    </row>
    <row r="119" spans="1:12" x14ac:dyDescent="0.25">
      <c r="B119" s="308"/>
      <c r="C119" s="308"/>
      <c r="D119" s="308"/>
      <c r="E119" s="308"/>
      <c r="F119" s="308"/>
      <c r="G119" s="308"/>
      <c r="H119" s="308"/>
      <c r="I119" s="308"/>
      <c r="J119" s="9"/>
      <c r="K119" s="9"/>
      <c r="L119" s="9"/>
    </row>
    <row r="120" spans="1:12" x14ac:dyDescent="0.25">
      <c r="B120" s="9"/>
      <c r="C120" s="9"/>
      <c r="D120" s="9"/>
      <c r="E120" s="9"/>
      <c r="F120" s="9"/>
      <c r="G120" s="9"/>
      <c r="H120" s="9"/>
      <c r="I120" s="9"/>
      <c r="J120" s="9"/>
      <c r="K120" s="9"/>
      <c r="L120" s="9"/>
    </row>
    <row r="121" spans="1:12" x14ac:dyDescent="0.25">
      <c r="B121" s="9"/>
      <c r="C121" s="9"/>
      <c r="D121" s="9"/>
      <c r="E121" s="9"/>
      <c r="F121" s="9"/>
      <c r="G121" s="9"/>
      <c r="H121" s="9"/>
      <c r="I121" s="9"/>
      <c r="J121" s="9"/>
      <c r="K121" s="9"/>
      <c r="L121" s="9"/>
    </row>
    <row r="122" spans="1:12" ht="15.5" x14ac:dyDescent="0.25">
      <c r="A122" s="7">
        <f>A105+1</f>
        <v>12</v>
      </c>
      <c r="B122" s="1089" t="str">
        <f>Translations!$B$74</f>
        <v>How to use this file:</v>
      </c>
      <c r="C122" s="1089"/>
      <c r="D122" s="1089"/>
      <c r="E122" s="1089"/>
      <c r="F122" s="1089"/>
      <c r="G122" s="1089"/>
      <c r="H122" s="1089"/>
      <c r="I122" s="1089"/>
      <c r="J122" s="1089"/>
      <c r="K122" s="1089"/>
      <c r="L122" s="1089"/>
    </row>
    <row r="123" spans="1:12" ht="25.5" customHeight="1" x14ac:dyDescent="0.25">
      <c r="A123" s="7"/>
      <c r="B123" s="1076" t="str">
        <f>Translations!$B$870</f>
        <v>This template has been developed to accommodate the minimum content of an annual emissions report required by the MRR. Operators should therefore refer to the MRR and additional Member State requirements (if any) when completing.</v>
      </c>
      <c r="C123" s="1076"/>
      <c r="D123" s="1076"/>
      <c r="E123" s="1076"/>
      <c r="F123" s="1076"/>
      <c r="G123" s="1076"/>
      <c r="H123" s="1076"/>
      <c r="I123" s="1076"/>
      <c r="J123" s="1076"/>
      <c r="K123" s="1076"/>
      <c r="L123" s="1076"/>
    </row>
    <row r="124" spans="1:12" s="12" customFormat="1" ht="26.25" customHeight="1" x14ac:dyDescent="0.25">
      <c r="A124" s="7"/>
      <c r="B124" s="1058" t="str">
        <f>Translations!$B$76</f>
        <v>It is recommended that you go through the file from start to end. There are a few functions which will guide you through the form which depend on previous input, such as cells changing colour if an input is not needed (see colour codes below).</v>
      </c>
      <c r="C124" s="1058"/>
      <c r="D124" s="1058"/>
      <c r="E124" s="1058"/>
      <c r="F124" s="1058"/>
      <c r="G124" s="1058"/>
      <c r="H124" s="1058"/>
      <c r="I124" s="1058"/>
      <c r="J124" s="1058"/>
      <c r="K124" s="1058"/>
      <c r="L124" s="1058"/>
    </row>
    <row r="125" spans="1:12" s="12" customFormat="1" ht="43.5" customHeight="1" x14ac:dyDescent="0.25">
      <c r="A125" s="7"/>
      <c r="B125" s="1058"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25" s="1058"/>
      <c r="D125" s="1058"/>
      <c r="E125" s="1058"/>
      <c r="F125" s="1058"/>
      <c r="G125" s="1058"/>
      <c r="H125" s="1058"/>
      <c r="I125" s="1058"/>
      <c r="J125" s="1058"/>
      <c r="K125" s="1058"/>
      <c r="L125" s="1058"/>
    </row>
    <row r="126" spans="1:12" s="12" customFormat="1" x14ac:dyDescent="0.25">
      <c r="A126" s="10"/>
      <c r="B126" s="1090" t="str">
        <f>Translations!$B$78</f>
        <v>Colour codes and fonts:</v>
      </c>
      <c r="C126" s="1090"/>
      <c r="D126" s="1090"/>
      <c r="E126" s="1090"/>
      <c r="F126" s="1090"/>
      <c r="G126" s="1090"/>
      <c r="H126" s="1090"/>
      <c r="I126" s="1090"/>
      <c r="J126" s="1090"/>
      <c r="K126" s="1090"/>
      <c r="L126" s="1090"/>
    </row>
    <row r="127" spans="1:12" s="6" customFormat="1" ht="12.5" x14ac:dyDescent="0.25">
      <c r="C127" s="1054" t="str">
        <f>Translations!$B$79</f>
        <v>Black bold text:</v>
      </c>
      <c r="D127" s="1058"/>
      <c r="E127" s="1076" t="str">
        <f>Translations!$B$80</f>
        <v>This is text provided by the Commission template. It should be kept as it is.</v>
      </c>
      <c r="F127" s="1076"/>
      <c r="G127" s="1076"/>
      <c r="H127" s="1076"/>
      <c r="I127" s="1076"/>
      <c r="J127" s="1076"/>
      <c r="K127" s="1076"/>
      <c r="L127" s="1076"/>
    </row>
    <row r="128" spans="1:12" s="6" customFormat="1" ht="25.5" customHeight="1" x14ac:dyDescent="0.25">
      <c r="C128" s="1110" t="str">
        <f>Translations!$B$81</f>
        <v>Smaller italic text:</v>
      </c>
      <c r="D128" s="1110"/>
      <c r="E128" s="1076" t="str">
        <f>Translations!$B$82</f>
        <v>This text gives further explanations. Member States may add further explanations in MS specific versions of the template.</v>
      </c>
      <c r="F128" s="1076"/>
      <c r="G128" s="1076"/>
      <c r="H128" s="1076"/>
      <c r="I128" s="1076"/>
      <c r="J128" s="1076"/>
      <c r="K128" s="1076"/>
      <c r="L128" s="1076"/>
    </row>
    <row r="129" spans="1:13" s="6" customFormat="1" ht="12.5" x14ac:dyDescent="0.25">
      <c r="C129" s="1093"/>
      <c r="D129" s="1094"/>
      <c r="E129" s="1076" t="str">
        <f>Translations!$B$83</f>
        <v>Light yellow fields indicate input fields.</v>
      </c>
      <c r="F129" s="1076"/>
      <c r="G129" s="1076"/>
      <c r="H129" s="1076"/>
      <c r="I129" s="1076"/>
      <c r="J129" s="1076"/>
      <c r="K129" s="1076"/>
      <c r="L129" s="1076"/>
    </row>
    <row r="130" spans="1:13" s="6" customFormat="1" ht="12.5" x14ac:dyDescent="0.25">
      <c r="C130" s="1095"/>
      <c r="D130" s="1096"/>
      <c r="E130" s="1076" t="str">
        <f>Translations!$B$84</f>
        <v>Green fields show automatically calculated results. Red text indicates error messages (missing data etc.).</v>
      </c>
      <c r="F130" s="1076"/>
      <c r="G130" s="1076"/>
      <c r="H130" s="1076"/>
      <c r="I130" s="1076"/>
      <c r="J130" s="1076"/>
      <c r="K130" s="1076"/>
      <c r="L130" s="1076"/>
    </row>
    <row r="131" spans="1:13" s="6" customFormat="1" ht="12.5" x14ac:dyDescent="0.25">
      <c r="C131" s="1109"/>
      <c r="D131" s="1094"/>
      <c r="E131" s="1076" t="str">
        <f>Translations!$B$85</f>
        <v>Shaded fields indicate that an input in another field makes the input here irrelevant.</v>
      </c>
      <c r="F131" s="1076"/>
      <c r="G131" s="1076"/>
      <c r="H131" s="1076"/>
      <c r="I131" s="1076"/>
      <c r="J131" s="1076"/>
      <c r="K131" s="1076"/>
      <c r="L131" s="1076"/>
    </row>
    <row r="132" spans="1:13" s="6" customFormat="1" ht="12.5" x14ac:dyDescent="0.25">
      <c r="C132" s="16"/>
      <c r="D132" s="17"/>
      <c r="E132" s="1076" t="str">
        <f>Translations!$B$86</f>
        <v>Grey shaded areas should be filled by Member States before publishing customized version of the template.</v>
      </c>
      <c r="F132" s="1076"/>
      <c r="G132" s="1076"/>
      <c r="H132" s="1076"/>
      <c r="I132" s="1076"/>
      <c r="J132" s="1076"/>
      <c r="K132" s="1076"/>
      <c r="L132" s="1076"/>
    </row>
    <row r="133" spans="1:13" s="12" customFormat="1" x14ac:dyDescent="0.25">
      <c r="A133" s="10"/>
      <c r="B133" s="15"/>
      <c r="C133" s="15"/>
      <c r="D133" s="15"/>
      <c r="E133" s="15"/>
      <c r="F133" s="15"/>
      <c r="G133" s="15"/>
      <c r="H133" s="15"/>
      <c r="I133" s="15"/>
      <c r="J133" s="15"/>
      <c r="K133" s="15"/>
      <c r="L133" s="15"/>
    </row>
    <row r="134" spans="1:13" s="12" customFormat="1" hidden="1" x14ac:dyDescent="0.25">
      <c r="A134" s="286"/>
      <c r="B134" s="287"/>
      <c r="C134" s="287"/>
      <c r="D134" s="287"/>
      <c r="E134" s="287"/>
      <c r="F134" s="287"/>
      <c r="G134" s="287"/>
      <c r="H134" s="287"/>
      <c r="I134" s="287"/>
      <c r="J134" s="287"/>
      <c r="K134" s="287"/>
      <c r="L134" s="287"/>
      <c r="M134" s="286"/>
    </row>
    <row r="135" spans="1:13" s="12" customFormat="1" hidden="1" x14ac:dyDescent="0.25">
      <c r="A135" s="286"/>
      <c r="B135" s="1044" t="str">
        <f>Translations!$B$1086</f>
        <v>Sections added to the EU ETS template related to information required for CORSIA are identified by a light blue frame.</v>
      </c>
      <c r="C135" s="1044"/>
      <c r="D135" s="1044"/>
      <c r="E135" s="1044"/>
      <c r="F135" s="1044"/>
      <c r="G135" s="1044"/>
      <c r="H135" s="1044"/>
      <c r="I135" s="1044"/>
      <c r="J135" s="1044"/>
      <c r="K135" s="1044"/>
      <c r="L135" s="1044"/>
      <c r="M135" s="286"/>
    </row>
    <row r="136" spans="1:13" s="12" customFormat="1" hidden="1" x14ac:dyDescent="0.25">
      <c r="A136" s="286"/>
      <c r="B136" s="287"/>
      <c r="C136" s="287"/>
      <c r="D136" s="287"/>
      <c r="E136" s="287"/>
      <c r="F136" s="287"/>
      <c r="G136" s="287"/>
      <c r="H136" s="287"/>
      <c r="I136" s="287"/>
      <c r="J136" s="287"/>
      <c r="K136" s="287"/>
      <c r="L136" s="287"/>
      <c r="M136" s="286"/>
    </row>
    <row r="137" spans="1:13" s="12" customFormat="1" x14ac:dyDescent="0.25">
      <c r="A137" s="10"/>
      <c r="B137" s="15"/>
      <c r="C137" s="15"/>
      <c r="D137" s="15"/>
      <c r="E137" s="15"/>
      <c r="F137" s="15"/>
      <c r="G137" s="15"/>
      <c r="H137" s="15"/>
      <c r="I137" s="15"/>
      <c r="J137" s="15"/>
      <c r="K137" s="15"/>
      <c r="L137" s="15"/>
    </row>
    <row r="138" spans="1:13" s="12" customFormat="1" x14ac:dyDescent="0.25">
      <c r="A138" s="455"/>
      <c r="B138" s="456"/>
      <c r="C138" s="456"/>
      <c r="D138" s="456"/>
      <c r="E138" s="456"/>
      <c r="F138" s="456"/>
      <c r="G138" s="456"/>
      <c r="H138" s="456"/>
      <c r="I138" s="456"/>
      <c r="J138" s="456"/>
      <c r="K138" s="456"/>
      <c r="L138" s="456"/>
      <c r="M138" s="455"/>
    </row>
    <row r="139" spans="1:13" s="12" customFormat="1" x14ac:dyDescent="0.25">
      <c r="A139" s="455"/>
      <c r="B139" s="1044" t="str">
        <f>Translations!$B$1260</f>
        <v>Sections added to this template related to information required for the CH ETS are identified by a light red frame.</v>
      </c>
      <c r="C139" s="1044"/>
      <c r="D139" s="1044"/>
      <c r="E139" s="1044"/>
      <c r="F139" s="1044"/>
      <c r="G139" s="1044"/>
      <c r="H139" s="1044"/>
      <c r="I139" s="1044"/>
      <c r="J139" s="1044"/>
      <c r="K139" s="1044"/>
      <c r="L139" s="1044"/>
      <c r="M139" s="455"/>
    </row>
    <row r="140" spans="1:13" s="12" customFormat="1" x14ac:dyDescent="0.25">
      <c r="A140" s="455"/>
      <c r="B140" s="456"/>
      <c r="C140" s="456"/>
      <c r="D140" s="456"/>
      <c r="E140" s="456"/>
      <c r="F140" s="456"/>
      <c r="G140" s="456"/>
      <c r="H140" s="456"/>
      <c r="I140" s="456"/>
      <c r="J140" s="456"/>
      <c r="K140" s="456"/>
      <c r="L140" s="456"/>
      <c r="M140" s="455"/>
    </row>
    <row r="141" spans="1:13" s="12" customFormat="1" x14ac:dyDescent="0.25">
      <c r="A141" s="10"/>
      <c r="B141" s="15"/>
      <c r="C141" s="15"/>
      <c r="D141" s="15"/>
      <c r="E141" s="15"/>
      <c r="F141" s="15"/>
      <c r="G141" s="15"/>
      <c r="H141" s="15"/>
      <c r="I141" s="15"/>
      <c r="J141" s="15"/>
      <c r="K141" s="15"/>
      <c r="L141" s="15"/>
    </row>
    <row r="142" spans="1:13" s="12" customFormat="1" ht="12.5" x14ac:dyDescent="0.25">
      <c r="A142" s="458"/>
      <c r="B142" s="1044" t="str">
        <f>Translations!$B$1261</f>
        <v>Sections that are particularly relevant for both, EU ETS and CH ETS, are marked by red shading.</v>
      </c>
      <c r="C142" s="1044"/>
      <c r="D142" s="1044"/>
      <c r="E142" s="1044"/>
      <c r="F142" s="1044"/>
      <c r="G142" s="1044"/>
      <c r="H142" s="1044"/>
      <c r="I142" s="1044"/>
      <c r="J142" s="1044"/>
      <c r="K142" s="1044"/>
      <c r="L142" s="1044"/>
      <c r="M142" s="458"/>
    </row>
    <row r="143" spans="1:13" s="12" customFormat="1" x14ac:dyDescent="0.25">
      <c r="A143" s="10"/>
      <c r="B143" s="15"/>
      <c r="C143" s="15"/>
      <c r="D143" s="15"/>
      <c r="E143" s="15"/>
      <c r="F143" s="15"/>
      <c r="G143" s="15"/>
      <c r="H143" s="15"/>
      <c r="I143" s="15"/>
      <c r="J143" s="15"/>
      <c r="K143" s="15"/>
      <c r="L143" s="15"/>
    </row>
    <row r="144" spans="1:13" s="6" customFormat="1" ht="51" customHeight="1" x14ac:dyDescent="0.25">
      <c r="A144" s="7">
        <f>A122+1</f>
        <v>13</v>
      </c>
      <c r="B144" s="1076"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44" s="1076"/>
      <c r="D144" s="1076"/>
      <c r="E144" s="1076"/>
      <c r="F144" s="1076"/>
      <c r="G144" s="1076"/>
      <c r="H144" s="1076"/>
      <c r="I144" s="1076"/>
      <c r="J144" s="1076"/>
      <c r="K144" s="1076"/>
      <c r="L144" s="1076"/>
    </row>
    <row r="145" spans="1:12" s="6" customFormat="1" ht="51" customHeight="1" x14ac:dyDescent="0.25">
      <c r="A145" s="7">
        <f>A144+1</f>
        <v>14</v>
      </c>
      <c r="B145" s="1111"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5" s="1067"/>
      <c r="D145" s="1067"/>
      <c r="E145" s="1067"/>
      <c r="F145" s="1067"/>
      <c r="G145" s="1067"/>
      <c r="H145" s="1067"/>
      <c r="I145" s="1067"/>
      <c r="J145" s="1067"/>
      <c r="K145" s="1067"/>
      <c r="L145" s="1058"/>
    </row>
    <row r="146" spans="1:12" s="6" customFormat="1" ht="53.15" customHeight="1" x14ac:dyDescent="0.25">
      <c r="A146" s="7">
        <f>A145+1</f>
        <v>15</v>
      </c>
      <c r="B146" s="1076"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46" s="1076"/>
      <c r="D146" s="1076"/>
      <c r="E146" s="1076"/>
      <c r="F146" s="1076"/>
      <c r="G146" s="1076"/>
      <c r="H146" s="1076"/>
      <c r="I146" s="1076"/>
      <c r="J146" s="1076"/>
      <c r="K146" s="1076"/>
      <c r="L146" s="1076"/>
    </row>
    <row r="147" spans="1:12" s="6" customFormat="1" ht="5.15" customHeight="1" thickBot="1" x14ac:dyDescent="0.3">
      <c r="B147" s="1091"/>
      <c r="C147" s="1067"/>
      <c r="D147" s="1067"/>
      <c r="E147" s="1067"/>
      <c r="F147" s="1067"/>
      <c r="G147" s="1067"/>
      <c r="H147" s="1067"/>
      <c r="I147" s="1067"/>
      <c r="J147" s="1067"/>
      <c r="K147" s="1067"/>
    </row>
    <row r="148" spans="1:12" s="6" customFormat="1" ht="89.25" customHeight="1" thickBot="1" x14ac:dyDescent="0.3">
      <c r="A148" s="7">
        <f>A146+1</f>
        <v>16</v>
      </c>
      <c r="B148" s="1097"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48" s="1098"/>
      <c r="D148" s="1098"/>
      <c r="E148" s="1098"/>
      <c r="F148" s="1098"/>
      <c r="G148" s="1098"/>
      <c r="H148" s="1098"/>
      <c r="I148" s="1098"/>
      <c r="J148" s="1098"/>
      <c r="K148" s="1098"/>
      <c r="L148" s="1099"/>
    </row>
    <row r="149" spans="1:12" s="6" customFormat="1" ht="5.15" customHeight="1" x14ac:dyDescent="0.25">
      <c r="B149" s="1091"/>
      <c r="C149" s="1067"/>
      <c r="D149" s="1067"/>
      <c r="E149" s="1067"/>
      <c r="F149" s="1067"/>
      <c r="G149" s="1067"/>
      <c r="H149" s="1067"/>
      <c r="I149" s="1067"/>
      <c r="J149" s="1067"/>
      <c r="K149" s="1067"/>
    </row>
    <row r="150" spans="1:12" s="12" customFormat="1" ht="12.75" customHeight="1" x14ac:dyDescent="0.25">
      <c r="A150" s="10"/>
      <c r="B150" s="1092" t="str">
        <f>Translations!$B$875</f>
        <v>Note: Formulae must be checked and corrected in particular whenever rows and/or columns are added by aircraft operators.</v>
      </c>
      <c r="C150" s="1092"/>
      <c r="D150" s="1092"/>
      <c r="E150" s="1092"/>
      <c r="F150" s="1092"/>
      <c r="G150" s="1092"/>
      <c r="H150" s="1092"/>
      <c r="I150" s="1092"/>
      <c r="J150" s="1092"/>
      <c r="K150" s="1092"/>
      <c r="L150" s="1092"/>
    </row>
    <row r="151" spans="1:12" s="12" customFormat="1" ht="5.15" customHeight="1" thickBot="1" x14ac:dyDescent="0.3">
      <c r="A151" s="10"/>
      <c r="B151" s="359"/>
      <c r="C151" s="359"/>
      <c r="D151" s="359"/>
      <c r="E151" s="359"/>
      <c r="F151" s="359"/>
      <c r="G151" s="359"/>
      <c r="H151" s="359"/>
      <c r="I151" s="359"/>
      <c r="J151" s="359"/>
      <c r="K151" s="359"/>
      <c r="L151" s="359"/>
    </row>
    <row r="152" spans="1:12" s="6" customFormat="1" ht="51" customHeight="1" thickBot="1" x14ac:dyDescent="0.3">
      <c r="A152" s="7">
        <f>A148+1</f>
        <v>17</v>
      </c>
      <c r="B152" s="1107"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52" s="1108"/>
      <c r="D152" s="1108"/>
      <c r="E152" s="1108"/>
      <c r="F152" s="1108"/>
      <c r="G152" s="1108"/>
      <c r="H152" s="1108"/>
      <c r="I152" s="1108"/>
      <c r="J152" s="1108"/>
      <c r="K152" s="1108"/>
      <c r="L152" s="1099"/>
    </row>
    <row r="153" spans="1:12" s="6" customFormat="1" ht="5.15" customHeight="1" x14ac:dyDescent="0.25">
      <c r="B153" s="1091"/>
      <c r="C153" s="1067"/>
      <c r="D153" s="1067"/>
      <c r="E153" s="1067"/>
      <c r="F153" s="1067"/>
      <c r="G153" s="1067"/>
      <c r="H153" s="1067"/>
      <c r="I153" s="1067"/>
      <c r="J153" s="1067"/>
      <c r="K153" s="1067"/>
    </row>
    <row r="154" spans="1:12" s="12" customFormat="1" x14ac:dyDescent="0.25">
      <c r="A154" s="10"/>
    </row>
    <row r="155" spans="1:12" ht="15.75" customHeight="1" x14ac:dyDescent="0.25">
      <c r="A155" s="7">
        <f>A152+1</f>
        <v>18</v>
      </c>
      <c r="B155" s="1088" t="str">
        <f>Translations!$B$87</f>
        <v>Member State-specific guidance is listed here:</v>
      </c>
      <c r="C155" s="1088"/>
      <c r="D155" s="1088"/>
      <c r="E155" s="1088"/>
      <c r="F155" s="1088"/>
      <c r="G155" s="1088"/>
      <c r="H155" s="1088"/>
      <c r="I155" s="1088"/>
      <c r="J155" s="1088"/>
      <c r="K155" s="1088"/>
      <c r="L155" s="1088"/>
    </row>
    <row r="156" spans="1:12" x14ac:dyDescent="0.25">
      <c r="B156" s="14"/>
      <c r="C156" s="14"/>
      <c r="D156" s="14"/>
      <c r="E156" s="14"/>
      <c r="F156" s="14"/>
      <c r="G156" s="14"/>
      <c r="H156" s="14"/>
      <c r="I156" s="14"/>
      <c r="J156" s="14"/>
      <c r="K156" s="14"/>
      <c r="L156" s="14"/>
    </row>
    <row r="157" spans="1:12" x14ac:dyDescent="0.25">
      <c r="B157" s="14"/>
      <c r="C157" s="14"/>
      <c r="D157" s="14"/>
      <c r="E157" s="14"/>
      <c r="F157" s="14"/>
      <c r="G157" s="14"/>
      <c r="H157" s="14"/>
      <c r="I157" s="14"/>
      <c r="J157" s="14"/>
      <c r="K157" s="14"/>
      <c r="L157" s="14"/>
    </row>
    <row r="158" spans="1:12" x14ac:dyDescent="0.25">
      <c r="B158" s="14"/>
      <c r="C158" s="14"/>
      <c r="D158" s="14"/>
      <c r="E158" s="14"/>
      <c r="F158" s="14"/>
      <c r="G158" s="14"/>
      <c r="H158" s="14"/>
      <c r="I158" s="14"/>
      <c r="J158" s="14"/>
      <c r="K158" s="14"/>
      <c r="L158" s="14"/>
    </row>
    <row r="159" spans="1:12" x14ac:dyDescent="0.25">
      <c r="B159" s="14"/>
      <c r="C159" s="14"/>
      <c r="D159" s="14"/>
      <c r="E159" s="14"/>
      <c r="F159" s="14"/>
      <c r="G159" s="14"/>
      <c r="H159" s="14"/>
      <c r="I159" s="14"/>
      <c r="J159" s="14"/>
      <c r="K159" s="14"/>
      <c r="L159" s="14"/>
    </row>
    <row r="160" spans="1:12" x14ac:dyDescent="0.25">
      <c r="B160" s="14"/>
      <c r="C160" s="14"/>
      <c r="D160" s="14"/>
      <c r="E160" s="14"/>
      <c r="F160" s="14"/>
      <c r="G160" s="14"/>
      <c r="H160" s="14"/>
      <c r="I160" s="14"/>
      <c r="J160" s="14"/>
      <c r="K160" s="14"/>
      <c r="L160" s="14"/>
    </row>
    <row r="161" spans="2:12" x14ac:dyDescent="0.25">
      <c r="B161" s="14"/>
      <c r="C161" s="14"/>
      <c r="D161" s="14"/>
      <c r="E161" s="14"/>
      <c r="F161" s="14"/>
      <c r="G161" s="14"/>
      <c r="H161" s="14"/>
      <c r="I161" s="14"/>
      <c r="J161" s="14"/>
      <c r="K161" s="14"/>
      <c r="L161" s="14"/>
    </row>
    <row r="162" spans="2:12" x14ac:dyDescent="0.25">
      <c r="B162" s="14"/>
      <c r="C162" s="14"/>
      <c r="D162" s="14"/>
      <c r="E162" s="14"/>
      <c r="F162" s="14"/>
      <c r="G162" s="14"/>
      <c r="H162" s="14"/>
      <c r="I162" s="14"/>
      <c r="J162" s="14"/>
      <c r="K162" s="14"/>
      <c r="L162" s="14"/>
    </row>
    <row r="163" spans="2:12" x14ac:dyDescent="0.25">
      <c r="B163" s="14"/>
      <c r="C163" s="14"/>
      <c r="D163" s="14"/>
      <c r="E163" s="14"/>
      <c r="F163" s="14"/>
      <c r="G163" s="14"/>
      <c r="H163" s="14"/>
      <c r="I163" s="14"/>
      <c r="J163" s="14"/>
      <c r="K163" s="14"/>
      <c r="L163" s="14"/>
    </row>
    <row r="164" spans="2:12" x14ac:dyDescent="0.25">
      <c r="B164" s="14"/>
      <c r="C164" s="14"/>
      <c r="D164" s="14"/>
      <c r="E164" s="14"/>
      <c r="F164" s="14"/>
      <c r="G164" s="14"/>
      <c r="H164" s="14"/>
      <c r="I164" s="14"/>
      <c r="J164" s="14"/>
      <c r="K164" s="14"/>
      <c r="L164" s="14"/>
    </row>
    <row r="165" spans="2:12" x14ac:dyDescent="0.25">
      <c r="B165" s="14"/>
      <c r="C165" s="14"/>
      <c r="D165" s="14"/>
      <c r="E165" s="14"/>
      <c r="F165" s="14"/>
      <c r="G165" s="14"/>
      <c r="H165" s="14"/>
      <c r="I165" s="14"/>
      <c r="J165" s="14"/>
      <c r="K165" s="14"/>
      <c r="L165" s="14"/>
    </row>
    <row r="166" spans="2:12" x14ac:dyDescent="0.25">
      <c r="B166" s="14"/>
      <c r="C166" s="14"/>
      <c r="D166" s="14"/>
      <c r="E166" s="14"/>
      <c r="F166" s="14"/>
      <c r="G166" s="14"/>
      <c r="H166" s="14"/>
      <c r="I166" s="14"/>
      <c r="J166" s="14"/>
      <c r="K166" s="14"/>
      <c r="L166" s="14"/>
    </row>
    <row r="167" spans="2:12" x14ac:dyDescent="0.25">
      <c r="B167" s="14"/>
      <c r="C167" s="14"/>
      <c r="D167" s="14"/>
      <c r="E167" s="14"/>
      <c r="F167" s="14"/>
      <c r="G167" s="14"/>
      <c r="H167" s="14"/>
      <c r="I167" s="14"/>
      <c r="J167" s="14"/>
      <c r="K167" s="14"/>
      <c r="L167" s="14"/>
    </row>
  </sheetData>
  <sheetProtection sheet="1" objects="1" scenarios="1" formatCells="0" formatColumns="0" formatRows="0" insertColumns="0" insertRows="0"/>
  <mergeCells count="128">
    <mergeCell ref="B31:L31"/>
    <mergeCell ref="B32:L32"/>
    <mergeCell ref="B152:L152"/>
    <mergeCell ref="B153:K153"/>
    <mergeCell ref="B60:L60"/>
    <mergeCell ref="B61:L61"/>
    <mergeCell ref="B62:L62"/>
    <mergeCell ref="B72:L72"/>
    <mergeCell ref="B64:L64"/>
    <mergeCell ref="B91:L91"/>
    <mergeCell ref="C131:D131"/>
    <mergeCell ref="E131:L131"/>
    <mergeCell ref="C128:D128"/>
    <mergeCell ref="B69:L69"/>
    <mergeCell ref="B70:L70"/>
    <mergeCell ref="C87:L87"/>
    <mergeCell ref="C85:L85"/>
    <mergeCell ref="C84:L84"/>
    <mergeCell ref="B146:L146"/>
    <mergeCell ref="B144:L144"/>
    <mergeCell ref="B145:L145"/>
    <mergeCell ref="B103:L103"/>
    <mergeCell ref="B139:L139"/>
    <mergeCell ref="D109:L109"/>
    <mergeCell ref="B2:J2"/>
    <mergeCell ref="B102:L102"/>
    <mergeCell ref="B3:L3"/>
    <mergeCell ref="B82:L82"/>
    <mergeCell ref="B68:L68"/>
    <mergeCell ref="B76:L76"/>
    <mergeCell ref="B77:L77"/>
    <mergeCell ref="B66:L66"/>
    <mergeCell ref="B79:L79"/>
    <mergeCell ref="C86:L86"/>
    <mergeCell ref="B73:L73"/>
    <mergeCell ref="B74:L74"/>
    <mergeCell ref="C89:L89"/>
    <mergeCell ref="B80:L80"/>
    <mergeCell ref="B65:L65"/>
    <mergeCell ref="B67:L67"/>
    <mergeCell ref="B90:L90"/>
    <mergeCell ref="C83:L83"/>
    <mergeCell ref="C88:L88"/>
    <mergeCell ref="B28:L28"/>
    <mergeCell ref="B37:L37"/>
    <mergeCell ref="B29:L29"/>
    <mergeCell ref="B30:L30"/>
    <mergeCell ref="B4:L4"/>
    <mergeCell ref="B7:L7"/>
    <mergeCell ref="B9:L9"/>
    <mergeCell ref="B26:L26"/>
    <mergeCell ref="B27:L27"/>
    <mergeCell ref="B23:L23"/>
    <mergeCell ref="B10:L10"/>
    <mergeCell ref="B13:L13"/>
    <mergeCell ref="B14:L14"/>
    <mergeCell ref="B15:L15"/>
    <mergeCell ref="B12:L12"/>
    <mergeCell ref="B19:L19"/>
    <mergeCell ref="B20:L20"/>
    <mergeCell ref="B21:L21"/>
    <mergeCell ref="B22:L22"/>
    <mergeCell ref="B24:L24"/>
    <mergeCell ref="B25:L25"/>
    <mergeCell ref="B16:L16"/>
    <mergeCell ref="B17:L17"/>
    <mergeCell ref="B11:L11"/>
    <mergeCell ref="B8:L8"/>
    <mergeCell ref="B155:L155"/>
    <mergeCell ref="B105:L105"/>
    <mergeCell ref="B125:L125"/>
    <mergeCell ref="B126:L126"/>
    <mergeCell ref="B122:L122"/>
    <mergeCell ref="B147:K147"/>
    <mergeCell ref="B150:L150"/>
    <mergeCell ref="B135:L135"/>
    <mergeCell ref="E132:L132"/>
    <mergeCell ref="E128:L128"/>
    <mergeCell ref="C129:D129"/>
    <mergeCell ref="E129:L129"/>
    <mergeCell ref="C130:D130"/>
    <mergeCell ref="B148:L148"/>
    <mergeCell ref="B149:K149"/>
    <mergeCell ref="E130:L130"/>
    <mergeCell ref="B142:L142"/>
    <mergeCell ref="D111:L111"/>
    <mergeCell ref="D112:L112"/>
    <mergeCell ref="B110:L110"/>
    <mergeCell ref="B123:L123"/>
    <mergeCell ref="B124:L124"/>
    <mergeCell ref="C127:D127"/>
    <mergeCell ref="E127:L127"/>
    <mergeCell ref="D106:L106"/>
    <mergeCell ref="D107:L107"/>
    <mergeCell ref="D108:L108"/>
    <mergeCell ref="B50:L50"/>
    <mergeCell ref="B51:L51"/>
    <mergeCell ref="C52:L52"/>
    <mergeCell ref="C53:L53"/>
    <mergeCell ref="B59:L59"/>
    <mergeCell ref="B54:L54"/>
    <mergeCell ref="E93:H100"/>
    <mergeCell ref="B75:L75"/>
    <mergeCell ref="B71:L71"/>
    <mergeCell ref="K2:L2"/>
    <mergeCell ref="B92:L92"/>
    <mergeCell ref="B93:D94"/>
    <mergeCell ref="B38:L38"/>
    <mergeCell ref="B44:L44"/>
    <mergeCell ref="B48:L48"/>
    <mergeCell ref="B56:L56"/>
    <mergeCell ref="C57:L57"/>
    <mergeCell ref="C58:L58"/>
    <mergeCell ref="B33:L33"/>
    <mergeCell ref="B34:L34"/>
    <mergeCell ref="B35:L35"/>
    <mergeCell ref="B36:L36"/>
    <mergeCell ref="B45:L45"/>
    <mergeCell ref="B47:L47"/>
    <mergeCell ref="B55:L55"/>
    <mergeCell ref="B49:L49"/>
    <mergeCell ref="B39:L39"/>
    <mergeCell ref="C40:L40"/>
    <mergeCell ref="C41:L41"/>
    <mergeCell ref="D42:L42"/>
    <mergeCell ref="D43:L43"/>
    <mergeCell ref="B5:L5"/>
    <mergeCell ref="B6:L6"/>
  </mergeCells>
  <phoneticPr fontId="12" type="noConversion"/>
  <conditionalFormatting sqref="A142">
    <cfRule type="expression" dxfId="39" priority="1">
      <formula>CONTR_onlyCORSIA=TRUE</formula>
    </cfRule>
  </conditionalFormatting>
  <conditionalFormatting sqref="M142">
    <cfRule type="expression" dxfId="38" priority="2">
      <formula>CONTR_onlyCORSIA=TRUE</formula>
    </cfRule>
  </conditionalFormatting>
  <hyperlinks>
    <hyperlink ref="D107" r:id="rId1" display="http://eur-lex.europa.eu/en/index.htm " xr:uid="{00000000-0004-0000-0100-000000000000}"/>
    <hyperlink ref="B13" r:id="rId2" display="https://eur-lex.europa.eu/eli/reg_del/2019/1603/oj" xr:uid="{00000000-0004-0000-0100-000001000000}"/>
    <hyperlink ref="B21" r:id="rId3" display="https://eur-lex.europa.eu/legal-content/EN/TXT/?uri=CELEX:22017A1207(01)" xr:uid="{00000000-0004-0000-0100-000002000000}"/>
    <hyperlink ref="B15" r:id="rId4" display="http://data.europa.eu/eli/reg_impl/2018/2066/2024-07-01" xr:uid="{00000000-0004-0000-0100-000003000000}"/>
    <hyperlink ref="B7" r:id="rId5" display="http://data.europa.eu/eli/dir/2003/87/2024-03-01" xr:uid="{00000000-0004-0000-0100-000004000000}"/>
    <hyperlink ref="B45" r:id="rId6" display="https://www.icao.int/environmental-protection/CORSIA/Pages/default.aspx" xr:uid="{00000000-0004-0000-0100-000005000000}"/>
    <hyperlink ref="B92:L92" r:id="rId7" display="www.core.admin.ch" xr:uid="{C0EBC48B-E118-4013-B440-584701F2F464}"/>
  </hyperlinks>
  <pageMargins left="0.78740157480314965" right="0.78740157480314965" top="0.78740157480314965" bottom="0.78740157480314965" header="0.39370078740157483" footer="0.39370078740157483"/>
  <pageSetup paperSize="9" scale="58" fitToHeight="2" orientation="portrait" r:id="rId8"/>
  <headerFooter alignWithMargins="0">
    <oddFooter>&amp;L&amp;F&amp;C&amp;A&amp;R&amp;P / &amp;N</oddFooter>
  </headerFooter>
  <rowBreaks count="1" manualBreakCount="1">
    <brk id="11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157"/>
  <sheetViews>
    <sheetView showGridLines="0" topLeftCell="B2" zoomScale="115" zoomScaleNormal="115" zoomScaleSheetLayoutView="140" workbookViewId="0">
      <selection activeCell="C2" sqref="C2"/>
    </sheetView>
  </sheetViews>
  <sheetFormatPr baseColWidth="10" defaultColWidth="11.453125" defaultRowHeight="12.5" x14ac:dyDescent="0.25"/>
  <cols>
    <col min="1" max="1" width="2.81640625" style="185" hidden="1" customWidth="1"/>
    <col min="2" max="2" width="3.1796875" style="54" customWidth="1"/>
    <col min="3" max="3" width="4.1796875" style="54" customWidth="1"/>
    <col min="4" max="11" width="12.54296875" style="54" customWidth="1"/>
    <col min="12" max="12" width="3.1796875" style="54" customWidth="1"/>
    <col min="13" max="13" width="9.1796875" style="118" hidden="1" customWidth="1"/>
    <col min="14" max="16384" width="11.453125" style="54"/>
  </cols>
  <sheetData>
    <row r="1" spans="1:15" hidden="1" x14ac:dyDescent="0.25">
      <c r="A1" s="185" t="s">
        <v>30</v>
      </c>
      <c r="B1" s="185"/>
      <c r="C1" s="185"/>
      <c r="D1" s="185"/>
      <c r="E1" s="185"/>
      <c r="F1" s="185"/>
      <c r="G1" s="185"/>
      <c r="H1" s="185"/>
      <c r="I1" s="185"/>
      <c r="J1" s="185"/>
      <c r="K1" s="185"/>
      <c r="L1" s="185"/>
      <c r="M1" s="118" t="s">
        <v>30</v>
      </c>
    </row>
    <row r="2" spans="1:15" x14ac:dyDescent="0.25">
      <c r="C2" s="100"/>
      <c r="F2" s="109"/>
      <c r="G2" s="109"/>
    </row>
    <row r="3" spans="1:15" ht="30" customHeight="1" x14ac:dyDescent="0.25">
      <c r="C3" s="1112" t="str">
        <f>Translations!$B$876</f>
        <v>GENERAL INFORMATION ABOUT THIS REPORT</v>
      </c>
      <c r="D3" s="1112"/>
      <c r="E3" s="1112"/>
      <c r="F3" s="1112"/>
      <c r="G3" s="1112"/>
      <c r="H3" s="1112"/>
      <c r="I3" s="1112"/>
      <c r="J3" s="1112"/>
      <c r="K3" s="1112"/>
    </row>
    <row r="5" spans="1:15" ht="15.5" x14ac:dyDescent="0.35">
      <c r="C5" s="1013">
        <v>1</v>
      </c>
      <c r="D5" s="1014" t="str">
        <f>Translations!$B$1088</f>
        <v>Reporting Year and Scope</v>
      </c>
      <c r="E5" s="1014"/>
      <c r="F5" s="1014"/>
      <c r="G5" s="1014"/>
      <c r="H5" s="1014"/>
      <c r="I5" s="1014"/>
      <c r="J5" s="1014"/>
      <c r="K5" s="1014"/>
    </row>
    <row r="6" spans="1:15" ht="13" thickBot="1" x14ac:dyDescent="0.3">
      <c r="M6" s="118" t="s">
        <v>31</v>
      </c>
    </row>
    <row r="7" spans="1:15" s="112" customFormat="1" ht="20.25" customHeight="1" thickBot="1" x14ac:dyDescent="0.3">
      <c r="A7" s="129"/>
      <c r="C7" s="113" t="s">
        <v>25</v>
      </c>
      <c r="D7" s="1121" t="str">
        <f>Translations!$B$850</f>
        <v>Reporting year:</v>
      </c>
      <c r="E7" s="1121"/>
      <c r="F7" s="1121"/>
      <c r="G7" s="1121"/>
      <c r="H7" s="1121"/>
      <c r="I7" s="1122">
        <v>2024</v>
      </c>
      <c r="J7" s="1123"/>
      <c r="K7" s="1124"/>
      <c r="M7" s="355">
        <f>IF(I7="","",I7)</f>
        <v>2024</v>
      </c>
    </row>
    <row r="8" spans="1:15" ht="12.75" customHeight="1" x14ac:dyDescent="0.25">
      <c r="B8" s="67"/>
      <c r="C8" s="56"/>
      <c r="D8" s="1116" t="str">
        <f>Translations!$B$878</f>
        <v>This is the year in which the reported aviation activities took place, i.e. 2021 for the report which you submit by 31 March 2022.</v>
      </c>
      <c r="E8" s="1116"/>
      <c r="F8" s="1116"/>
      <c r="G8" s="1116"/>
      <c r="H8" s="1116"/>
      <c r="I8" s="1125"/>
      <c r="J8" s="1125"/>
      <c r="K8" s="1125"/>
    </row>
    <row r="9" spans="1:15" ht="5.15" customHeight="1" x14ac:dyDescent="0.25"/>
    <row r="10" spans="1:15" ht="13" x14ac:dyDescent="0.25">
      <c r="C10" s="113" t="s">
        <v>26</v>
      </c>
      <c r="D10" s="1054" t="str">
        <f>Translations!$B$1089</f>
        <v>Version number of this emission report:</v>
      </c>
      <c r="E10" s="1054"/>
      <c r="F10" s="1054"/>
      <c r="G10" s="1054"/>
      <c r="H10" s="1054"/>
      <c r="I10" s="1054"/>
      <c r="J10" s="1045"/>
      <c r="K10" s="297"/>
    </row>
    <row r="11" spans="1:15" x14ac:dyDescent="0.25">
      <c r="D11" s="1116" t="str">
        <f>Translations!$B$1090</f>
        <v>This should be a natural number (starting from 1) helping the verifier and competent authority to identify the version of the report verified.</v>
      </c>
      <c r="E11" s="1116"/>
      <c r="F11" s="1116"/>
      <c r="G11" s="1116"/>
      <c r="H11" s="1116"/>
      <c r="I11" s="1125"/>
      <c r="J11" s="1125"/>
      <c r="K11" s="1125"/>
    </row>
    <row r="12" spans="1:15" ht="5.15" customHeight="1" x14ac:dyDescent="0.25"/>
    <row r="13" spans="1:15" ht="13" x14ac:dyDescent="0.25">
      <c r="C13" s="113" t="s">
        <v>27</v>
      </c>
      <c r="D13" s="172" t="str">
        <f>Translations!$B$1091</f>
        <v>Language in which this report is filled:</v>
      </c>
      <c r="E13" s="172"/>
      <c r="F13" s="172"/>
      <c r="G13" s="172"/>
      <c r="H13" s="172"/>
      <c r="I13" s="172"/>
      <c r="J13" s="1150" t="s">
        <v>32</v>
      </c>
      <c r="K13" s="1151"/>
      <c r="O13" s="469"/>
    </row>
    <row r="14" spans="1:15" ht="38.25" hidden="1" customHeight="1" x14ac:dyDescent="0.3">
      <c r="D14" s="1131"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1131"/>
      <c r="F14" s="1131"/>
      <c r="G14" s="1131"/>
      <c r="H14" s="1131"/>
      <c r="I14" s="1132"/>
      <c r="J14" s="1132"/>
      <c r="K14" s="1132"/>
    </row>
    <row r="15" spans="1:15" ht="5.15" customHeight="1" x14ac:dyDescent="0.25"/>
    <row r="16" spans="1:15" ht="13" x14ac:dyDescent="0.25">
      <c r="C16" s="113" t="s">
        <v>28</v>
      </c>
      <c r="D16" s="172" t="str">
        <f>Translations!$B$1349</f>
        <v>Has the Art. 28a(4) derogation been used?</v>
      </c>
      <c r="E16" s="172"/>
      <c r="F16" s="172"/>
      <c r="G16" s="172"/>
      <c r="H16" s="172"/>
      <c r="I16" s="172"/>
      <c r="J16" s="172"/>
      <c r="K16" s="296"/>
    </row>
    <row r="17" spans="2:15" ht="38.25" customHeight="1" x14ac:dyDescent="0.25">
      <c r="D17" s="1135"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1135"/>
      <c r="F17" s="1135"/>
      <c r="G17" s="1135"/>
      <c r="H17" s="1135"/>
      <c r="I17" s="1135"/>
      <c r="J17" s="1135"/>
      <c r="K17" s="1135"/>
      <c r="L17" s="192"/>
      <c r="O17" s="469"/>
    </row>
    <row r="18" spans="2:15" ht="25.5" hidden="1" customHeight="1" x14ac:dyDescent="0.25">
      <c r="D18" s="1135" t="str">
        <f>Translations!$B$1315</f>
        <v>Note that for the purposes of the EU ETS, the threshold applies to the sum of all flights within EEA, outgoing from EEA and incoming to EEA, including those incoming from Switzerland and the UK.</v>
      </c>
      <c r="E18" s="1034"/>
      <c r="F18" s="1034"/>
      <c r="G18" s="1034"/>
      <c r="H18" s="1034"/>
      <c r="I18" s="1034"/>
      <c r="J18" s="1034"/>
      <c r="K18" s="1034"/>
      <c r="L18" s="192"/>
      <c r="O18" s="469"/>
    </row>
    <row r="19" spans="2:15" ht="38.25" customHeight="1" x14ac:dyDescent="0.25">
      <c r="D19" s="1135"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1135"/>
      <c r="F19" s="1135"/>
      <c r="G19" s="1135"/>
      <c r="H19" s="1135"/>
      <c r="I19" s="1135"/>
      <c r="J19" s="1135"/>
      <c r="K19" s="1135"/>
      <c r="L19" s="192"/>
      <c r="O19" s="275"/>
    </row>
    <row r="20" spans="2:15" ht="5.15" customHeight="1" x14ac:dyDescent="0.25"/>
    <row r="21" spans="2:15" hidden="1" x14ac:dyDescent="0.25">
      <c r="B21" s="290"/>
      <c r="C21" s="290"/>
      <c r="D21" s="290"/>
      <c r="E21" s="290"/>
      <c r="F21" s="290"/>
      <c r="G21" s="290"/>
      <c r="H21" s="290"/>
      <c r="I21" s="290"/>
      <c r="J21" s="290"/>
      <c r="K21" s="290"/>
      <c r="L21" s="290"/>
    </row>
    <row r="22" spans="2:15" ht="13" hidden="1" x14ac:dyDescent="0.3">
      <c r="B22" s="290"/>
      <c r="D22" s="74" t="str">
        <f>Translations!$B$1096</f>
        <v>Scope: EU ETS and/or CORSIA:</v>
      </c>
      <c r="L22" s="290"/>
    </row>
    <row r="23" spans="2:15" hidden="1" x14ac:dyDescent="0.25">
      <c r="B23" s="290"/>
      <c r="D23" s="1148" t="str">
        <f>Translations!$B$1097</f>
        <v>Note: If this section is kept empty, it is automatically assumed that this report is filled for EU ETS only.</v>
      </c>
      <c r="E23" s="1062"/>
      <c r="F23" s="1062"/>
      <c r="G23" s="1062"/>
      <c r="H23" s="1062"/>
      <c r="I23" s="1062"/>
      <c r="J23" s="1062"/>
      <c r="K23" s="1062"/>
      <c r="L23" s="290"/>
    </row>
    <row r="24" spans="2:15" ht="5.15" hidden="1" customHeight="1" x14ac:dyDescent="0.25">
      <c r="B24" s="290"/>
      <c r="L24" s="290"/>
    </row>
    <row r="25" spans="2:15" ht="25.5" hidden="1" customHeight="1" x14ac:dyDescent="0.25">
      <c r="B25" s="290"/>
      <c r="D25" s="1058" t="str">
        <f>Translations!$B$1432</f>
        <v xml:space="preserve">If you have an obligation under CORSIA to the same state as under the EU ETS, you should fill in the sections of this template which are marked as relating to ICAO's market based mechanism CORSIA (indicated by a light blue frame). </v>
      </c>
      <c r="E25" s="1045"/>
      <c r="F25" s="1045"/>
      <c r="G25" s="1045"/>
      <c r="H25" s="1045"/>
      <c r="I25" s="1045"/>
      <c r="J25" s="1045"/>
      <c r="K25" s="1045"/>
      <c r="L25" s="288"/>
      <c r="M25" s="356"/>
    </row>
    <row r="26" spans="2:15" ht="53.15" hidden="1" customHeight="1" x14ac:dyDescent="0.25">
      <c r="B26" s="290"/>
      <c r="D26" s="1067" t="str">
        <f>Translations!$B$1433</f>
        <v>In accordance with sub-paragraphs 3 and 4 of Article 12(6) of the EU ETS Directive, you have an obligation to report CORSIA data, if you hold an air operator certificate issued by a Member State or are registered in a Member State, including in the outermost regions, dependencies and territories of that Member State. The CORSIA delegated act specifies which is the administering Member State.</v>
      </c>
      <c r="E26" s="1034"/>
      <c r="F26" s="1034"/>
      <c r="G26" s="1034"/>
      <c r="H26" s="1034"/>
      <c r="I26" s="1034"/>
      <c r="J26" s="1034"/>
      <c r="K26" s="1034"/>
      <c r="L26" s="288"/>
      <c r="M26" s="356"/>
    </row>
    <row r="27" spans="2:15" ht="79.400000000000006" hidden="1" customHeight="1" x14ac:dyDescent="0.25">
      <c r="B27" s="290"/>
      <c r="D27" s="1058" t="str">
        <f>Translations!$B$1434</f>
        <v>An obligation under CORSIA is given only if you are producing annual CO2 emissions greater than 10,000 tonnes from international flights conducted by aeroplanes with a maximum certificated take-off mass greater than 5,700 kg from 1 January 2019, with the exception of state and military flights, humanitarian, medical and firefighting flights as well as flights preceding or following humanitarian, medical or firefighting flights provided that such flights were conducted with the same aircraft and were required to accomplish the related humanitarian, medical or firefighting activities or to reposition the aircraft after those activities for its next activity.</v>
      </c>
      <c r="E27" s="1058"/>
      <c r="F27" s="1058"/>
      <c r="G27" s="1058"/>
      <c r="H27" s="1058"/>
      <c r="I27" s="1058"/>
      <c r="J27" s="1058"/>
      <c r="K27" s="1058"/>
      <c r="L27" s="288"/>
      <c r="M27" s="356"/>
    </row>
    <row r="28" spans="2:15" ht="39.65" hidden="1" customHeight="1" x14ac:dyDescent="0.25">
      <c r="B28" s="290"/>
      <c r="D28" s="1058" t="str">
        <f>Translations!$B$1435</f>
        <v>If for CORSIA purposes you are attributed to another state, you have to report the data relevant for CORSIA to that state. Therefore please get in touch with the relevant competent authority of that state for further instructions on the need to deliver an annual emissions report.</v>
      </c>
      <c r="E28" s="1058"/>
      <c r="F28" s="1058"/>
      <c r="G28" s="1058"/>
      <c r="H28" s="1058"/>
      <c r="I28" s="1058"/>
      <c r="J28" s="1058"/>
      <c r="K28" s="1058"/>
      <c r="L28" s="288"/>
      <c r="M28" s="356" t="s">
        <v>33</v>
      </c>
    </row>
    <row r="29" spans="2:15" ht="5.15" hidden="1" customHeight="1" x14ac:dyDescent="0.25">
      <c r="B29" s="290"/>
      <c r="D29" s="1"/>
      <c r="E29" s="1"/>
      <c r="F29" s="1"/>
      <c r="G29" s="1"/>
      <c r="H29" s="1"/>
      <c r="I29" s="1"/>
      <c r="J29" s="1"/>
      <c r="K29" s="1"/>
      <c r="L29" s="288"/>
      <c r="M29" s="356"/>
    </row>
    <row r="30" spans="2:15" ht="13.5" hidden="1" customHeight="1" x14ac:dyDescent="0.25">
      <c r="B30" s="290"/>
      <c r="C30" s="113" t="s">
        <v>29</v>
      </c>
      <c r="D30" s="1054" t="str">
        <f>Translations!$B$1102</f>
        <v>Please confirm if you want to use this emission report for CORSIA:</v>
      </c>
      <c r="E30" s="1054"/>
      <c r="F30" s="1054"/>
      <c r="G30" s="1054"/>
      <c r="H30" s="1054"/>
      <c r="I30" s="1054"/>
      <c r="J30" s="1045"/>
      <c r="K30" s="296"/>
      <c r="L30" s="288"/>
      <c r="M30" s="357" t="b">
        <f>IF(ISBLANK(K30),TRUE,K30)</f>
        <v>1</v>
      </c>
    </row>
    <row r="31" spans="2:15" ht="5.15" hidden="1" customHeight="1" x14ac:dyDescent="0.25">
      <c r="B31" s="290"/>
      <c r="D31" s="1"/>
      <c r="E31" s="1"/>
      <c r="F31" s="1"/>
      <c r="G31" s="1"/>
      <c r="H31" s="1"/>
      <c r="I31" s="1"/>
      <c r="J31" s="1"/>
      <c r="K31" s="1"/>
      <c r="L31" s="288"/>
      <c r="M31" s="356"/>
    </row>
    <row r="32" spans="2:15" ht="13.5" hidden="1" customHeight="1" x14ac:dyDescent="0.25">
      <c r="B32" s="290"/>
      <c r="C32" s="113" t="s">
        <v>34</v>
      </c>
      <c r="D32" s="1068" t="str">
        <f>Translations!$B$1103</f>
        <v>Are you required to comply with CORSIA in another state?</v>
      </c>
      <c r="E32" s="1069"/>
      <c r="F32" s="1069"/>
      <c r="G32" s="1069"/>
      <c r="H32" s="1069"/>
      <c r="I32" s="1069"/>
      <c r="J32" s="1069"/>
      <c r="K32" s="296"/>
      <c r="L32" s="288"/>
      <c r="M32" s="357" t="b">
        <f>(K30=TRUE)</f>
        <v>0</v>
      </c>
    </row>
    <row r="33" spans="2:13" ht="5.15" hidden="1" customHeight="1" x14ac:dyDescent="0.25">
      <c r="B33" s="290"/>
      <c r="D33" s="1"/>
      <c r="E33" s="1"/>
      <c r="F33" s="1"/>
      <c r="G33" s="1"/>
      <c r="H33" s="1"/>
      <c r="I33" s="1"/>
      <c r="J33" s="1"/>
      <c r="K33" s="1"/>
      <c r="L33" s="288"/>
      <c r="M33" s="356"/>
    </row>
    <row r="34" spans="2:13" ht="12.75" hidden="1" customHeight="1" x14ac:dyDescent="0.25">
      <c r="B34" s="290"/>
      <c r="C34" s="113" t="s">
        <v>35</v>
      </c>
      <c r="D34" s="1144" t="str">
        <f>Translations!$B$1104</f>
        <v>Please confirm to which other state you will report under CORSIA:</v>
      </c>
      <c r="E34" s="1145"/>
      <c r="F34" s="1145"/>
      <c r="G34" s="1145"/>
      <c r="H34" s="1146"/>
      <c r="I34" s="1136"/>
      <c r="J34" s="1137"/>
      <c r="K34" s="1138"/>
      <c r="L34" s="288"/>
      <c r="M34" s="357" t="b">
        <f>OR(K30=TRUE,AND(NOT(ISBLANK(K32)),K32=FALSE))</f>
        <v>0</v>
      </c>
    </row>
    <row r="35" spans="2:13" ht="5.15" hidden="1" customHeight="1" x14ac:dyDescent="0.25">
      <c r="B35" s="290"/>
      <c r="D35" s="1"/>
      <c r="E35" s="1"/>
      <c r="F35" s="1"/>
      <c r="G35" s="1"/>
      <c r="H35" s="1"/>
      <c r="I35" s="1"/>
      <c r="J35" s="1"/>
      <c r="K35" s="1"/>
      <c r="L35" s="288"/>
      <c r="M35" s="356"/>
    </row>
    <row r="36" spans="2:13" ht="25.5" hidden="1" customHeight="1" x14ac:dyDescent="0.25">
      <c r="B36" s="290"/>
      <c r="D36" s="1058" t="str">
        <f>Translations!$B$1105</f>
        <v>Some aircraft operators have an obligation under CORSIA only, i.e. no obligation under the EU ETS. If you are filling this emissions report for CORSIA purposes only, please confirm below that this is the case.</v>
      </c>
      <c r="E36" s="1058"/>
      <c r="F36" s="1058"/>
      <c r="G36" s="1058"/>
      <c r="H36" s="1058"/>
      <c r="I36" s="1058"/>
      <c r="J36" s="1058"/>
      <c r="K36" s="1058"/>
      <c r="L36" s="288"/>
      <c r="M36" s="358" t="s">
        <v>36</v>
      </c>
    </row>
    <row r="37" spans="2:13" ht="5.15" hidden="1" customHeight="1" x14ac:dyDescent="0.25">
      <c r="B37" s="290"/>
      <c r="D37" s="1"/>
      <c r="E37" s="1"/>
      <c r="F37" s="1"/>
      <c r="G37" s="1"/>
      <c r="H37" s="1"/>
      <c r="I37" s="1"/>
      <c r="J37" s="1"/>
      <c r="K37" s="1"/>
      <c r="L37" s="288"/>
      <c r="M37" s="356"/>
    </row>
    <row r="38" spans="2:13" ht="13.5" hidden="1" customHeight="1" x14ac:dyDescent="0.25">
      <c r="B38" s="290"/>
      <c r="C38" s="113" t="s">
        <v>37</v>
      </c>
      <c r="D38" s="1054" t="str">
        <f>Translations!$B$1106</f>
        <v>Please confirm if you have an obligation under the EU ETS:</v>
      </c>
      <c r="E38" s="1054"/>
      <c r="F38" s="1054"/>
      <c r="G38" s="1054"/>
      <c r="H38" s="1054"/>
      <c r="I38" s="1054"/>
      <c r="J38" s="12"/>
      <c r="K38" s="296"/>
      <c r="L38" s="288"/>
      <c r="M38" s="357" t="b">
        <f>IF(ISBLANK(K38),FALSE,NOT(K38))</f>
        <v>0</v>
      </c>
    </row>
    <row r="39" spans="2:13" ht="5.15" hidden="1" customHeight="1" x14ac:dyDescent="0.25">
      <c r="B39" s="290"/>
      <c r="L39" s="290"/>
    </row>
    <row r="40" spans="2:13" hidden="1" x14ac:dyDescent="0.25">
      <c r="B40" s="290"/>
      <c r="C40" s="290"/>
      <c r="D40" s="290"/>
      <c r="E40" s="290"/>
      <c r="F40" s="290"/>
      <c r="G40" s="290"/>
      <c r="H40" s="290"/>
      <c r="I40" s="290"/>
      <c r="J40" s="290"/>
      <c r="K40" s="290"/>
      <c r="L40" s="290"/>
    </row>
    <row r="42" spans="2:13" ht="15.5" x14ac:dyDescent="0.35">
      <c r="C42" s="1013">
        <v>2</v>
      </c>
      <c r="D42" s="1014" t="str">
        <f>Translations!$B$879</f>
        <v>Identification of the Aircraft Operator</v>
      </c>
      <c r="E42" s="1014"/>
      <c r="F42" s="1014"/>
      <c r="G42" s="1014"/>
      <c r="H42" s="1014"/>
      <c r="I42" s="1014"/>
      <c r="J42" s="1014"/>
      <c r="K42" s="1014"/>
    </row>
    <row r="44" spans="2:13" ht="13" x14ac:dyDescent="0.25">
      <c r="C44" s="58" t="s">
        <v>25</v>
      </c>
      <c r="D44" s="1117" t="str">
        <f>Translations!$B$101</f>
        <v>Please enter the name of the aircraft operator:</v>
      </c>
      <c r="E44" s="1117"/>
      <c r="F44" s="1117"/>
      <c r="G44" s="1117"/>
      <c r="H44" s="1046"/>
      <c r="I44" s="1118"/>
      <c r="J44" s="1119"/>
      <c r="K44" s="1120"/>
    </row>
    <row r="45" spans="2:13" x14ac:dyDescent="0.25">
      <c r="B45" s="67"/>
      <c r="C45" s="56"/>
      <c r="D45" s="1116" t="str">
        <f>Translations!$B$880</f>
        <v>This name should be the legal entity carrying out the aviation activities.</v>
      </c>
      <c r="E45" s="1116"/>
      <c r="F45" s="1116"/>
      <c r="G45" s="1116"/>
      <c r="H45" s="1116"/>
      <c r="I45" s="1125"/>
      <c r="J45" s="1125"/>
      <c r="K45" s="1125"/>
    </row>
    <row r="46" spans="2:13" ht="12.75" customHeight="1" x14ac:dyDescent="0.25">
      <c r="B46" s="67"/>
      <c r="C46" s="57" t="s">
        <v>26</v>
      </c>
      <c r="D46" s="1117" t="str">
        <f>Translations!$B$104</f>
        <v>Unique Identifier as stated in the Commission's list of aircraft operators:</v>
      </c>
      <c r="E46" s="1117"/>
      <c r="F46" s="1117"/>
      <c r="G46" s="1117"/>
      <c r="H46" s="1117"/>
      <c r="I46" s="1117"/>
      <c r="J46" s="1117"/>
      <c r="K46" s="1117"/>
    </row>
    <row r="47" spans="2:13" ht="38.25" customHeight="1" x14ac:dyDescent="0.25">
      <c r="B47" s="67"/>
      <c r="C47" s="56"/>
      <c r="D47" s="1116" t="str">
        <f>Translations!$B$1107</f>
        <v>This identifier can be found on the list published by the Commission pursuant to Article 18a(3) of the EU ETS Directive. If the aircraft operator is not yet listed, please state "NA" (not applicable).</v>
      </c>
      <c r="E47" s="1116"/>
      <c r="F47" s="1116"/>
      <c r="G47" s="1116"/>
      <c r="H47" s="1116"/>
      <c r="I47" s="1113"/>
      <c r="J47" s="1114"/>
      <c r="K47" s="1115"/>
    </row>
    <row r="49" spans="2:14" ht="27" customHeight="1" x14ac:dyDescent="0.25">
      <c r="B49" s="67"/>
      <c r="C49" s="58" t="s">
        <v>38</v>
      </c>
      <c r="D49" s="1117" t="str">
        <f>Translations!$B$113</f>
        <v>If different to the name given in 2(a), please also enter the name of the aircraft operator as it appears on the Commission's list of operators:</v>
      </c>
      <c r="E49" s="1117"/>
      <c r="F49" s="1117"/>
      <c r="G49" s="1117"/>
      <c r="H49" s="1117"/>
      <c r="I49" s="1117"/>
      <c r="J49" s="1117"/>
      <c r="K49" s="1117"/>
    </row>
    <row r="50" spans="2:14" ht="33.75" customHeight="1" x14ac:dyDescent="0.25">
      <c r="B50" s="67"/>
      <c r="C50" s="56"/>
      <c r="D50" s="1116" t="str">
        <f>Translations!$B$1108</f>
        <v>The name of the aircraft operator on the list pursuant to Article 18a(3) of the EU ETS Directive may be different to the actual aircraft operator's name entered in 2(a) above. Keep empty, if not applicable.</v>
      </c>
      <c r="E50" s="1116"/>
      <c r="F50" s="1116"/>
      <c r="G50" s="1116"/>
      <c r="H50" s="1116"/>
      <c r="I50" s="1113"/>
      <c r="J50" s="1114"/>
      <c r="K50" s="1115"/>
    </row>
    <row r="52" spans="2:14" ht="29.25" customHeight="1" x14ac:dyDescent="0.25">
      <c r="B52" s="67"/>
      <c r="C52" s="58" t="s">
        <v>39</v>
      </c>
      <c r="D52" s="1117" t="str">
        <f>Translations!$B$115</f>
        <v>Please enter the unique ICAO designator used in the call sign for Air Traffic Control (ATC) purposes, where available:</v>
      </c>
      <c r="E52" s="1117"/>
      <c r="F52" s="1117"/>
      <c r="G52" s="1117"/>
      <c r="H52" s="1117"/>
      <c r="I52" s="1117"/>
      <c r="J52" s="1117"/>
      <c r="K52" s="1117"/>
    </row>
    <row r="53" spans="2:14" ht="20.25" customHeight="1" x14ac:dyDescent="0.25">
      <c r="C53" s="56"/>
      <c r="D53" s="1116"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1116"/>
      <c r="F53" s="1116"/>
      <c r="G53" s="1116"/>
      <c r="H53" s="1116"/>
      <c r="I53" s="1118"/>
      <c r="J53" s="1119"/>
      <c r="K53" s="1120"/>
    </row>
    <row r="54" spans="2:14" ht="31.5" customHeight="1" x14ac:dyDescent="0.25">
      <c r="C54" s="56"/>
      <c r="D54" s="1116"/>
      <c r="E54" s="1116"/>
      <c r="F54" s="1116"/>
      <c r="G54" s="1116"/>
      <c r="H54" s="1116"/>
    </row>
    <row r="55" spans="2:14" ht="27.75" customHeight="1" x14ac:dyDescent="0.25">
      <c r="B55" s="67"/>
      <c r="C55" s="58" t="s">
        <v>40</v>
      </c>
      <c r="D55" s="1117" t="str">
        <f>Translations!$B$117</f>
        <v>Where a unique ICAO designator for ATC purposes is not available, please provide the aircraft registration markings used in the call sign for ATC purposes for the aircraft you operate.</v>
      </c>
      <c r="E55" s="1117"/>
      <c r="F55" s="1117"/>
      <c r="G55" s="1117"/>
      <c r="H55" s="1117"/>
      <c r="I55" s="1117"/>
      <c r="J55" s="1117"/>
      <c r="K55" s="1117"/>
      <c r="M55" s="118" t="s">
        <v>41</v>
      </c>
    </row>
    <row r="56" spans="2:14" ht="51.75" customHeight="1" x14ac:dyDescent="0.25">
      <c r="B56" s="67"/>
      <c r="C56" s="56"/>
      <c r="D56" s="1116"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1142"/>
      <c r="F56" s="1142"/>
      <c r="G56" s="1142"/>
      <c r="H56" s="1143"/>
      <c r="I56" s="1118"/>
      <c r="J56" s="1126"/>
      <c r="K56" s="1127"/>
      <c r="M56" s="116" t="b">
        <f>IF($I$53="",FALSE,IF($I$53=Euconst_NA,FALSE,TRUE))</f>
        <v>0</v>
      </c>
    </row>
    <row r="58" spans="2:14" ht="13" x14ac:dyDescent="0.25">
      <c r="C58" s="58" t="s">
        <v>34</v>
      </c>
      <c r="D58" s="1134" t="str">
        <f>Translations!$B$120</f>
        <v>Administering State under the One-Stop-Shop:</v>
      </c>
      <c r="E58" s="1134"/>
      <c r="F58" s="1134"/>
      <c r="G58" s="1134"/>
      <c r="H58" s="1134"/>
      <c r="I58" s="1134"/>
      <c r="J58" s="1134"/>
      <c r="K58" s="1134"/>
    </row>
    <row r="59" spans="2:14" x14ac:dyDescent="0.25">
      <c r="C59" s="59"/>
      <c r="D59" s="1116" t="str">
        <f>Translations!$B$121</f>
        <v xml:space="preserve"> </v>
      </c>
      <c r="E59" s="1116"/>
      <c r="F59" s="1116"/>
      <c r="G59" s="1116"/>
      <c r="H59" s="1116"/>
      <c r="I59" s="1128" t="s">
        <v>938</v>
      </c>
      <c r="J59" s="1129"/>
      <c r="K59" s="1130"/>
      <c r="N59" s="469"/>
    </row>
    <row r="60" spans="2:14" ht="13" x14ac:dyDescent="0.25">
      <c r="C60" s="59"/>
      <c r="D60" s="60"/>
      <c r="E60" s="60"/>
      <c r="F60" s="60"/>
      <c r="G60" s="60"/>
      <c r="H60" s="60"/>
      <c r="I60" s="61"/>
      <c r="J60" s="61"/>
      <c r="K60" s="61"/>
    </row>
    <row r="61" spans="2:14" ht="13" x14ac:dyDescent="0.25">
      <c r="C61" s="58" t="s">
        <v>35</v>
      </c>
      <c r="D61" s="1133" t="str">
        <f>Translations!$B$122</f>
        <v>Competent authority:</v>
      </c>
      <c r="E61" s="1133"/>
      <c r="F61" s="1133"/>
      <c r="G61" s="1133"/>
      <c r="H61" s="1133"/>
      <c r="I61" s="1128" t="s">
        <v>2032</v>
      </c>
      <c r="J61" s="1129"/>
      <c r="K61" s="1130"/>
      <c r="N61" s="469"/>
    </row>
    <row r="62" spans="2:14" ht="30.75" customHeight="1" x14ac:dyDescent="0.25">
      <c r="C62" s="59"/>
      <c r="D62" s="1116" t="str">
        <f>Translations!$B$123</f>
        <v xml:space="preserve"> </v>
      </c>
      <c r="E62" s="1116"/>
      <c r="F62" s="1116"/>
      <c r="G62" s="1116"/>
      <c r="H62" s="1116"/>
      <c r="I62" s="1125"/>
      <c r="J62" s="1125"/>
      <c r="K62" s="1125"/>
    </row>
    <row r="63" spans="2:14" ht="25.5" customHeight="1" x14ac:dyDescent="0.25">
      <c r="C63" s="58" t="s">
        <v>37</v>
      </c>
      <c r="D63" s="1134" t="str">
        <f>Translations!$B$124</f>
        <v>Please enter the number and issuing authority of the Air Operator Certificate (AOC) and Operating Licence granted by a Member State if available:</v>
      </c>
      <c r="E63" s="1134"/>
      <c r="F63" s="1134"/>
      <c r="G63" s="1134"/>
      <c r="H63" s="1134"/>
      <c r="I63" s="1134"/>
      <c r="J63" s="1134"/>
      <c r="K63" s="1134"/>
    </row>
    <row r="64" spans="2:14" ht="13.4" customHeight="1" x14ac:dyDescent="0.25">
      <c r="C64" s="56"/>
      <c r="D64" s="1139" t="str">
        <f>Translations!$B$1109</f>
        <v>If you don't find the appropriate name of the issueing authority in the drop-down list, you can enter ist name like in a normal text field.</v>
      </c>
      <c r="E64" s="1139"/>
      <c r="F64" s="1139"/>
      <c r="G64" s="1139"/>
      <c r="H64" s="1139"/>
      <c r="I64" s="1139"/>
      <c r="J64" s="1139"/>
      <c r="K64" s="1139"/>
    </row>
    <row r="65" spans="3:11" ht="13" x14ac:dyDescent="0.25">
      <c r="C65" s="62"/>
      <c r="F65" s="57" t="str">
        <f>Translations!$B$125</f>
        <v>Air Operator Certificate:</v>
      </c>
      <c r="H65" s="106"/>
      <c r="I65" s="1118"/>
      <c r="J65" s="1119"/>
      <c r="K65" s="1120"/>
    </row>
    <row r="66" spans="3:11" ht="13" x14ac:dyDescent="0.25">
      <c r="F66" s="57" t="str">
        <f>Translations!$B$126</f>
        <v>AOC issuing authority:</v>
      </c>
      <c r="H66" s="106"/>
      <c r="I66" s="1118"/>
      <c r="J66" s="1119"/>
      <c r="K66" s="1120"/>
    </row>
    <row r="67" spans="3:11" ht="13" x14ac:dyDescent="0.25">
      <c r="C67" s="62"/>
      <c r="F67" s="57" t="str">
        <f>Translations!$B$127</f>
        <v>Operating Licence:</v>
      </c>
      <c r="H67" s="106"/>
      <c r="I67" s="1118"/>
      <c r="J67" s="1119"/>
      <c r="K67" s="1120"/>
    </row>
    <row r="68" spans="3:11" ht="13" x14ac:dyDescent="0.25">
      <c r="F68" s="57" t="str">
        <f>Translations!$B$128</f>
        <v>Issuing authority:</v>
      </c>
      <c r="H68" s="106"/>
      <c r="I68" s="1118"/>
      <c r="J68" s="1119"/>
      <c r="K68" s="1120"/>
    </row>
    <row r="69" spans="3:11" ht="13" x14ac:dyDescent="0.25">
      <c r="C69" s="62"/>
      <c r="G69" s="63"/>
      <c r="H69" s="106"/>
      <c r="I69" s="61"/>
      <c r="J69" s="61"/>
      <c r="K69" s="61"/>
    </row>
    <row r="70" spans="3:11" ht="15.75" customHeight="1" x14ac:dyDescent="0.25">
      <c r="C70" s="61" t="s">
        <v>43</v>
      </c>
      <c r="D70" s="1134" t="str">
        <f>Translations!$B$129</f>
        <v>Please enter the address of the aircraft operator, including postcode and country:</v>
      </c>
      <c r="E70" s="1134"/>
      <c r="F70" s="1134"/>
      <c r="G70" s="1134"/>
      <c r="H70" s="1134"/>
      <c r="I70" s="1134"/>
      <c r="J70" s="1134"/>
      <c r="K70" s="1134"/>
    </row>
    <row r="71" spans="3:11" ht="13" x14ac:dyDescent="0.25">
      <c r="C71" s="62"/>
      <c r="D71" s="60"/>
      <c r="E71" s="60"/>
      <c r="F71" s="57" t="str">
        <f>Translations!$B$130</f>
        <v>Address Line 1</v>
      </c>
      <c r="H71" s="106"/>
      <c r="I71" s="1118"/>
      <c r="J71" s="1119"/>
      <c r="K71" s="1120"/>
    </row>
    <row r="72" spans="3:11" ht="13" x14ac:dyDescent="0.25">
      <c r="C72" s="62"/>
      <c r="D72" s="60"/>
      <c r="E72" s="60"/>
      <c r="F72" s="57" t="str">
        <f>Translations!$B$131</f>
        <v>Address Line 2</v>
      </c>
      <c r="H72" s="106"/>
      <c r="I72" s="1118"/>
      <c r="J72" s="1119"/>
      <c r="K72" s="1120"/>
    </row>
    <row r="73" spans="3:11" ht="13" x14ac:dyDescent="0.25">
      <c r="C73" s="62"/>
      <c r="D73" s="60"/>
      <c r="E73" s="60"/>
      <c r="F73" s="57" t="str">
        <f>Translations!$B$132</f>
        <v>City</v>
      </c>
      <c r="H73" s="106"/>
      <c r="I73" s="1118"/>
      <c r="J73" s="1119"/>
      <c r="K73" s="1120"/>
    </row>
    <row r="74" spans="3:11" ht="13" x14ac:dyDescent="0.25">
      <c r="C74" s="62"/>
      <c r="D74" s="60"/>
      <c r="E74" s="60"/>
      <c r="F74" s="57" t="str">
        <f>Translations!$B$133</f>
        <v>State/Province/Region</v>
      </c>
      <c r="H74" s="106"/>
      <c r="I74" s="1118"/>
      <c r="J74" s="1119"/>
      <c r="K74" s="1120"/>
    </row>
    <row r="75" spans="3:11" ht="13" x14ac:dyDescent="0.25">
      <c r="C75" s="62"/>
      <c r="D75" s="56"/>
      <c r="E75" s="56"/>
      <c r="F75" s="57" t="str">
        <f>Translations!$B$134</f>
        <v>Postcode/ZIP</v>
      </c>
      <c r="H75" s="106"/>
      <c r="I75" s="1118"/>
      <c r="J75" s="1119"/>
      <c r="K75" s="1120"/>
    </row>
    <row r="76" spans="3:11" ht="13" x14ac:dyDescent="0.25">
      <c r="C76" s="62"/>
      <c r="D76" s="56"/>
      <c r="E76" s="56"/>
      <c r="F76" s="57" t="str">
        <f>Translations!$B$135</f>
        <v>Country</v>
      </c>
      <c r="H76" s="106"/>
      <c r="I76" s="1118"/>
      <c r="J76" s="1119"/>
      <c r="K76" s="1120"/>
    </row>
    <row r="77" spans="3:11" ht="13" x14ac:dyDescent="0.25">
      <c r="C77" s="62"/>
      <c r="D77" s="56"/>
      <c r="E77" s="56"/>
      <c r="F77" s="57" t="str">
        <f>Translations!$B$883</f>
        <v>Telephone Number:</v>
      </c>
      <c r="H77" s="106"/>
      <c r="I77" s="1118"/>
      <c r="J77" s="1119"/>
      <c r="K77" s="1120"/>
    </row>
    <row r="78" spans="3:11" ht="13" x14ac:dyDescent="0.25">
      <c r="C78" s="62"/>
      <c r="D78" s="56"/>
      <c r="E78" s="56"/>
      <c r="F78" s="57" t="str">
        <f>Translations!$B$136</f>
        <v>Email address</v>
      </c>
      <c r="H78" s="106"/>
      <c r="I78" s="1118"/>
      <c r="J78" s="1119"/>
      <c r="K78" s="1120"/>
    </row>
    <row r="79" spans="3:11" ht="13" x14ac:dyDescent="0.25">
      <c r="C79" s="62"/>
      <c r="G79" s="63"/>
      <c r="H79" s="106"/>
      <c r="I79" s="61"/>
      <c r="J79" s="61"/>
      <c r="K79" s="61"/>
    </row>
    <row r="80" spans="3:11" ht="13" x14ac:dyDescent="0.25">
      <c r="C80" s="58" t="s">
        <v>44</v>
      </c>
      <c r="D80" s="1147" t="str">
        <f>Translations!$B$884</f>
        <v>Who can we contact about your annual emission report?</v>
      </c>
      <c r="E80" s="1147"/>
      <c r="F80" s="1147"/>
      <c r="G80" s="1147"/>
      <c r="H80" s="1147"/>
      <c r="I80" s="1147"/>
      <c r="J80" s="1147"/>
      <c r="K80" s="1147"/>
    </row>
    <row r="81" spans="2:11" ht="26.25" customHeight="1" x14ac:dyDescent="0.25">
      <c r="C81" s="56"/>
      <c r="D81" s="1139"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1139"/>
      <c r="F81" s="1139"/>
      <c r="G81" s="1139"/>
      <c r="H81" s="1139"/>
      <c r="I81" s="1139"/>
      <c r="J81" s="1139"/>
      <c r="K81" s="1139"/>
    </row>
    <row r="82" spans="2:11" ht="13" x14ac:dyDescent="0.25">
      <c r="C82" s="56"/>
      <c r="E82" s="56"/>
      <c r="F82" s="58" t="str">
        <f>Translations!$B$151</f>
        <v>Title:</v>
      </c>
      <c r="I82" s="1118"/>
      <c r="J82" s="1119"/>
      <c r="K82" s="1120"/>
    </row>
    <row r="83" spans="2:11" ht="13" x14ac:dyDescent="0.25">
      <c r="C83" s="56"/>
      <c r="E83" s="56"/>
      <c r="F83" s="58" t="str">
        <f>Translations!$B$152</f>
        <v>First Name:</v>
      </c>
      <c r="I83" s="1118"/>
      <c r="J83" s="1119"/>
      <c r="K83" s="1120"/>
    </row>
    <row r="84" spans="2:11" ht="13" x14ac:dyDescent="0.25">
      <c r="C84" s="56"/>
      <c r="E84" s="56"/>
      <c r="F84" s="58" t="str">
        <f>Translations!$B$153</f>
        <v>Surname:</v>
      </c>
      <c r="I84" s="1118"/>
      <c r="J84" s="1119"/>
      <c r="K84" s="1120"/>
    </row>
    <row r="85" spans="2:11" ht="13" x14ac:dyDescent="0.25">
      <c r="C85" s="56"/>
      <c r="E85" s="56"/>
      <c r="F85" s="58" t="str">
        <f>Translations!$B$154</f>
        <v>Job title:</v>
      </c>
      <c r="I85" s="1118"/>
      <c r="J85" s="1119"/>
      <c r="K85" s="1120"/>
    </row>
    <row r="86" spans="2:11" ht="13" x14ac:dyDescent="0.25">
      <c r="C86" s="56"/>
      <c r="E86" s="56"/>
      <c r="F86" s="58" t="str">
        <f>Translations!$B$155</f>
        <v>Organisation name (if acting on behalf of the aircraft operator):</v>
      </c>
      <c r="H86" s="56"/>
    </row>
    <row r="87" spans="2:11" ht="13" x14ac:dyDescent="0.25">
      <c r="C87" s="64"/>
      <c r="E87" s="65"/>
      <c r="F87" s="57"/>
      <c r="I87" s="1118"/>
      <c r="J87" s="1119"/>
      <c r="K87" s="1120"/>
    </row>
    <row r="88" spans="2:11" ht="13" x14ac:dyDescent="0.25">
      <c r="C88" s="56"/>
      <c r="E88" s="56"/>
      <c r="F88" s="58" t="str">
        <f>Translations!$B$156</f>
        <v>Telephone number:</v>
      </c>
      <c r="I88" s="1118"/>
      <c r="J88" s="1119"/>
      <c r="K88" s="1120"/>
    </row>
    <row r="89" spans="2:11" ht="13" x14ac:dyDescent="0.25">
      <c r="C89" s="64"/>
      <c r="E89" s="56"/>
      <c r="F89" s="58" t="str">
        <f>Translations!$B$157</f>
        <v>Email address:</v>
      </c>
      <c r="I89" s="1118"/>
      <c r="J89" s="1119"/>
      <c r="K89" s="1120"/>
    </row>
    <row r="90" spans="2:11" ht="13" x14ac:dyDescent="0.25">
      <c r="C90" s="62"/>
      <c r="G90" s="63"/>
      <c r="H90" s="106"/>
      <c r="I90" s="61"/>
      <c r="J90" s="61"/>
      <c r="K90" s="61"/>
    </row>
    <row r="91" spans="2:11" ht="13" x14ac:dyDescent="0.25">
      <c r="C91" s="58" t="s">
        <v>45</v>
      </c>
      <c r="D91" s="58" t="str">
        <f>Translations!$B$159</f>
        <v>Please provide an address for receipt of correspondence</v>
      </c>
    </row>
    <row r="92" spans="2:11" ht="27" customHeight="1" x14ac:dyDescent="0.25">
      <c r="B92" s="67"/>
      <c r="C92" s="68"/>
      <c r="D92" s="1135" t="str">
        <f>Translations!$B$886</f>
        <v>You must provide an address for receipt of notices or other documents under or in connection with the EU Greenhouse Gas Emissions Trading Scheme. Please provide an electronic address and a postal address within the administering Member State.</v>
      </c>
      <c r="E92" s="1135"/>
      <c r="F92" s="1135"/>
      <c r="G92" s="1135"/>
      <c r="H92" s="1135"/>
      <c r="I92" s="1135"/>
      <c r="J92" s="1135"/>
      <c r="K92" s="1135"/>
    </row>
    <row r="93" spans="2:11" ht="13" x14ac:dyDescent="0.25">
      <c r="C93" s="69"/>
      <c r="F93" s="58" t="str">
        <f>Translations!$B$151</f>
        <v>Title:</v>
      </c>
      <c r="I93" s="1118"/>
      <c r="J93" s="1119"/>
      <c r="K93" s="1120"/>
    </row>
    <row r="94" spans="2:11" ht="13" x14ac:dyDescent="0.25">
      <c r="C94" s="69"/>
      <c r="D94" s="58"/>
      <c r="E94" s="56"/>
      <c r="F94" s="58" t="str">
        <f>Translations!$B$152</f>
        <v>First Name:</v>
      </c>
      <c r="I94" s="1118"/>
      <c r="J94" s="1119"/>
      <c r="K94" s="1120"/>
    </row>
    <row r="95" spans="2:11" ht="13" x14ac:dyDescent="0.25">
      <c r="C95" s="69"/>
      <c r="D95" s="58"/>
      <c r="E95" s="56"/>
      <c r="F95" s="58" t="str">
        <f>Translations!$B$153</f>
        <v>Surname:</v>
      </c>
      <c r="I95" s="1118"/>
      <c r="J95" s="1119"/>
      <c r="K95" s="1120"/>
    </row>
    <row r="96" spans="2:11" ht="13" x14ac:dyDescent="0.25">
      <c r="C96" s="70"/>
      <c r="E96" s="56"/>
      <c r="F96" s="58" t="str">
        <f>Translations!$B$157</f>
        <v>Email address:</v>
      </c>
      <c r="I96" s="1118"/>
      <c r="J96" s="1119"/>
      <c r="K96" s="1120"/>
    </row>
    <row r="97" spans="2:14" ht="13" x14ac:dyDescent="0.25">
      <c r="C97" s="56"/>
      <c r="E97" s="56"/>
      <c r="F97" s="58" t="str">
        <f>Translations!$B$156</f>
        <v>Telephone number:</v>
      </c>
      <c r="I97" s="1118"/>
      <c r="J97" s="1119"/>
      <c r="K97" s="1120"/>
    </row>
    <row r="98" spans="2:14" ht="13" x14ac:dyDescent="0.25">
      <c r="C98" s="69"/>
      <c r="F98" s="71" t="str">
        <f>Translations!$B$162</f>
        <v>Address Line 1:</v>
      </c>
      <c r="H98" s="71"/>
      <c r="I98" s="1118"/>
      <c r="J98" s="1119"/>
      <c r="K98" s="1120"/>
    </row>
    <row r="99" spans="2:14" ht="13" x14ac:dyDescent="0.25">
      <c r="C99" s="72"/>
      <c r="F99" s="71" t="str">
        <f>Translations!$B$163</f>
        <v>Address Line 2:</v>
      </c>
      <c r="H99" s="71"/>
      <c r="I99" s="1118"/>
      <c r="J99" s="1119"/>
      <c r="K99" s="1120"/>
    </row>
    <row r="100" spans="2:14" ht="13" x14ac:dyDescent="0.25">
      <c r="C100" s="72"/>
      <c r="F100" s="71" t="str">
        <f>Translations!$B$164</f>
        <v>City:</v>
      </c>
      <c r="H100" s="71"/>
      <c r="I100" s="1118"/>
      <c r="J100" s="1119"/>
      <c r="K100" s="1120"/>
    </row>
    <row r="101" spans="2:14" ht="13" x14ac:dyDescent="0.25">
      <c r="C101" s="72"/>
      <c r="F101" s="71" t="str">
        <f>Translations!$B$165</f>
        <v>State/Province/Region:</v>
      </c>
      <c r="H101" s="71"/>
      <c r="I101" s="1118"/>
      <c r="J101" s="1119"/>
      <c r="K101" s="1120"/>
    </row>
    <row r="102" spans="2:14" ht="13" x14ac:dyDescent="0.25">
      <c r="C102" s="72"/>
      <c r="F102" s="71" t="str">
        <f>Translations!$B$166</f>
        <v>Postcode/ZIP:</v>
      </c>
      <c r="H102" s="71"/>
      <c r="I102" s="1118"/>
      <c r="J102" s="1119"/>
      <c r="K102" s="1120"/>
    </row>
    <row r="103" spans="2:14" ht="13" x14ac:dyDescent="0.25">
      <c r="C103" s="72"/>
      <c r="F103" s="71" t="str">
        <f>Translations!$B$167</f>
        <v>Country:</v>
      </c>
      <c r="H103" s="71"/>
      <c r="I103" s="1118"/>
      <c r="J103" s="1119"/>
      <c r="K103" s="1120"/>
    </row>
    <row r="104" spans="2:14" ht="13" x14ac:dyDescent="0.25">
      <c r="C104" s="72"/>
      <c r="G104" s="71"/>
      <c r="H104" s="71"/>
      <c r="I104" s="114"/>
      <c r="J104" s="114"/>
      <c r="K104" s="114"/>
      <c r="N104" s="469"/>
    </row>
    <row r="105" spans="2:14" ht="5.15" hidden="1" customHeight="1" x14ac:dyDescent="0.25">
      <c r="B105" s="290"/>
      <c r="C105" s="291"/>
      <c r="D105" s="290"/>
      <c r="E105" s="290"/>
      <c r="F105" s="290"/>
      <c r="G105" s="292"/>
      <c r="H105" s="292"/>
      <c r="I105" s="293"/>
      <c r="J105" s="293"/>
      <c r="K105" s="293"/>
      <c r="L105" s="290"/>
    </row>
    <row r="106" spans="2:14" ht="13" hidden="1" x14ac:dyDescent="0.25">
      <c r="B106" s="290"/>
      <c r="C106" s="58" t="s">
        <v>46</v>
      </c>
      <c r="D106" s="172" t="str">
        <f>Translations!$B$1110</f>
        <v>Legal representative of the aircraft operator</v>
      </c>
      <c r="E106"/>
      <c r="F106"/>
      <c r="G106"/>
      <c r="H106"/>
      <c r="I106"/>
      <c r="J106"/>
      <c r="K106"/>
      <c r="L106" s="290"/>
    </row>
    <row r="107" spans="2:14" ht="25.5" hidden="1" customHeight="1" x14ac:dyDescent="0.25">
      <c r="B107" s="290"/>
      <c r="C107" s="887"/>
      <c r="D107" s="1149" t="str">
        <f>Translations!$B$1111</f>
        <v>Please provide contact information of a representative who is legally responsible for the aircraft operator, for the purpose of compliance with the EU ETS, or CORSIA rules, as applicable.</v>
      </c>
      <c r="E107" s="1149"/>
      <c r="F107" s="1149"/>
      <c r="G107" s="1149"/>
      <c r="H107" s="1149"/>
      <c r="I107" s="1149"/>
      <c r="J107" s="1149"/>
      <c r="K107" s="1149"/>
      <c r="L107" s="290"/>
    </row>
    <row r="108" spans="2:14" ht="13" hidden="1" x14ac:dyDescent="0.25">
      <c r="B108" s="290"/>
      <c r="C108" s="887"/>
      <c r="D108"/>
      <c r="E108"/>
      <c r="F108"/>
      <c r="G108" s="172" t="str">
        <f>Translations!$B$151</f>
        <v>Title:</v>
      </c>
      <c r="H108" s="9"/>
      <c r="I108" s="1136"/>
      <c r="J108" s="1137"/>
      <c r="K108" s="1138"/>
      <c r="L108" s="290"/>
    </row>
    <row r="109" spans="2:14" ht="13" hidden="1" x14ac:dyDescent="0.25">
      <c r="B109" s="290"/>
      <c r="C109" s="887"/>
      <c r="D109" s="172"/>
      <c r="E109" s="6"/>
      <c r="F109"/>
      <c r="G109" s="172" t="str">
        <f>Translations!$B$152</f>
        <v>First Name:</v>
      </c>
      <c r="H109" s="9"/>
      <c r="I109" s="1136"/>
      <c r="J109" s="1137"/>
      <c r="K109" s="1138"/>
      <c r="L109" s="290"/>
    </row>
    <row r="110" spans="2:14" ht="13" hidden="1" x14ac:dyDescent="0.25">
      <c r="B110" s="290"/>
      <c r="C110" s="887"/>
      <c r="D110" s="172"/>
      <c r="E110" s="6"/>
      <c r="F110"/>
      <c r="G110" s="172" t="str">
        <f>Translations!$B$153</f>
        <v>Surname:</v>
      </c>
      <c r="H110" s="9"/>
      <c r="I110" s="1136"/>
      <c r="J110" s="1137"/>
      <c r="K110" s="1138"/>
      <c r="L110" s="290"/>
    </row>
    <row r="111" spans="2:14" ht="13" hidden="1" x14ac:dyDescent="0.25">
      <c r="B111" s="290"/>
      <c r="C111" s="887"/>
      <c r="D111"/>
      <c r="E111" s="6"/>
      <c r="F111"/>
      <c r="G111" s="172" t="str">
        <f>Translations!$B$157</f>
        <v>Email address:</v>
      </c>
      <c r="H111" s="9"/>
      <c r="I111" s="1136"/>
      <c r="J111" s="1137"/>
      <c r="K111" s="1138"/>
      <c r="L111" s="290"/>
    </row>
    <row r="112" spans="2:14" ht="13" hidden="1" x14ac:dyDescent="0.25">
      <c r="B112" s="290"/>
      <c r="C112" s="887"/>
      <c r="D112"/>
      <c r="E112" s="6"/>
      <c r="F112" s="6"/>
      <c r="G112" s="172" t="str">
        <f>Translations!$B$156</f>
        <v>Telephone number:</v>
      </c>
      <c r="H112"/>
      <c r="I112" s="1136"/>
      <c r="J112" s="1137"/>
      <c r="K112" s="1138"/>
      <c r="L112" s="290"/>
    </row>
    <row r="113" spans="2:12" ht="13" hidden="1" x14ac:dyDescent="0.25">
      <c r="B113" s="290"/>
      <c r="C113" s="887"/>
      <c r="D113"/>
      <c r="E113"/>
      <c r="F113"/>
      <c r="G113" s="18" t="str">
        <f>Translations!$B$162</f>
        <v>Address Line 1:</v>
      </c>
      <c r="H113" s="18"/>
      <c r="I113" s="1136"/>
      <c r="J113" s="1137"/>
      <c r="K113" s="1138"/>
      <c r="L113" s="290"/>
    </row>
    <row r="114" spans="2:12" ht="13" hidden="1" x14ac:dyDescent="0.25">
      <c r="B114" s="290"/>
      <c r="C114" s="887"/>
      <c r="D114"/>
      <c r="E114"/>
      <c r="F114"/>
      <c r="G114" s="18" t="str">
        <f>Translations!$B$163</f>
        <v>Address Line 2:</v>
      </c>
      <c r="H114" s="18"/>
      <c r="I114" s="1136"/>
      <c r="J114" s="1137"/>
      <c r="K114" s="1138"/>
      <c r="L114" s="290"/>
    </row>
    <row r="115" spans="2:12" ht="13" hidden="1" x14ac:dyDescent="0.25">
      <c r="B115" s="290"/>
      <c r="C115" s="887"/>
      <c r="D115"/>
      <c r="E115"/>
      <c r="F115"/>
      <c r="G115" s="18" t="str">
        <f>Translations!$B$164</f>
        <v>City:</v>
      </c>
      <c r="H115" s="18"/>
      <c r="I115" s="1136"/>
      <c r="J115" s="1137"/>
      <c r="K115" s="1138"/>
      <c r="L115" s="290"/>
    </row>
    <row r="116" spans="2:12" ht="13" hidden="1" x14ac:dyDescent="0.25">
      <c r="B116" s="290"/>
      <c r="C116" s="887"/>
      <c r="D116"/>
      <c r="E116"/>
      <c r="F116"/>
      <c r="G116" s="18" t="str">
        <f>Translations!$B$165</f>
        <v>State/Province/Region:</v>
      </c>
      <c r="H116" s="18"/>
      <c r="I116" s="1136"/>
      <c r="J116" s="1137"/>
      <c r="K116" s="1138"/>
      <c r="L116" s="290"/>
    </row>
    <row r="117" spans="2:12" ht="13" hidden="1" x14ac:dyDescent="0.25">
      <c r="B117" s="290"/>
      <c r="C117" s="887"/>
      <c r="D117"/>
      <c r="E117"/>
      <c r="F117"/>
      <c r="G117" s="18" t="str">
        <f>Translations!$B$166</f>
        <v>Postcode/ZIP:</v>
      </c>
      <c r="H117" s="18"/>
      <c r="I117" s="1136"/>
      <c r="J117" s="1137"/>
      <c r="K117" s="1138"/>
      <c r="L117" s="290"/>
    </row>
    <row r="118" spans="2:12" ht="13" hidden="1" x14ac:dyDescent="0.25">
      <c r="B118" s="290"/>
      <c r="C118" s="887"/>
      <c r="D118"/>
      <c r="E118"/>
      <c r="F118"/>
      <c r="G118" s="18" t="str">
        <f>Translations!$B$167</f>
        <v>Country:</v>
      </c>
      <c r="H118" s="18"/>
      <c r="I118" s="1136"/>
      <c r="J118" s="1137"/>
      <c r="K118" s="1138"/>
      <c r="L118" s="290"/>
    </row>
    <row r="119" spans="2:12" ht="5.15" hidden="1" customHeight="1" x14ac:dyDescent="0.25">
      <c r="B119" s="290"/>
      <c r="C119" s="291"/>
      <c r="D119" s="290"/>
      <c r="E119" s="290"/>
      <c r="F119" s="290"/>
      <c r="G119" s="292"/>
      <c r="H119" s="292"/>
      <c r="I119" s="293"/>
      <c r="J119" s="293"/>
      <c r="K119" s="293"/>
      <c r="L119" s="290"/>
    </row>
    <row r="120" spans="2:12" ht="13" x14ac:dyDescent="0.25">
      <c r="C120" s="72"/>
      <c r="G120" s="71"/>
      <c r="H120" s="71"/>
      <c r="I120" s="114"/>
      <c r="J120" s="114"/>
      <c r="K120" s="114"/>
    </row>
    <row r="121" spans="2:12" ht="15.5" x14ac:dyDescent="0.35">
      <c r="C121" s="1013">
        <v>3</v>
      </c>
      <c r="D121" s="1014" t="str">
        <f>Translations!$B$842</f>
        <v>Identification of the verifier</v>
      </c>
      <c r="E121" s="1014"/>
      <c r="F121" s="1014"/>
      <c r="G121" s="1014"/>
      <c r="H121" s="1014"/>
      <c r="I121" s="1014"/>
      <c r="J121" s="1014"/>
      <c r="K121" s="1014"/>
    </row>
    <row r="122" spans="2:12" ht="38.25" customHeight="1" x14ac:dyDescent="0.25">
      <c r="C122" s="1135"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1135"/>
      <c r="E122" s="1135"/>
      <c r="F122" s="1135"/>
      <c r="G122" s="1135"/>
      <c r="H122" s="1135"/>
      <c r="I122" s="1135"/>
      <c r="J122" s="1135"/>
      <c r="K122" s="1135"/>
    </row>
    <row r="123" spans="2:12" ht="38.25" customHeight="1" x14ac:dyDescent="0.25">
      <c r="C123" s="1135"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1135"/>
      <c r="E123" s="1135"/>
      <c r="F123" s="1135"/>
      <c r="G123" s="1135"/>
      <c r="H123" s="1135"/>
      <c r="I123" s="1135"/>
      <c r="J123" s="1135"/>
      <c r="K123" s="1135"/>
    </row>
    <row r="124" spans="2:12" ht="12.75" customHeight="1" x14ac:dyDescent="0.25">
      <c r="C124" s="1135" t="str">
        <f>Translations!$B$1112</f>
        <v>Where small emitters make use of this simplification, this section can be left empty.</v>
      </c>
      <c r="D124" s="1135"/>
      <c r="E124" s="1135"/>
      <c r="F124" s="1135"/>
      <c r="G124" s="1135"/>
      <c r="H124" s="1135"/>
      <c r="I124" s="1135"/>
      <c r="J124" s="1135"/>
      <c r="K124" s="1135"/>
    </row>
    <row r="125" spans="2:12" ht="13" x14ac:dyDescent="0.3">
      <c r="C125" s="74" t="s">
        <v>25</v>
      </c>
      <c r="D125" s="115" t="str">
        <f>Translations!$B$1113</f>
        <v>Name and address of the verifier of your annual emission report</v>
      </c>
      <c r="E125" s="74"/>
      <c r="F125" s="74"/>
      <c r="G125" s="63"/>
      <c r="H125" s="106"/>
      <c r="I125" s="61"/>
      <c r="J125" s="61"/>
      <c r="K125" s="61"/>
    </row>
    <row r="126" spans="2:12" ht="13" x14ac:dyDescent="0.25">
      <c r="C126" s="69"/>
      <c r="D126" s="58"/>
      <c r="E126" s="56"/>
      <c r="F126" s="58" t="str">
        <f>Translations!$B$888</f>
        <v>Company Name:</v>
      </c>
      <c r="I126" s="1118"/>
      <c r="J126" s="1119"/>
      <c r="K126" s="1120"/>
    </row>
    <row r="127" spans="2:12" ht="13" x14ac:dyDescent="0.25">
      <c r="C127" s="69"/>
      <c r="F127" s="71" t="str">
        <f>Translations!$B$162</f>
        <v>Address Line 1:</v>
      </c>
      <c r="H127" s="71"/>
      <c r="I127" s="1118"/>
      <c r="J127" s="1119"/>
      <c r="K127" s="1120"/>
    </row>
    <row r="128" spans="2:12" ht="13" x14ac:dyDescent="0.25">
      <c r="C128" s="72"/>
      <c r="F128" s="71" t="str">
        <f>Translations!$B$163</f>
        <v>Address Line 2:</v>
      </c>
      <c r="H128" s="71"/>
      <c r="I128" s="1118"/>
      <c r="J128" s="1119"/>
      <c r="K128" s="1120"/>
    </row>
    <row r="129" spans="3:11" ht="13" x14ac:dyDescent="0.25">
      <c r="C129" s="72"/>
      <c r="F129" s="71" t="str">
        <f>Translations!$B$164</f>
        <v>City:</v>
      </c>
      <c r="H129" s="71"/>
      <c r="I129" s="1118"/>
      <c r="J129" s="1119"/>
      <c r="K129" s="1120"/>
    </row>
    <row r="130" spans="3:11" ht="13" x14ac:dyDescent="0.25">
      <c r="C130" s="72"/>
      <c r="F130" s="71" t="str">
        <f>Translations!$B$165</f>
        <v>State/Province/Region:</v>
      </c>
      <c r="H130" s="71"/>
      <c r="I130" s="1118"/>
      <c r="J130" s="1119"/>
      <c r="K130" s="1120"/>
    </row>
    <row r="131" spans="3:11" ht="13" x14ac:dyDescent="0.25">
      <c r="C131" s="72"/>
      <c r="F131" s="71" t="str">
        <f>Translations!$B$166</f>
        <v>Postcode/ZIP:</v>
      </c>
      <c r="H131" s="71"/>
      <c r="I131" s="1118"/>
      <c r="J131" s="1119"/>
      <c r="K131" s="1120"/>
    </row>
    <row r="132" spans="3:11" ht="13" x14ac:dyDescent="0.25">
      <c r="C132" s="72"/>
      <c r="F132" s="71" t="str">
        <f>Translations!$B$167</f>
        <v>Country:</v>
      </c>
      <c r="H132" s="71"/>
      <c r="I132" s="1118"/>
      <c r="J132" s="1119"/>
      <c r="K132" s="1120"/>
    </row>
    <row r="133" spans="3:11" ht="13" x14ac:dyDescent="0.3">
      <c r="C133" s="115"/>
      <c r="D133" s="74"/>
      <c r="E133" s="74"/>
      <c r="F133" s="74"/>
      <c r="G133" s="63"/>
      <c r="H133" s="106"/>
      <c r="I133" s="66"/>
      <c r="J133" s="66"/>
      <c r="K133" s="66"/>
    </row>
    <row r="134" spans="3:11" ht="13" x14ac:dyDescent="0.3">
      <c r="C134" s="74" t="s">
        <v>26</v>
      </c>
      <c r="D134" s="74" t="str">
        <f>Translations!$B$1114</f>
        <v>Contact person for the accredited verifier:</v>
      </c>
      <c r="E134" s="74"/>
      <c r="F134" s="74"/>
      <c r="G134" s="63"/>
      <c r="H134" s="106"/>
      <c r="I134" s="66"/>
      <c r="J134" s="66"/>
      <c r="K134" s="66"/>
    </row>
    <row r="135" spans="3:11" ht="24" customHeight="1" x14ac:dyDescent="0.25">
      <c r="C135" s="72"/>
      <c r="D135" s="1135" t="str">
        <f>Translations!$B$890</f>
        <v>It will help the competent authority to have someone who they can contact directly with any questions about verification of your report. The person you name should be familiar with this report.</v>
      </c>
      <c r="E135" s="1135"/>
      <c r="F135" s="1135"/>
      <c r="G135" s="1135"/>
      <c r="H135" s="1135"/>
      <c r="I135" s="1135"/>
      <c r="J135" s="1135"/>
      <c r="K135" s="1135"/>
    </row>
    <row r="136" spans="3:11" ht="13" x14ac:dyDescent="0.25">
      <c r="F136" s="58" t="str">
        <f>Translations!$B$151</f>
        <v>Title:</v>
      </c>
      <c r="I136" s="1118"/>
      <c r="J136" s="1119"/>
      <c r="K136" s="1120"/>
    </row>
    <row r="137" spans="3:11" ht="13" x14ac:dyDescent="0.25">
      <c r="F137" s="58" t="str">
        <f>Translations!$B$152</f>
        <v>First Name:</v>
      </c>
      <c r="I137" s="1118"/>
      <c r="J137" s="1119"/>
      <c r="K137" s="1120"/>
    </row>
    <row r="138" spans="3:11" ht="13" x14ac:dyDescent="0.25">
      <c r="C138" s="72"/>
      <c r="F138" s="58" t="str">
        <f>Translations!$B$153</f>
        <v>Surname:</v>
      </c>
      <c r="I138" s="1118"/>
      <c r="J138" s="1119"/>
      <c r="K138" s="1120"/>
    </row>
    <row r="139" spans="3:11" ht="13" x14ac:dyDescent="0.25">
      <c r="C139" s="70"/>
      <c r="E139" s="56"/>
      <c r="F139" s="58" t="str">
        <f>Translations!$B$157</f>
        <v>Email address:</v>
      </c>
      <c r="I139" s="1118"/>
      <c r="J139" s="1119"/>
      <c r="K139" s="1120"/>
    </row>
    <row r="140" spans="3:11" ht="13" x14ac:dyDescent="0.25">
      <c r="C140" s="70"/>
      <c r="E140" s="56"/>
      <c r="F140" s="58" t="str">
        <f>Translations!$B$156</f>
        <v>Telephone number:</v>
      </c>
      <c r="I140" s="1118"/>
      <c r="J140" s="1119"/>
      <c r="K140" s="1120"/>
    </row>
    <row r="141" spans="3:11" ht="13" x14ac:dyDescent="0.3">
      <c r="C141" s="115"/>
      <c r="D141" s="74"/>
      <c r="E141" s="74"/>
      <c r="F141" s="74"/>
      <c r="G141" s="63"/>
      <c r="H141" s="106"/>
      <c r="I141" s="66"/>
      <c r="J141" s="66"/>
      <c r="K141" s="66"/>
    </row>
    <row r="142" spans="3:11" ht="13" x14ac:dyDescent="0.3">
      <c r="C142" s="74" t="s">
        <v>27</v>
      </c>
      <c r="D142" s="74" t="str">
        <f>Translations!$B$1115</f>
        <v>Information about the verifier's accreditation:</v>
      </c>
      <c r="E142" s="74"/>
      <c r="F142" s="74"/>
      <c r="G142" s="63"/>
      <c r="H142" s="106"/>
      <c r="I142" s="66"/>
      <c r="J142" s="66"/>
      <c r="K142" s="66"/>
    </row>
    <row r="143" spans="3:11" ht="24" customHeight="1" x14ac:dyDescent="0.25">
      <c r="C143" s="72"/>
      <c r="D143" s="1135" t="str">
        <f>Translations!$B$1352</f>
        <v>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v>
      </c>
      <c r="E143" s="1135"/>
      <c r="F143" s="1135"/>
      <c r="G143" s="1135"/>
      <c r="H143" s="1135"/>
      <c r="I143" s="1135"/>
      <c r="J143" s="1135"/>
      <c r="K143" s="1135"/>
    </row>
    <row r="144" spans="3:11" ht="12.75" customHeight="1" x14ac:dyDescent="0.25">
      <c r="C144" s="72"/>
      <c r="D144" s="1135" t="str">
        <f>Translations!$B$893</f>
        <v>In such cases, "accreditation" should be read as "certification", and "accreditation body" as "national authority".</v>
      </c>
      <c r="E144" s="1135"/>
      <c r="F144" s="1135"/>
      <c r="G144" s="1135"/>
      <c r="H144" s="1135"/>
      <c r="I144" s="1135"/>
      <c r="J144" s="1135"/>
      <c r="K144" s="1135"/>
    </row>
    <row r="145" spans="2:11" ht="13" x14ac:dyDescent="0.25">
      <c r="C145" s="70"/>
      <c r="D145" s="57" t="str">
        <f>Translations!$B$894</f>
        <v>Member State where accreditation has been granted:</v>
      </c>
      <c r="E145" s="12"/>
      <c r="F145" s="12"/>
      <c r="G145" s="12"/>
      <c r="H145" s="12"/>
      <c r="I145" s="1118"/>
      <c r="J145" s="1119"/>
      <c r="K145" s="1120"/>
    </row>
    <row r="146" spans="2:11" ht="13" x14ac:dyDescent="0.3">
      <c r="C146" s="70"/>
      <c r="D146" s="74" t="str">
        <f>Translations!$B$895</f>
        <v>Registration number issued by the accreditation body:</v>
      </c>
      <c r="E146" s="56"/>
      <c r="G146" s="58"/>
      <c r="I146" s="1118"/>
      <c r="J146" s="1119"/>
      <c r="K146" s="1120"/>
    </row>
    <row r="147" spans="2:11" ht="12.75" customHeight="1" x14ac:dyDescent="0.3">
      <c r="C147" s="74"/>
      <c r="D147" s="1135" t="str">
        <f>Translations!$B$896</f>
        <v>The availability of such registration information may depend on the accrediting Member State's practice of accreditation of verifiers.</v>
      </c>
      <c r="E147" s="1135"/>
      <c r="F147" s="1135"/>
      <c r="G147" s="1135"/>
      <c r="H147" s="1135"/>
      <c r="I147" s="1135"/>
      <c r="J147" s="1135"/>
      <c r="K147" s="1135"/>
    </row>
    <row r="148" spans="2:11" ht="13" x14ac:dyDescent="0.3">
      <c r="C148" s="74"/>
      <c r="D148" s="58"/>
      <c r="E148" s="56"/>
      <c r="F148" s="56"/>
      <c r="I148" s="66"/>
      <c r="J148" s="66"/>
      <c r="K148" s="66"/>
    </row>
    <row r="149" spans="2:11" ht="13" x14ac:dyDescent="0.3">
      <c r="C149" s="74"/>
      <c r="D149" s="1140" t="str">
        <f>Translations!$B$897</f>
        <v>&lt;&lt;&lt; Click here to proceed to section 4 "Information about the monitoring plan" &gt;&gt;&gt;</v>
      </c>
      <c r="E149" s="1140"/>
      <c r="F149" s="1140"/>
      <c r="G149" s="1140"/>
      <c r="H149" s="1140"/>
      <c r="I149" s="1141"/>
      <c r="J149" s="1141"/>
    </row>
    <row r="157" spans="2:11" ht="15" x14ac:dyDescent="0.3">
      <c r="B157" s="73"/>
    </row>
  </sheetData>
  <sheetProtection sheet="1" formatCells="0" formatColumns="0" formatRows="0" insertColumns="0" insertRows="0"/>
  <mergeCells count="113">
    <mergeCell ref="D19:K19"/>
    <mergeCell ref="D80:K80"/>
    <mergeCell ref="D10:J10"/>
    <mergeCell ref="D11:K11"/>
    <mergeCell ref="I109:K109"/>
    <mergeCell ref="I110:K110"/>
    <mergeCell ref="I111:K111"/>
    <mergeCell ref="I112:K112"/>
    <mergeCell ref="D23:K23"/>
    <mergeCell ref="D30:J30"/>
    <mergeCell ref="D25:K25"/>
    <mergeCell ref="D27:K27"/>
    <mergeCell ref="D28:K28"/>
    <mergeCell ref="D107:K107"/>
    <mergeCell ref="D47:H47"/>
    <mergeCell ref="I66:K66"/>
    <mergeCell ref="I87:K87"/>
    <mergeCell ref="I108:K108"/>
    <mergeCell ref="D92:K92"/>
    <mergeCell ref="J13:K13"/>
    <mergeCell ref="D18:K18"/>
    <mergeCell ref="D26:K26"/>
    <mergeCell ref="D17:K17"/>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s>
  <conditionalFormatting sqref="B105:L119">
    <cfRule type="expression" dxfId="37" priority="5" stopIfTrue="1">
      <formula>CONTR_CORSIAapplied=FALSE</formula>
    </cfRule>
  </conditionalFormatting>
  <conditionalFormatting sqref="D55:D56">
    <cfRule type="expression" dxfId="36" priority="14" stopIfTrue="1">
      <formula>$M$56</formula>
    </cfRule>
  </conditionalFormatting>
  <conditionalFormatting sqref="I34:K34">
    <cfRule type="expression" dxfId="35" priority="6" stopIfTrue="1">
      <formula>$M$34=TRUE</formula>
    </cfRule>
  </conditionalFormatting>
  <conditionalFormatting sqref="I56:K56">
    <cfRule type="expression" dxfId="34" priority="16" stopIfTrue="1">
      <formula>$M$56</formula>
    </cfRule>
  </conditionalFormatting>
  <conditionalFormatting sqref="K32">
    <cfRule type="expression" dxfId="33" priority="7" stopIfTrue="1">
      <formula>$M$32=TRUE</formula>
    </cfRule>
  </conditionalFormatting>
  <dataValidations count="9">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118:K118 I132:K132 I76:K76 I103:K103"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34:K34" xr:uid="{00000000-0002-0000-0200-00000A000000}">
      <formula1>ICAO_MSList</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AD268"/>
  <sheetViews>
    <sheetView showGridLines="0" topLeftCell="B14" zoomScale="115" zoomScaleNormal="115" zoomScaleSheetLayoutView="140" workbookViewId="0">
      <selection activeCell="C2" sqref="C2"/>
    </sheetView>
  </sheetViews>
  <sheetFormatPr baseColWidth="10" defaultColWidth="11.453125" defaultRowHeight="12.5" x14ac:dyDescent="0.25"/>
  <cols>
    <col min="1" max="1" width="3.54296875" style="118" hidden="1" customWidth="1"/>
    <col min="2" max="2" width="3.54296875" style="65" customWidth="1"/>
    <col min="3" max="3" width="4.54296875" style="65" customWidth="1"/>
    <col min="4" max="18" width="12.54296875" style="65" customWidth="1"/>
    <col min="19" max="20" width="3.54296875" style="65" customWidth="1"/>
    <col min="21" max="22" width="12.54296875" style="118" hidden="1" customWidth="1"/>
    <col min="23" max="29" width="11.453125" style="118" hidden="1" customWidth="1"/>
    <col min="30" max="30" width="3.54296875" style="118" hidden="1" customWidth="1"/>
    <col min="31" max="16384" width="11.453125" style="65"/>
  </cols>
  <sheetData>
    <row r="1" spans="1:30" s="118" customFormat="1" hidden="1" x14ac:dyDescent="0.25">
      <c r="A1" s="118" t="s">
        <v>30</v>
      </c>
      <c r="U1" s="118" t="s">
        <v>30</v>
      </c>
      <c r="V1" s="118" t="s">
        <v>30</v>
      </c>
      <c r="W1" s="118" t="s">
        <v>30</v>
      </c>
      <c r="X1" s="118" t="s">
        <v>30</v>
      </c>
      <c r="Y1" s="118" t="s">
        <v>30</v>
      </c>
      <c r="Z1" s="118" t="s">
        <v>30</v>
      </c>
      <c r="AA1" s="118" t="s">
        <v>30</v>
      </c>
      <c r="AB1" s="118" t="s">
        <v>30</v>
      </c>
      <c r="AC1" s="118" t="s">
        <v>30</v>
      </c>
      <c r="AD1" s="118" t="s">
        <v>30</v>
      </c>
    </row>
    <row r="2" spans="1:30" x14ac:dyDescent="0.25">
      <c r="C2" s="105"/>
      <c r="F2" s="119"/>
      <c r="G2" s="119"/>
    </row>
    <row r="3" spans="1:30" ht="30" customHeight="1" x14ac:dyDescent="0.25">
      <c r="C3" s="1112" t="str">
        <f>Translations!$B$898</f>
        <v>EMISSION DATA OVERVIEW</v>
      </c>
      <c r="D3" s="1112"/>
      <c r="E3" s="1112"/>
      <c r="F3" s="1112"/>
      <c r="G3" s="1112"/>
      <c r="H3" s="1112"/>
      <c r="I3" s="1112"/>
      <c r="J3" s="1112"/>
      <c r="K3" s="1112"/>
      <c r="L3" s="1112"/>
      <c r="M3" s="1112"/>
      <c r="N3" s="1112"/>
      <c r="O3" s="1112"/>
      <c r="P3" s="1112"/>
      <c r="Q3" s="1112"/>
      <c r="R3" s="1112"/>
      <c r="S3" s="1112"/>
      <c r="U3" s="120" t="s">
        <v>47</v>
      </c>
    </row>
    <row r="4" spans="1:30" x14ac:dyDescent="0.25">
      <c r="U4" s="121" t="s">
        <v>48</v>
      </c>
    </row>
    <row r="5" spans="1:30" ht="15.5" x14ac:dyDescent="0.25">
      <c r="C5" s="1015">
        <v>4</v>
      </c>
      <c r="D5" s="1262" t="str">
        <f>Translations!$B$843</f>
        <v>Information about the monitoring plan</v>
      </c>
      <c r="E5" s="1262"/>
      <c r="F5" s="1262"/>
      <c r="G5" s="1262"/>
      <c r="H5" s="1262"/>
      <c r="I5" s="1262"/>
      <c r="J5" s="1262"/>
      <c r="K5" s="1262"/>
      <c r="L5" s="1263"/>
      <c r="M5" s="1263"/>
      <c r="N5" s="1263"/>
      <c r="O5" s="1263"/>
      <c r="P5" s="1263"/>
      <c r="Q5" s="1263"/>
      <c r="R5" s="1263"/>
      <c r="S5" s="1016"/>
    </row>
    <row r="6" spans="1:30" ht="25.5" customHeight="1" x14ac:dyDescent="0.25">
      <c r="C6" s="107"/>
      <c r="D6" s="1153" t="str">
        <f>Translations!$B$1262</f>
        <v>Note: it is assumed, that one joint monitoring plan for the CH ETS and the EU ETS is used.</v>
      </c>
      <c r="E6" s="1153"/>
      <c r="F6" s="1153"/>
      <c r="G6" s="1153"/>
      <c r="H6" s="1153"/>
      <c r="I6" s="1153"/>
      <c r="J6" s="1153"/>
      <c r="K6" s="1153"/>
      <c r="L6" s="1034"/>
      <c r="M6" s="1034"/>
      <c r="N6" s="1034"/>
      <c r="O6" s="1034"/>
      <c r="P6" s="1034"/>
      <c r="Q6" s="1034"/>
      <c r="R6" s="299"/>
    </row>
    <row r="7" spans="1:30" ht="12.75" customHeight="1" x14ac:dyDescent="0.25">
      <c r="C7" s="58" t="s">
        <v>25</v>
      </c>
      <c r="D7" s="1134" t="str">
        <f>Translations!$B$899</f>
        <v>Version number of the latest approved monitoring plan:</v>
      </c>
      <c r="E7" s="1210"/>
      <c r="F7" s="1210"/>
      <c r="G7" s="1210"/>
      <c r="H7" s="1211"/>
      <c r="I7" s="1113"/>
      <c r="J7" s="1114"/>
      <c r="K7" s="1114"/>
      <c r="L7" s="1204"/>
      <c r="M7" s="1193"/>
    </row>
    <row r="8" spans="1:30" ht="5.15" customHeight="1" x14ac:dyDescent="0.25">
      <c r="C8" s="64"/>
      <c r="D8" s="58"/>
      <c r="E8" s="56"/>
      <c r="F8" s="56"/>
    </row>
    <row r="9" spans="1:30" ht="12.75" customHeight="1" x14ac:dyDescent="0.25">
      <c r="C9" s="58" t="s">
        <v>26</v>
      </c>
      <c r="D9" s="1134" t="str">
        <f>Translations!$B$900</f>
        <v>Date of approval of the used monitoring plan:</v>
      </c>
      <c r="E9" s="1210"/>
      <c r="F9" s="1210"/>
      <c r="G9" s="1210"/>
      <c r="H9" s="1211"/>
      <c r="I9" s="1113"/>
      <c r="J9" s="1114"/>
      <c r="K9" s="1114"/>
      <c r="L9" s="1204"/>
      <c r="M9" s="1193"/>
    </row>
    <row r="10" spans="1:30" x14ac:dyDescent="0.25">
      <c r="C10" s="107"/>
      <c r="G10" s="106"/>
      <c r="H10" s="106"/>
      <c r="J10" s="122"/>
    </row>
    <row r="11" spans="1:30" ht="17.25" customHeight="1" x14ac:dyDescent="0.25">
      <c r="C11" s="58" t="s">
        <v>27</v>
      </c>
      <c r="D11" s="1134" t="str">
        <f>Translations!$B$901</f>
        <v>Have there been any deviations from your approved monitoring plan during the reporting year?</v>
      </c>
      <c r="E11" s="1210"/>
      <c r="F11" s="1210"/>
      <c r="G11" s="1210"/>
      <c r="H11" s="1210"/>
      <c r="I11" s="1210"/>
      <c r="J11" s="1210"/>
      <c r="K11" s="1210"/>
      <c r="L11" s="51"/>
      <c r="M11" s="51"/>
      <c r="U11" s="118" t="s">
        <v>49</v>
      </c>
    </row>
    <row r="12" spans="1:30" ht="13" x14ac:dyDescent="0.25">
      <c r="C12" s="58"/>
      <c r="H12" s="108"/>
      <c r="I12" s="1113"/>
      <c r="J12" s="1114"/>
      <c r="K12" s="1114"/>
      <c r="L12" s="1204"/>
      <c r="M12" s="1193"/>
      <c r="U12" s="116" t="str">
        <f>IF(ISBLANK(I12),"",I12=FALSE)</f>
        <v/>
      </c>
    </row>
    <row r="13" spans="1:30" ht="5.15" customHeight="1" x14ac:dyDescent="0.25">
      <c r="C13" s="107"/>
      <c r="G13" s="106"/>
      <c r="H13" s="106"/>
      <c r="J13" s="122"/>
    </row>
    <row r="14" spans="1:30" ht="39.65" customHeight="1" x14ac:dyDescent="0.25">
      <c r="C14" s="58" t="s">
        <v>28</v>
      </c>
      <c r="D14" s="1228" t="str">
        <f>Translations!$B$902</f>
        <v>If you have answered "True", please describe all relevant changes in the operations and all deviations from your approved monitoring plan, providing information about each deviation and the consequence for the calculation of annual emissions.</v>
      </c>
      <c r="E14" s="1228"/>
      <c r="F14" s="1228"/>
      <c r="G14" s="1228"/>
      <c r="H14" s="1228"/>
      <c r="I14" s="1228"/>
      <c r="J14" s="1228"/>
      <c r="K14" s="1228"/>
      <c r="L14" s="1183"/>
      <c r="M14" s="1183"/>
    </row>
    <row r="15" spans="1:30" ht="25.5" customHeight="1" x14ac:dyDescent="0.25">
      <c r="C15" s="58"/>
      <c r="D15" s="1214"/>
      <c r="E15" s="1215"/>
      <c r="F15" s="1215"/>
      <c r="G15" s="1215"/>
      <c r="H15" s="1215"/>
      <c r="I15" s="1215"/>
      <c r="J15" s="1215"/>
      <c r="K15" s="1215"/>
      <c r="L15" s="1216"/>
      <c r="M15" s="1217"/>
    </row>
    <row r="16" spans="1:30" ht="25.5" customHeight="1" x14ac:dyDescent="0.25">
      <c r="C16" s="58"/>
      <c r="D16" s="1218"/>
      <c r="E16" s="1219"/>
      <c r="F16" s="1219"/>
      <c r="G16" s="1219"/>
      <c r="H16" s="1219"/>
      <c r="I16" s="1219"/>
      <c r="J16" s="1219"/>
      <c r="K16" s="1219"/>
      <c r="L16" s="1034"/>
      <c r="M16" s="1220"/>
    </row>
    <row r="17" spans="1:30" ht="25.5" customHeight="1" x14ac:dyDescent="0.25">
      <c r="C17" s="58"/>
      <c r="D17" s="1221"/>
      <c r="E17" s="1222"/>
      <c r="F17" s="1222"/>
      <c r="G17" s="1222"/>
      <c r="H17" s="1222"/>
      <c r="I17" s="1222"/>
      <c r="J17" s="1222"/>
      <c r="K17" s="1222"/>
      <c r="L17" s="1183"/>
      <c r="M17" s="1223"/>
    </row>
    <row r="18" spans="1:30" ht="15" customHeight="1" x14ac:dyDescent="0.25"/>
    <row r="19" spans="1:30" ht="15.5" x14ac:dyDescent="0.25">
      <c r="C19" s="1015">
        <v>5</v>
      </c>
      <c r="D19" s="1262" t="str">
        <f>Translations!$B$1263</f>
        <v>Total emissions in EU ETS and CH ETS</v>
      </c>
      <c r="E19" s="1263"/>
      <c r="F19" s="1263"/>
      <c r="G19" s="1263"/>
      <c r="H19" s="1263"/>
      <c r="I19" s="1263"/>
      <c r="J19" s="1263"/>
      <c r="K19" s="1263"/>
      <c r="L19" s="1263"/>
      <c r="M19" s="1263"/>
      <c r="N19" s="1263"/>
      <c r="O19" s="1263"/>
      <c r="P19" s="1263"/>
      <c r="Q19" s="1263"/>
      <c r="R19" s="1263"/>
      <c r="S19" s="1016"/>
    </row>
    <row r="20" spans="1:30" ht="25.5" customHeight="1" x14ac:dyDescent="0.25">
      <c r="C20" s="57"/>
      <c r="D20" s="1154" t="str">
        <f>Translations!$B$1264</f>
        <v>For limiting administrative burden, this sections (a) and (b) should cover emissions of both systems, EU ETS and CH ETS.</v>
      </c>
      <c r="E20" s="1154"/>
      <c r="F20" s="1154"/>
      <c r="G20" s="1154"/>
      <c r="H20" s="1154"/>
      <c r="I20" s="1154"/>
      <c r="J20" s="1154"/>
      <c r="K20" s="1154"/>
      <c r="L20" s="1155"/>
      <c r="M20" s="1155"/>
      <c r="N20" s="1155"/>
      <c r="O20" s="1155"/>
      <c r="P20" s="1155"/>
      <c r="Q20" s="1155"/>
      <c r="R20" s="773"/>
    </row>
    <row r="21" spans="1:30" ht="13" x14ac:dyDescent="0.25">
      <c r="C21" s="57" t="s">
        <v>25</v>
      </c>
      <c r="D21" s="1227" t="str">
        <f>Translations!$B$1265</f>
        <v>Total number of flights in the reporting year:</v>
      </c>
      <c r="E21" s="1210"/>
      <c r="F21" s="1210"/>
      <c r="G21" s="1210"/>
      <c r="H21" s="1210"/>
      <c r="I21" s="1210"/>
      <c r="J21" s="1210"/>
    </row>
    <row r="22" spans="1:30" x14ac:dyDescent="0.25">
      <c r="C22" s="65" t="s">
        <v>50</v>
      </c>
      <c r="D22" s="1210" t="str">
        <f>Translations!$B$903</f>
        <v>Total number of flights in the reporting year covered by the EU ETS:</v>
      </c>
      <c r="E22" s="1210"/>
      <c r="F22" s="1210"/>
      <c r="G22" s="1210"/>
      <c r="H22" s="1210"/>
      <c r="I22" s="1210"/>
      <c r="J22" s="1210"/>
      <c r="K22" s="56"/>
      <c r="L22" s="1224"/>
      <c r="M22" s="1217"/>
    </row>
    <row r="23" spans="1:30" ht="5.15" customHeight="1" x14ac:dyDescent="0.25">
      <c r="B23" s="457"/>
      <c r="C23" s="457"/>
      <c r="D23" s="459"/>
      <c r="E23" s="459"/>
      <c r="F23" s="459"/>
      <c r="G23" s="459"/>
      <c r="H23" s="459"/>
      <c r="I23" s="459"/>
      <c r="J23" s="459"/>
      <c r="K23" s="457"/>
      <c r="L23" s="770"/>
      <c r="M23" s="711"/>
      <c r="N23" s="457"/>
      <c r="O23" s="457"/>
      <c r="P23" s="457"/>
      <c r="Q23" s="457"/>
      <c r="R23" s="457"/>
      <c r="S23" s="457"/>
    </row>
    <row r="24" spans="1:30" x14ac:dyDescent="0.25">
      <c r="B24" s="457"/>
      <c r="C24" s="65" t="s">
        <v>51</v>
      </c>
      <c r="D24" s="1210" t="str">
        <f>Translations!$B$1266</f>
        <v>Total number of flights in the reporting year covered by the CH ETS:</v>
      </c>
      <c r="E24" s="1210"/>
      <c r="F24" s="1210"/>
      <c r="G24" s="1210"/>
      <c r="H24" s="1210"/>
      <c r="I24" s="1210"/>
      <c r="J24" s="1210"/>
      <c r="K24" s="56"/>
      <c r="L24" s="1225"/>
      <c r="M24" s="1193"/>
      <c r="S24" s="457"/>
      <c r="T24" s="298"/>
    </row>
    <row r="25" spans="1:30" ht="5.15" customHeight="1" x14ac:dyDescent="0.25">
      <c r="B25" s="457"/>
      <c r="C25" s="457"/>
      <c r="D25" s="459"/>
      <c r="E25" s="459"/>
      <c r="F25" s="459"/>
      <c r="G25" s="459"/>
      <c r="H25" s="459"/>
      <c r="I25" s="459"/>
      <c r="J25" s="459"/>
      <c r="K25" s="457"/>
      <c r="L25" s="771"/>
      <c r="M25" s="712"/>
      <c r="N25" s="457"/>
      <c r="O25" s="457"/>
      <c r="P25" s="457"/>
      <c r="Q25" s="457"/>
      <c r="R25" s="457"/>
      <c r="S25" s="457"/>
    </row>
    <row r="26" spans="1:30" x14ac:dyDescent="0.25">
      <c r="C26" s="65" t="s">
        <v>52</v>
      </c>
      <c r="D26" s="1227" t="str">
        <f>Translations!$B$1267</f>
        <v>Total number of flights in the reporting year covered by an ETS:</v>
      </c>
      <c r="E26" s="1210"/>
      <c r="F26" s="1210"/>
      <c r="G26" s="1210"/>
      <c r="H26" s="1210"/>
      <c r="I26" s="1210"/>
      <c r="J26" s="1210"/>
      <c r="K26" s="56"/>
      <c r="L26" s="1226">
        <f>SUM(L22:L24)</f>
        <v>0</v>
      </c>
      <c r="M26" s="1223"/>
    </row>
    <row r="27" spans="1:30" ht="13" x14ac:dyDescent="0.25">
      <c r="D27" s="496"/>
      <c r="E27" s="51"/>
      <c r="F27" s="51"/>
      <c r="G27" s="51"/>
      <c r="H27" s="51"/>
      <c r="I27" s="51"/>
      <c r="J27" s="51"/>
      <c r="K27" s="56"/>
      <c r="L27" s="56"/>
      <c r="M27" s="299"/>
    </row>
    <row r="28" spans="1:30" ht="12.75" customHeight="1" x14ac:dyDescent="0.25">
      <c r="B28" s="687"/>
      <c r="C28" s="57" t="s">
        <v>26</v>
      </c>
      <c r="D28" s="1156" t="str">
        <f>Translations!$B$1436</f>
        <v>Properties of the fuels used</v>
      </c>
      <c r="E28" s="1034"/>
      <c r="F28" s="1034"/>
      <c r="G28" s="1034"/>
      <c r="H28" s="1034"/>
      <c r="I28" s="1034"/>
      <c r="J28" s="1034"/>
      <c r="K28" s="1034"/>
      <c r="L28" s="1034"/>
      <c r="M28" s="1034"/>
      <c r="N28" s="1034"/>
      <c r="O28" s="1034"/>
      <c r="P28" s="1034"/>
      <c r="Q28" s="1034"/>
      <c r="R28" s="299"/>
      <c r="S28" s="687"/>
    </row>
    <row r="29" spans="1:30" s="51" customFormat="1" ht="13.4" customHeight="1" x14ac:dyDescent="0.25">
      <c r="A29" s="123"/>
      <c r="B29" s="687"/>
      <c r="D29" s="1152" t="str">
        <f>Translations!$B$1437</f>
        <v>Please provide here the calculation factors needed for describing each fuel's properties for calculating the emissions. Input is required only if you are using other fuels than the standard fuels already defined.</v>
      </c>
      <c r="E29" s="1152"/>
      <c r="F29" s="1152"/>
      <c r="G29" s="1152"/>
      <c r="H29" s="1152"/>
      <c r="I29" s="1152"/>
      <c r="J29" s="1152"/>
      <c r="K29" s="1152"/>
      <c r="L29" s="1069"/>
      <c r="M29" s="1069"/>
      <c r="N29" s="1069"/>
      <c r="O29" s="1069"/>
      <c r="P29" s="1069"/>
      <c r="Q29" s="1069"/>
      <c r="R29" s="197"/>
      <c r="S29" s="687"/>
      <c r="T29" s="688"/>
      <c r="U29" s="124"/>
      <c r="V29" s="123"/>
      <c r="W29" s="123"/>
      <c r="X29" s="123"/>
      <c r="Y29" s="123"/>
      <c r="Z29" s="123"/>
      <c r="AA29" s="123"/>
      <c r="AB29" s="123"/>
      <c r="AC29" s="123"/>
      <c r="AD29" s="123"/>
    </row>
    <row r="30" spans="1:30" s="51" customFormat="1" ht="13.4" customHeight="1" x14ac:dyDescent="0.25">
      <c r="A30" s="123"/>
      <c r="B30" s="687"/>
      <c r="D30" s="1153" t="str">
        <f>Translations!$B$1438</f>
        <v>Please note:</v>
      </c>
      <c r="E30" s="1153"/>
      <c r="F30" s="1153"/>
      <c r="G30" s="1153"/>
      <c r="H30" s="1153"/>
      <c r="I30" s="1153"/>
      <c r="J30" s="1153"/>
      <c r="K30" s="1153"/>
      <c r="L30" s="1034"/>
      <c r="M30" s="1034"/>
      <c r="N30" s="1034"/>
      <c r="O30" s="1034"/>
      <c r="P30" s="1034"/>
      <c r="Q30" s="1034"/>
      <c r="R30" s="299"/>
      <c r="S30" s="687"/>
      <c r="T30" s="688"/>
      <c r="U30" s="124"/>
      <c r="V30" s="123"/>
      <c r="W30" s="123"/>
      <c r="X30" s="123"/>
      <c r="Y30" s="123"/>
      <c r="Z30" s="123"/>
      <c r="AA30" s="123"/>
      <c r="AB30" s="123"/>
      <c r="AC30" s="123"/>
      <c r="AD30" s="123"/>
    </row>
    <row r="31" spans="1:30" s="51" customFormat="1" ht="26.5" customHeight="1" x14ac:dyDescent="0.25">
      <c r="A31" s="123"/>
      <c r="B31" s="687"/>
      <c r="D31" s="1165" t="str">
        <f>Translations!$B$906</f>
        <v xml:space="preserve">preliminary EF </v>
      </c>
      <c r="E31" s="1166"/>
      <c r="F31" s="1167" t="str">
        <f>Translations!$B$1439</f>
        <v>The „preliminary emission factor" is the assumed total emission factor of a mixed fuel or material based on the total carbon content before multiplying it with the fossil fraction to result in the emission factor. For Aviation, the EF is usually reported as t CO2/t.</v>
      </c>
      <c r="G31" s="1167"/>
      <c r="H31" s="1167"/>
      <c r="I31" s="1167"/>
      <c r="J31" s="1167"/>
      <c r="K31" s="1167"/>
      <c r="L31" s="1167"/>
      <c r="M31" s="1166"/>
      <c r="N31" s="1166"/>
      <c r="O31" s="1166"/>
      <c r="P31" s="1166"/>
      <c r="Q31" s="1168"/>
      <c r="R31" s="299"/>
      <c r="S31" s="687"/>
      <c r="T31" s="688"/>
      <c r="U31" s="124"/>
      <c r="V31" s="123"/>
      <c r="W31" s="123"/>
      <c r="X31" s="123"/>
      <c r="Y31" s="123"/>
      <c r="Z31" s="123"/>
      <c r="AA31" s="123"/>
      <c r="AB31" s="123"/>
      <c r="AC31" s="123"/>
      <c r="AD31" s="123"/>
    </row>
    <row r="32" spans="1:30" s="51" customFormat="1" ht="13.4" customHeight="1" x14ac:dyDescent="0.25">
      <c r="A32" s="123"/>
      <c r="B32" s="687"/>
      <c r="D32" s="1165" t="str">
        <f>Translations!$B$651</f>
        <v>NCV</v>
      </c>
      <c r="E32" s="1166"/>
      <c r="F32" s="1167" t="str">
        <f>Translations!$B$908</f>
        <v>Net calorific value. Proxy data is to be reported for completeness purposes. In this template it is not used for emission calculation.</v>
      </c>
      <c r="G32" s="1167"/>
      <c r="H32" s="1167"/>
      <c r="I32" s="1167"/>
      <c r="J32" s="1167"/>
      <c r="K32" s="1167"/>
      <c r="L32" s="1167"/>
      <c r="M32" s="1166"/>
      <c r="N32" s="1166"/>
      <c r="O32" s="1166"/>
      <c r="P32" s="1166"/>
      <c r="Q32" s="1168"/>
      <c r="R32" s="299"/>
      <c r="S32" s="687"/>
      <c r="T32" s="688"/>
      <c r="U32" s="124"/>
      <c r="V32" s="123"/>
      <c r="W32" s="123"/>
      <c r="X32" s="123"/>
      <c r="Y32" s="123"/>
      <c r="Z32" s="123"/>
      <c r="AA32" s="123"/>
      <c r="AB32" s="123"/>
      <c r="AC32" s="123"/>
      <c r="AD32" s="123"/>
    </row>
    <row r="33" spans="1:30" s="51" customFormat="1" ht="5.15" customHeight="1" x14ac:dyDescent="0.25">
      <c r="A33" s="123"/>
      <c r="B33" s="687"/>
      <c r="D33" s="535"/>
      <c r="E33" s="537"/>
      <c r="F33" s="537"/>
      <c r="G33" s="537"/>
      <c r="H33" s="537"/>
      <c r="I33" s="537"/>
      <c r="J33" s="537"/>
      <c r="K33" s="537"/>
      <c r="L33" s="537"/>
      <c r="M33" s="537"/>
      <c r="N33" s="75"/>
      <c r="S33" s="687"/>
      <c r="T33" s="688"/>
      <c r="U33" s="124"/>
      <c r="V33" s="123"/>
      <c r="W33" s="123"/>
      <c r="X33" s="123"/>
      <c r="Y33" s="123"/>
      <c r="Z33" s="123"/>
      <c r="AA33" s="123"/>
      <c r="AB33" s="123"/>
      <c r="AC33" s="123"/>
      <c r="AD33" s="123"/>
    </row>
    <row r="34" spans="1:30" ht="26.5" customHeight="1" x14ac:dyDescent="0.25">
      <c r="B34" s="687"/>
      <c r="D34" s="1153" t="str">
        <f>Translations!$B$1440</f>
        <v>Please also provide information about the fuel type of each alternative fuel used. A list of each fuel type, its corresponding short name and a description of the fuel type is provided below. By checking the automatically filled (green) cells, please ensure if you have selected the correct fuel type (e.g.: not all fuel types correspond to zero-rated fuels).</v>
      </c>
      <c r="E34" s="1153"/>
      <c r="F34" s="1153"/>
      <c r="G34" s="1153"/>
      <c r="H34" s="1153"/>
      <c r="I34" s="1153"/>
      <c r="J34" s="1153"/>
      <c r="K34" s="1153"/>
      <c r="L34" s="1034"/>
      <c r="M34" s="1034"/>
      <c r="N34" s="1034"/>
      <c r="O34" s="1034"/>
      <c r="P34" s="1034"/>
      <c r="Q34" s="1034"/>
      <c r="R34" s="299"/>
      <c r="S34" s="687"/>
      <c r="T34" s="688"/>
    </row>
    <row r="35" spans="1:30" ht="5.15" customHeight="1" x14ac:dyDescent="0.25">
      <c r="B35" s="687"/>
      <c r="S35" s="687"/>
      <c r="T35" s="688"/>
    </row>
    <row r="36" spans="1:30" ht="13.4" customHeight="1" x14ac:dyDescent="0.25">
      <c r="B36" s="687"/>
      <c r="D36" s="1212" t="str">
        <f>Translations!$B$1441</f>
        <v>Alternative fuel types</v>
      </c>
      <c r="E36" s="1213"/>
      <c r="F36" s="542" t="str">
        <f>Translations!$B$1442</f>
        <v>Short name</v>
      </c>
      <c r="G36" s="543" t="str">
        <f>Translations!$B$1443</f>
        <v>Description of the fuel type</v>
      </c>
      <c r="H36" s="697"/>
      <c r="I36" s="697"/>
      <c r="J36" s="697"/>
      <c r="K36" s="697"/>
      <c r="L36" s="697"/>
      <c r="M36" s="697"/>
      <c r="N36" s="697"/>
      <c r="O36" s="697"/>
      <c r="P36" s="543" t="str">
        <f>Translations!$B$1444</f>
        <v>MRR category</v>
      </c>
      <c r="Q36" s="543" t="str">
        <f>Translations!$B$1445</f>
        <v>Support level</v>
      </c>
      <c r="R36" s="215"/>
      <c r="S36" s="687"/>
      <c r="T36" s="688"/>
    </row>
    <row r="37" spans="1:30" ht="13.4" customHeight="1" x14ac:dyDescent="0.25">
      <c r="B37" s="687"/>
      <c r="D37" s="1243" t="str">
        <f>Translations!$B$1446</f>
        <v>Advanced aviation biofuel</v>
      </c>
      <c r="E37" s="1244"/>
      <c r="F37" s="541" t="str">
        <f>Translations!$B$1447</f>
        <v>Adv. Biofuel</v>
      </c>
      <c r="G37" s="1245" t="str">
        <f>Translations!$B$1448</f>
        <v>Biofuels produced from the feedstock listed in Part A Annex IX to Directive 2018/2001 and that are certified in compliance with Article 30 of that Directive</v>
      </c>
      <c r="H37" s="1246"/>
      <c r="I37" s="1246"/>
      <c r="J37" s="1246"/>
      <c r="K37" s="1246"/>
      <c r="L37" s="1246"/>
      <c r="M37" s="1246"/>
      <c r="N37" s="1246"/>
      <c r="O37" s="1246"/>
      <c r="P37" s="539" t="str">
        <f>Translations!$B$184</f>
        <v>Biofuel</v>
      </c>
      <c r="Q37" s="553">
        <v>0.7</v>
      </c>
      <c r="R37" s="775"/>
      <c r="S37" s="687"/>
      <c r="T37" s="688"/>
    </row>
    <row r="38" spans="1:30" ht="13.4" customHeight="1" x14ac:dyDescent="0.25">
      <c r="B38" s="687"/>
      <c r="D38" s="1177" t="str">
        <f>Translations!$B$1449</f>
        <v>Aviation Biofuel</v>
      </c>
      <c r="E38" s="1178"/>
      <c r="F38" s="539" t="str">
        <f>Translations!$B$184</f>
        <v>Biofuel</v>
      </c>
      <c r="G38" s="1186" t="str">
        <f>Translations!$B$1450</f>
        <v>Biofuels produced from feedstock listed in Part B Annex IX to Directive 2018/2001 and that are certified in compliance with Article 30 of that Directive</v>
      </c>
      <c r="H38" s="1187"/>
      <c r="I38" s="1187"/>
      <c r="J38" s="1187"/>
      <c r="K38" s="1187"/>
      <c r="L38" s="1187"/>
      <c r="M38" s="1187"/>
      <c r="N38" s="1187"/>
      <c r="O38" s="1187"/>
      <c r="P38" s="539" t="str">
        <f>Translations!$B$184</f>
        <v>Biofuel</v>
      </c>
      <c r="Q38" s="554">
        <v>0.5</v>
      </c>
      <c r="R38" s="775"/>
      <c r="S38" s="687"/>
      <c r="T38" s="688"/>
    </row>
    <row r="39" spans="1:30" ht="26.5" customHeight="1" x14ac:dyDescent="0.25">
      <c r="B39" s="687"/>
      <c r="D39" s="1177" t="str">
        <f>Translations!$B$1451</f>
        <v>Other aviation biofuel</v>
      </c>
      <c r="E39" s="1178"/>
      <c r="F39" s="539" t="str">
        <f>Translations!$B$1452</f>
        <v>Other Biofuel</v>
      </c>
      <c r="G39" s="1186" t="str">
        <f>Translations!$B$1453</f>
        <v>Biofuels produced from the feedstock not listed in Annex IX to Directive 2018/2001 except for those produced from food and feed crops and that are certified in compliance with Article 30 of that Directive</v>
      </c>
      <c r="H39" s="1187"/>
      <c r="I39" s="1187"/>
      <c r="J39" s="1187"/>
      <c r="K39" s="1187"/>
      <c r="L39" s="1187"/>
      <c r="M39" s="1187"/>
      <c r="N39" s="1187"/>
      <c r="O39" s="1187"/>
      <c r="P39" s="539" t="str">
        <f>Translations!$B$184</f>
        <v>Biofuel</v>
      </c>
      <c r="Q39" s="554">
        <v>0.5</v>
      </c>
      <c r="R39" s="775"/>
      <c r="S39" s="687"/>
      <c r="T39" s="688"/>
    </row>
    <row r="40" spans="1:30" ht="26.5" customHeight="1" x14ac:dyDescent="0.25">
      <c r="B40" s="687"/>
      <c r="D40" s="1177" t="str">
        <f>Translations!$B$1454</f>
        <v>Co-processed advanced biofuel</v>
      </c>
      <c r="E40" s="1178"/>
      <c r="F40" s="539" t="str">
        <f>Translations!$B$1455</f>
        <v>Co-prod. Adv. Biofuel</v>
      </c>
      <c r="G40" s="1186" t="str">
        <f>Translations!$B$1456</f>
        <v>Co-products in a conventional refinery produced from the feedstock listed in Part A Annex IX of Directive 2018/2001 and that are certified in compliance with Article 30 of that Directive</v>
      </c>
      <c r="H40" s="1187"/>
      <c r="I40" s="1187"/>
      <c r="J40" s="1187"/>
      <c r="K40" s="1187"/>
      <c r="L40" s="1187"/>
      <c r="M40" s="1187"/>
      <c r="N40" s="1187"/>
      <c r="O40" s="1187"/>
      <c r="P40" s="539" t="str">
        <f>Translations!$B$184</f>
        <v>Biofuel</v>
      </c>
      <c r="Q40" s="554">
        <v>0.7</v>
      </c>
      <c r="R40" s="775"/>
      <c r="S40" s="687"/>
      <c r="T40" s="688"/>
    </row>
    <row r="41" spans="1:30" ht="13.4" customHeight="1" x14ac:dyDescent="0.25">
      <c r="B41" s="687"/>
      <c r="D41" s="1177" t="str">
        <f>Translations!$B$1457</f>
        <v>Co-processed biofuel</v>
      </c>
      <c r="E41" s="1178"/>
      <c r="F41" s="539" t="str">
        <f>Translations!$B$1458</f>
        <v>Co-prod. Biofuel</v>
      </c>
      <c r="G41" s="1186" t="str">
        <f>Translations!$B$1459</f>
        <v>Co-products in a conventional refinery other than advanced co-processed fuels and that are certified in compliance with Article 30 of that Directive</v>
      </c>
      <c r="H41" s="1187"/>
      <c r="I41" s="1187"/>
      <c r="J41" s="1187"/>
      <c r="K41" s="1187"/>
      <c r="L41" s="1187"/>
      <c r="M41" s="1187"/>
      <c r="N41" s="1187"/>
      <c r="O41" s="1187"/>
      <c r="P41" s="539" t="str">
        <f>Translations!$B$184</f>
        <v>Biofuel</v>
      </c>
      <c r="Q41" s="554">
        <v>0.5</v>
      </c>
      <c r="R41" s="775"/>
      <c r="S41" s="687"/>
      <c r="T41" s="688"/>
    </row>
    <row r="42" spans="1:30" ht="13.4" customHeight="1" x14ac:dyDescent="0.25">
      <c r="B42" s="687"/>
      <c r="D42" s="1177" t="str">
        <f>Translations!$B$1460</f>
        <v>Non-Eligible biofuels</v>
      </c>
      <c r="E42" s="1178"/>
      <c r="F42" s="539" t="str">
        <f>Translations!$B$1461</f>
        <v>Non-El. Biofuel</v>
      </c>
      <c r="G42" s="1186" t="str">
        <f>Translations!$B$1462</f>
        <v>Biofuels that are certified in compliance with Article 30 of Directive 2018/2001 and produced from food and feed crops</v>
      </c>
      <c r="H42" s="1187"/>
      <c r="I42" s="1187"/>
      <c r="J42" s="1187"/>
      <c r="K42" s="1187"/>
      <c r="L42" s="1187"/>
      <c r="M42" s="1187"/>
      <c r="N42" s="1187"/>
      <c r="O42" s="1187"/>
      <c r="P42" s="539" t="str">
        <f>Translations!$B$184</f>
        <v>Biofuel</v>
      </c>
      <c r="Q42" s="554" t="str">
        <f>Euconst_NA</f>
        <v>n.a.</v>
      </c>
      <c r="R42" s="775"/>
      <c r="S42" s="687"/>
      <c r="T42" s="688"/>
    </row>
    <row r="43" spans="1:30" ht="13.4" customHeight="1" x14ac:dyDescent="0.25">
      <c r="B43" s="687"/>
      <c r="D43" s="1177" t="str">
        <f>Translations!$B$1463</f>
        <v>Non-zero-rated biofuels</v>
      </c>
      <c r="E43" s="1178"/>
      <c r="F43" s="539" t="str">
        <f>Translations!$B$1464</f>
        <v>Non-zero Biofuel</v>
      </c>
      <c r="G43" s="1186" t="str">
        <f>Translations!$B$1465</f>
        <v>Biofuels that are not certified in compliance with Article 30 of Directive 2018/2001</v>
      </c>
      <c r="H43" s="1187"/>
      <c r="I43" s="1187"/>
      <c r="J43" s="1187"/>
      <c r="K43" s="1187"/>
      <c r="L43" s="1187"/>
      <c r="M43" s="1187"/>
      <c r="N43" s="1187"/>
      <c r="O43" s="1187"/>
      <c r="P43" s="539" t="str">
        <f>Translations!$B$184</f>
        <v>Biofuel</v>
      </c>
      <c r="Q43" s="554" t="str">
        <f>Euconst_NA</f>
        <v>n.a.</v>
      </c>
      <c r="R43" s="775"/>
      <c r="S43" s="687"/>
      <c r="T43" s="688"/>
    </row>
    <row r="44" spans="1:30" ht="13.4" customHeight="1" x14ac:dyDescent="0.25">
      <c r="B44" s="687"/>
      <c r="D44" s="1177" t="str">
        <f>Translations!$B$1466</f>
        <v>RFNBO</v>
      </c>
      <c r="E44" s="1178"/>
      <c r="F44" s="539" t="str">
        <f>Translations!$B$1466</f>
        <v>RFNBO</v>
      </c>
      <c r="G44" s="1186" t="str">
        <f>Translations!$B$1467</f>
        <v>Drop-in renewable fuels of non-biological origin as defined in Article 2, point (36) of Directive 2018/2001 and that are certified in compliance with Article 30 of that Directive</v>
      </c>
      <c r="H44" s="1187"/>
      <c r="I44" s="1187"/>
      <c r="J44" s="1187"/>
      <c r="K44" s="1187"/>
      <c r="L44" s="1187"/>
      <c r="M44" s="1187"/>
      <c r="N44" s="1187"/>
      <c r="O44" s="1187"/>
      <c r="P44" s="539" t="str">
        <f>Translations!$B$1468</f>
        <v>RFNBO/RCF</v>
      </c>
      <c r="Q44" s="554">
        <v>0.95</v>
      </c>
      <c r="R44" s="775"/>
      <c r="S44" s="687"/>
      <c r="T44" s="688"/>
    </row>
    <row r="45" spans="1:30" ht="13.4" customHeight="1" x14ac:dyDescent="0.25">
      <c r="B45" s="687"/>
      <c r="D45" s="1177" t="str">
        <f>Translations!$B$1469</f>
        <v>RCF</v>
      </c>
      <c r="E45" s="1178"/>
      <c r="F45" s="539" t="str">
        <f>Translations!$B$1469</f>
        <v>RCF</v>
      </c>
      <c r="G45" s="1186" t="str">
        <f>Translations!$B$1470</f>
        <v>Recycled carbon fuels as defined in Article 2, point (35) of Directive (EU) 2018/2001 and that are certified in compliance with Article 30 of that Directive</v>
      </c>
      <c r="H45" s="1187"/>
      <c r="I45" s="1187"/>
      <c r="J45" s="1187"/>
      <c r="K45" s="1187"/>
      <c r="L45" s="1187"/>
      <c r="M45" s="1187"/>
      <c r="N45" s="1187"/>
      <c r="O45" s="1187"/>
      <c r="P45" s="539" t="str">
        <f>Translations!$B$1468</f>
        <v>RFNBO/RCF</v>
      </c>
      <c r="Q45" s="554" t="str">
        <f>Euconst_NA</f>
        <v>n.a.</v>
      </c>
      <c r="R45" s="775"/>
      <c r="S45" s="687"/>
      <c r="T45" s="688"/>
    </row>
    <row r="46" spans="1:30" ht="13.4" customHeight="1" x14ac:dyDescent="0.25">
      <c r="B46" s="687"/>
      <c r="D46" s="1177" t="str">
        <f>Translations!$B$1471</f>
        <v>Non-zero-rated RFNBO</v>
      </c>
      <c r="E46" s="1178"/>
      <c r="F46" s="539" t="str">
        <f>Translations!$B$1472</f>
        <v>Non-zero RFNBO</v>
      </c>
      <c r="G46" s="1186" t="str">
        <f>Translations!$B$1473</f>
        <v>Drop-in renewable fuels of non-biological origin as defined in Article 2, point (36) of Directive 2018/2001 and that are NOT certified in compliance with Article 30 of that Directive</v>
      </c>
      <c r="H46" s="1187"/>
      <c r="I46" s="1187"/>
      <c r="J46" s="1187"/>
      <c r="K46" s="1187"/>
      <c r="L46" s="1187"/>
      <c r="M46" s="1187"/>
      <c r="N46" s="1187"/>
      <c r="O46" s="1187"/>
      <c r="P46" s="539" t="str">
        <f>Translations!$B$1468</f>
        <v>RFNBO/RCF</v>
      </c>
      <c r="Q46" s="554" t="str">
        <f>Euconst_NA</f>
        <v>n.a.</v>
      </c>
      <c r="R46" s="775"/>
      <c r="S46" s="687"/>
      <c r="T46" s="688"/>
    </row>
    <row r="47" spans="1:30" ht="13.4" customHeight="1" x14ac:dyDescent="0.25">
      <c r="B47" s="687"/>
      <c r="D47" s="1177" t="str">
        <f>Translations!$B$1474</f>
        <v>Non-zero-rated RCF</v>
      </c>
      <c r="E47" s="1178"/>
      <c r="F47" s="539" t="str">
        <f>Translations!$B$1475</f>
        <v>Non-zero RCF</v>
      </c>
      <c r="G47" s="1186" t="str">
        <f>Translations!$B$1476</f>
        <v>Recycled carbon fuels as defined in Article 2, point (35) of Directive (EU) 2018/2001 and that are NOT certified in compliance with Article 30 of that Directive</v>
      </c>
      <c r="H47" s="1187"/>
      <c r="I47" s="1187"/>
      <c r="J47" s="1187"/>
      <c r="K47" s="1187"/>
      <c r="L47" s="1187"/>
      <c r="M47" s="1187"/>
      <c r="N47" s="1187"/>
      <c r="O47" s="1187"/>
      <c r="P47" s="539" t="str">
        <f>Translations!$B$1468</f>
        <v>RFNBO/RCF</v>
      </c>
      <c r="Q47" s="554" t="str">
        <f>Euconst_NA</f>
        <v>n.a.</v>
      </c>
      <c r="R47" s="775"/>
      <c r="S47" s="687"/>
      <c r="T47" s="688"/>
    </row>
    <row r="48" spans="1:30" ht="26.5" customHeight="1" x14ac:dyDescent="0.25">
      <c r="B48" s="687"/>
      <c r="D48" s="1177" t="str">
        <f>Translations!$B$1477</f>
        <v>non-fossil SLCF</v>
      </c>
      <c r="E48" s="1178"/>
      <c r="F48" s="539" t="str">
        <f>Translations!$B$1478</f>
        <v>non-foss SLCF</v>
      </c>
      <c r="G48" s="1186" t="str">
        <f>Translations!$B$1479</f>
        <v>Synthetic low-carbon aviation fuels as defined in Article 3, point (13) of Regulation (EU) 2023/2405 that is not derived from fossil fuels and is complying with the required greenhouse gas reduction criterion</v>
      </c>
      <c r="H48" s="1187"/>
      <c r="I48" s="1187"/>
      <c r="J48" s="1187"/>
      <c r="K48" s="1187"/>
      <c r="L48" s="1187"/>
      <c r="M48" s="1187"/>
      <c r="N48" s="1187"/>
      <c r="O48" s="1187"/>
      <c r="P48" s="539" t="str">
        <f>Translations!$B$1480</f>
        <v>SLCF</v>
      </c>
      <c r="Q48" s="554">
        <v>0.5</v>
      </c>
      <c r="R48" s="775"/>
      <c r="S48" s="687"/>
      <c r="T48" s="688"/>
    </row>
    <row r="49" spans="2:30" ht="26.5" customHeight="1" x14ac:dyDescent="0.25">
      <c r="B49" s="687"/>
      <c r="D49" s="1177" t="str">
        <f>Translations!$B$1481</f>
        <v>SLCF (fossil)</v>
      </c>
      <c r="E49" s="1178"/>
      <c r="F49" s="539" t="str">
        <f>Translations!$B$1480</f>
        <v>SLCF</v>
      </c>
      <c r="G49" s="1186" t="str">
        <f>Translations!$B$1482</f>
        <v>Synthetic low-carbon aviation fuels as defined in Article 3, point (13) of Regulation (EU) 2023/2405 that is not derived from fossil fuels</v>
      </c>
      <c r="H49" s="1187"/>
      <c r="I49" s="1187"/>
      <c r="J49" s="1187"/>
      <c r="K49" s="1187"/>
      <c r="L49" s="1187"/>
      <c r="M49" s="1187"/>
      <c r="N49" s="1187"/>
      <c r="O49" s="1187"/>
      <c r="P49" s="539" t="str">
        <f>Translations!$B$1480</f>
        <v>SLCF</v>
      </c>
      <c r="Q49" s="554" t="str">
        <f>Euconst_NA</f>
        <v>n.a.</v>
      </c>
      <c r="R49" s="775"/>
      <c r="S49" s="687"/>
      <c r="T49" s="688"/>
    </row>
    <row r="50" spans="2:30" ht="26.5" customHeight="1" x14ac:dyDescent="0.25">
      <c r="B50" s="687"/>
      <c r="D50" s="1177" t="str">
        <f>Translations!$B$1483</f>
        <v>non-zero-rated SLCF</v>
      </c>
      <c r="E50" s="1178"/>
      <c r="F50" s="539" t="str">
        <f>Translations!$B$1484</f>
        <v>Non-zero SLCF</v>
      </c>
      <c r="G50" s="1186" t="str">
        <f>Translations!$B$1485</f>
        <v>Synthetic low-carbon aviation fuels as defined in Article 3, point (13) of Regulation (EU) 2023/2405 that is derived from fossil fuels and/or is NOT complying with the required greenhouse gas reduction criterion</v>
      </c>
      <c r="H50" s="1187"/>
      <c r="I50" s="1187"/>
      <c r="J50" s="1187"/>
      <c r="K50" s="1187"/>
      <c r="L50" s="1187"/>
      <c r="M50" s="1187"/>
      <c r="N50" s="1187"/>
      <c r="O50" s="1187"/>
      <c r="P50" s="539" t="str">
        <f>Translations!$B$1480</f>
        <v>SLCF</v>
      </c>
      <c r="Q50" s="554" t="str">
        <f>Euconst_NA</f>
        <v>n.a.</v>
      </c>
      <c r="R50" s="775"/>
      <c r="S50" s="687"/>
      <c r="T50" s="688"/>
    </row>
    <row r="51" spans="2:30" ht="13.4" customHeight="1" thickBot="1" x14ac:dyDescent="0.3">
      <c r="B51" s="687"/>
      <c r="D51" s="1177" t="str">
        <f>Translations!$B$1197</f>
        <v>Other</v>
      </c>
      <c r="E51" s="1178"/>
      <c r="F51" s="539" t="str">
        <f>Translations!$B$1197</f>
        <v>Other</v>
      </c>
      <c r="G51" s="1186" t="str">
        <f>Translations!$B$1486</f>
        <v>Any other drop-in aviation fuel not listed above</v>
      </c>
      <c r="H51" s="1187"/>
      <c r="I51" s="1187"/>
      <c r="J51" s="1187"/>
      <c r="K51" s="1187"/>
      <c r="L51" s="1187"/>
      <c r="M51" s="1187"/>
      <c r="N51" s="1187"/>
      <c r="O51" s="1187"/>
      <c r="P51" s="539" t="str">
        <f>Translations!$B$1197</f>
        <v>Other</v>
      </c>
      <c r="Q51" s="554" t="str">
        <f>Euconst_NA</f>
        <v>n.a.</v>
      </c>
      <c r="R51" s="775"/>
      <c r="S51" s="687"/>
      <c r="T51" s="688"/>
    </row>
    <row r="52" spans="2:30" ht="26.5" customHeight="1" x14ac:dyDescent="0.3">
      <c r="B52" s="687"/>
      <c r="D52" s="1177" t="str">
        <f>Translations!$B$1487</f>
        <v>Other Aviation fuel (Manual input)</v>
      </c>
      <c r="E52" s="1178"/>
      <c r="F52" s="539" t="str">
        <f>Translations!$B$1488</f>
        <v>Other (manual)</v>
      </c>
      <c r="G52" s="1186" t="str">
        <f>Translations!$B$1489</f>
        <v>Any other drop-in aviation fuel not listed above, open to complete manual input, i.e. there is the possibility to enter an emission factor or NCV different from standard aviation fuels, dtermined in accordance with Articles 32 to 35 of the MRR.</v>
      </c>
      <c r="H52" s="1187"/>
      <c r="I52" s="1187"/>
      <c r="J52" s="1187"/>
      <c r="K52" s="1187"/>
      <c r="L52" s="1187"/>
      <c r="M52" s="1187"/>
      <c r="N52" s="1187"/>
      <c r="O52" s="1187"/>
      <c r="P52" s="539" t="str">
        <f>Translations!$B$1488</f>
        <v>Other (manual)</v>
      </c>
      <c r="Q52" s="554" t="str">
        <f>Translations!$B$1490</f>
        <v>Manual input</v>
      </c>
      <c r="R52" s="775"/>
      <c r="S52" s="687"/>
      <c r="T52" s="688"/>
      <c r="U52" s="677" t="s">
        <v>129</v>
      </c>
      <c r="V52" s="678"/>
      <c r="W52" s="678"/>
      <c r="X52" s="678"/>
      <c r="Y52" s="678"/>
      <c r="Z52" s="679"/>
    </row>
    <row r="53" spans="2:30" ht="13" thickBot="1" x14ac:dyDescent="0.3">
      <c r="B53" s="687"/>
      <c r="D53" s="535"/>
      <c r="E53" s="2"/>
      <c r="F53" s="2"/>
      <c r="G53" s="2"/>
      <c r="H53" s="2"/>
      <c r="I53" s="2"/>
      <c r="J53" s="2"/>
      <c r="K53" s="2"/>
      <c r="L53" s="2"/>
      <c r="M53" s="2"/>
      <c r="S53" s="687"/>
      <c r="T53" s="688"/>
      <c r="U53" s="567"/>
      <c r="Z53" s="675"/>
    </row>
    <row r="54" spans="2:30" x14ac:dyDescent="0.25">
      <c r="B54" s="687"/>
      <c r="D54" s="1175" t="str">
        <f>Translations!$B$1491</f>
        <v>In the (unlikely) case that you are using fuel types which deviate from the predefined types, you can provide the parameters of such fuels manually in the last two rows of the table below (fuels No. 17 and 18).</v>
      </c>
      <c r="E54" s="1176"/>
      <c r="F54" s="1176"/>
      <c r="G54" s="1176"/>
      <c r="H54" s="1176"/>
      <c r="I54" s="1176"/>
      <c r="J54" s="1176"/>
      <c r="K54" s="1176"/>
      <c r="L54" s="1176"/>
      <c r="M54" s="1176"/>
      <c r="N54" s="1176"/>
      <c r="O54" s="1176"/>
      <c r="P54" s="1176"/>
      <c r="Q54" s="1176"/>
      <c r="R54" s="774"/>
      <c r="S54" s="687"/>
      <c r="T54" s="688"/>
      <c r="U54" s="568" t="s">
        <v>132</v>
      </c>
      <c r="V54" s="118" t="s">
        <v>133</v>
      </c>
      <c r="W54" s="118" t="s">
        <v>134</v>
      </c>
      <c r="X54" s="118" t="s">
        <v>135</v>
      </c>
      <c r="Y54" s="118" t="s">
        <v>136</v>
      </c>
      <c r="Z54" s="675" t="s">
        <v>1968</v>
      </c>
      <c r="AA54" s="681"/>
      <c r="AB54" s="544" t="s">
        <v>131</v>
      </c>
      <c r="AC54" s="745" t="str">
        <f ca="1">IF(ISERROR(CELL("filename",AB54)),"Emissions overview",MID(CELL("filename",AB54),FIND("]",CELL("filename",AB54))+1,1024))</f>
        <v>Emissions overview</v>
      </c>
    </row>
    <row r="55" spans="2:30" ht="13.5" thickBot="1" x14ac:dyDescent="0.35">
      <c r="B55" s="687"/>
      <c r="S55" s="687"/>
      <c r="T55" s="688"/>
      <c r="U55" s="682" t="s">
        <v>138</v>
      </c>
      <c r="V55" s="680" t="s">
        <v>139</v>
      </c>
      <c r="W55" s="680" t="s">
        <v>140</v>
      </c>
      <c r="X55" s="680" t="s">
        <v>141</v>
      </c>
      <c r="Y55" s="680" t="s">
        <v>142</v>
      </c>
      <c r="Z55" s="683" t="s">
        <v>1967</v>
      </c>
      <c r="AA55" s="684" t="s">
        <v>143</v>
      </c>
      <c r="AB55" s="685"/>
      <c r="AC55" s="676" t="s">
        <v>144</v>
      </c>
    </row>
    <row r="56" spans="2:30" ht="26.5" customHeight="1" thickBot="1" x14ac:dyDescent="0.35">
      <c r="B56" s="687"/>
      <c r="D56" s="50" t="str">
        <f>Translations!$B$914</f>
        <v>Fuel No.</v>
      </c>
      <c r="E56" s="1202" t="str">
        <f>Translations!$B$915</f>
        <v>Name of fuel</v>
      </c>
      <c r="F56" s="1193"/>
      <c r="G56" s="478" t="str">
        <f>Translations!$B$1121</f>
        <v>Fuel type</v>
      </c>
      <c r="H56" s="1181" t="str">
        <f>Translations!$B$1492</f>
        <v>MRR Category</v>
      </c>
      <c r="I56" s="1049"/>
      <c r="J56" s="1181" t="str">
        <f>Translations!$B$1493</f>
        <v>Alternative fuel sub-category</v>
      </c>
      <c r="K56" s="1049"/>
      <c r="L56" s="50" t="str">
        <f>Translations!$B$916</f>
        <v>preliminary EF 
[t CO2 / t fuel]</v>
      </c>
      <c r="M56" s="50" t="str">
        <f>Translations!$B$917</f>
        <v>NCV [GJ/t]</v>
      </c>
      <c r="N56" s="50" t="str">
        <f>Translations!$B$1494</f>
        <v>Zero rated fuel</v>
      </c>
      <c r="O56" s="50" t="str">
        <f>Translations!$B$1495</f>
        <v>Eligibility for ETS support</v>
      </c>
      <c r="S56" s="687"/>
      <c r="T56" s="688"/>
      <c r="AA56" s="680"/>
      <c r="AB56" s="118" t="s">
        <v>137</v>
      </c>
      <c r="AC56" s="746" t="str">
        <f>IF(MAX(AA60:AA74)=0,"",ADDRESS(ROW(AC60),COLUMN(AC60),,, AC54) &amp; ":" &amp; ADDRESS(ROW(AC60)+MAX(AA60:AA74)-1,COLUMN(AC60)))</f>
        <v/>
      </c>
    </row>
    <row r="57" spans="2:30" ht="13.4" customHeight="1" x14ac:dyDescent="0.25">
      <c r="B57" s="687"/>
      <c r="D57" s="117">
        <v>1</v>
      </c>
      <c r="E57" s="1203" t="str">
        <f>Translations!$B$273</f>
        <v>Jet kerosene (Jet A1 or Jet A)</v>
      </c>
      <c r="F57" s="1193"/>
      <c r="G57" s="538"/>
      <c r="H57" s="1049" t="str">
        <f>Translations!$B$1496</f>
        <v>Standard aviation fuel</v>
      </c>
      <c r="I57" s="1049"/>
      <c r="J57" s="1049"/>
      <c r="K57" s="1049"/>
      <c r="L57" s="126">
        <v>3.16</v>
      </c>
      <c r="M57" s="127">
        <v>44.1</v>
      </c>
      <c r="N57" s="538"/>
      <c r="O57" s="538"/>
      <c r="S57" s="687"/>
      <c r="T57" s="688"/>
      <c r="V57" s="747" t="s">
        <v>70</v>
      </c>
      <c r="AC57" s="747" t="s">
        <v>70</v>
      </c>
      <c r="AD57" s="742"/>
    </row>
    <row r="58" spans="2:30" ht="13.4" customHeight="1" x14ac:dyDescent="0.25">
      <c r="B58" s="687"/>
      <c r="D58" s="117">
        <f>D57+1</f>
        <v>2</v>
      </c>
      <c r="E58" s="1203" t="str">
        <f>Translations!$B$274</f>
        <v>Jet gasoline (Jet B)</v>
      </c>
      <c r="F58" s="1204"/>
      <c r="G58" s="538"/>
      <c r="H58" s="1049" t="str">
        <f>Translations!$B$1496</f>
        <v>Standard aviation fuel</v>
      </c>
      <c r="I58" s="1049"/>
      <c r="J58" s="1049"/>
      <c r="K58" s="1049"/>
      <c r="L58" s="126">
        <v>3.1</v>
      </c>
      <c r="M58" s="127">
        <v>44.3</v>
      </c>
      <c r="N58" s="538"/>
      <c r="O58" s="538"/>
      <c r="S58" s="687"/>
      <c r="T58" s="688"/>
      <c r="V58" s="748" t="s">
        <v>71</v>
      </c>
      <c r="AC58" s="748" t="s">
        <v>71</v>
      </c>
      <c r="AD58" s="742"/>
    </row>
    <row r="59" spans="2:30" ht="13.4" customHeight="1" thickBot="1" x14ac:dyDescent="0.3">
      <c r="B59" s="687"/>
      <c r="D59" s="117">
        <f>D58+1</f>
        <v>3</v>
      </c>
      <c r="E59" s="1203" t="str">
        <f>Translations!$B$275</f>
        <v>Aviation gasoline (AvGas)</v>
      </c>
      <c r="F59" s="1193"/>
      <c r="G59" s="538"/>
      <c r="H59" s="1049" t="str">
        <f>Translations!$B$1496</f>
        <v>Standard aviation fuel</v>
      </c>
      <c r="I59" s="1049"/>
      <c r="J59" s="1049"/>
      <c r="K59" s="1049"/>
      <c r="L59" s="126">
        <v>3.1</v>
      </c>
      <c r="M59" s="127">
        <v>44.3</v>
      </c>
      <c r="N59" s="538"/>
      <c r="O59" s="538"/>
      <c r="S59" s="687"/>
      <c r="T59" s="688"/>
      <c r="V59" s="756" t="s">
        <v>72</v>
      </c>
      <c r="AC59" s="749" t="s">
        <v>72</v>
      </c>
      <c r="AD59" s="742"/>
    </row>
    <row r="60" spans="2:30" ht="13.4" customHeight="1" x14ac:dyDescent="0.25">
      <c r="B60" s="687"/>
      <c r="D60" s="117">
        <f>D59+1</f>
        <v>4</v>
      </c>
      <c r="E60" s="1179"/>
      <c r="F60" s="1180"/>
      <c r="G60" s="785"/>
      <c r="H60" s="1184"/>
      <c r="I60" s="1185"/>
      <c r="J60" s="1184"/>
      <c r="K60" s="1185"/>
      <c r="L60" s="786" t="str">
        <f t="shared" ref="L60:L72" si="0">IF($E60="","",IF($G60="",ERRmsg_SelectMainFuel,INDEX(CNST_MainFuelEFref,MATCH($G60,CNST_MainFuelTypes,0))))</f>
        <v/>
      </c>
      <c r="M60" s="786" t="str">
        <f t="shared" ref="M60:M72" si="1">IF($E60="","",IF($G60="",ERRmsg_SelectMainFuel,INDEX(CNST_MainFuelNCVref,MATCH($G60,CNST_MainFuelTypes,0))))</f>
        <v/>
      </c>
      <c r="N60" s="555" t="str">
        <f t="shared" ref="N60:N72" si="2">IF($E60="","",IF($J60="",ERRmsg_Incomplete,INDEX(CNST_AltFuelsZero,MATCH($J60,CNST_AltFuelTypesShort,0))))</f>
        <v/>
      </c>
      <c r="O60" s="556" t="str">
        <f t="shared" ref="O60:O72" si="3">IF($E60="","",IF($J60="",ERRmsg_Incomplete,IF(INDEX(CNST_AltFuelsSupportRate,MATCH($J60,CNST_AltFuelTypesShort,0))="","",INDEX(CNST_AltFuelsSupportRate,MATCH($J60,CNST_AltFuelTypesShort,0)))))</f>
        <v/>
      </c>
      <c r="S60" s="687"/>
      <c r="T60" s="688"/>
      <c r="U60" s="757" t="b">
        <f t="shared" ref="U60:U72" si="4">AND(E60&lt;&gt;"",G60&lt;&gt;"",J60&lt;&gt;"")</f>
        <v>0</v>
      </c>
      <c r="V60" s="758" t="str">
        <f>IF(E60="","",CONCATENATE(D60, ". ",E60))</f>
        <v/>
      </c>
      <c r="W60" s="743" t="b">
        <f t="shared" ref="W60:W74" si="5">$H60=INDEX(CNST_AltMainFuels,1)</f>
        <v>0</v>
      </c>
      <c r="X60" s="744" t="b">
        <f t="shared" ref="X60:X74" si="6">$H60=INDEX(CNST_AltMainFuels,2)</f>
        <v>0</v>
      </c>
      <c r="Y60" s="744" t="b">
        <f t="shared" ref="Y60:Y74" si="7">$H60=INDEX(CNST_AltMainFuels,3)</f>
        <v>0</v>
      </c>
      <c r="Z60" s="762" t="b">
        <f t="shared" ref="Z60:Z74" si="8">$H60=INDEX(CNST_AltMainFuels,4)</f>
        <v>0</v>
      </c>
      <c r="AA60" s="743" t="str">
        <f>IF(U60=FALSE,"",COUNTIF(U$60:U60,TRUE))</f>
        <v/>
      </c>
      <c r="AB60" s="744">
        <v>1</v>
      </c>
      <c r="AC60" s="574" t="str">
        <f t="shared" ref="AC60:AC74" si="9">IFERROR(INDEX( $V$60:$V$74,MATCH(AB60,$AA$60:$AA$74,0)),"")</f>
        <v/>
      </c>
    </row>
    <row r="61" spans="2:30" ht="13.4" customHeight="1" x14ac:dyDescent="0.25">
      <c r="B61" s="687"/>
      <c r="D61" s="117">
        <f t="shared" ref="D61:D66" si="10">D60+1</f>
        <v>5</v>
      </c>
      <c r="E61" s="1179"/>
      <c r="F61" s="1180"/>
      <c r="G61" s="785"/>
      <c r="H61" s="1184"/>
      <c r="I61" s="1185"/>
      <c r="J61" s="1184"/>
      <c r="K61" s="1185"/>
      <c r="L61" s="786" t="str">
        <f t="shared" si="0"/>
        <v/>
      </c>
      <c r="M61" s="786" t="str">
        <f t="shared" si="1"/>
        <v/>
      </c>
      <c r="N61" s="555" t="str">
        <f t="shared" si="2"/>
        <v/>
      </c>
      <c r="O61" s="556" t="str">
        <f t="shared" si="3"/>
        <v/>
      </c>
      <c r="S61" s="687"/>
      <c r="T61" s="688"/>
      <c r="U61" s="752" t="b">
        <f t="shared" si="4"/>
        <v>0</v>
      </c>
      <c r="V61" s="754" t="str">
        <f t="shared" ref="V61:V74" si="11">IF(E61="","",CONCATENATE(D61, ". ",E61))</f>
        <v/>
      </c>
      <c r="W61" s="569" t="b">
        <f t="shared" si="5"/>
        <v>0</v>
      </c>
      <c r="X61" s="116" t="b">
        <f t="shared" si="6"/>
        <v>0</v>
      </c>
      <c r="Y61" s="116" t="b">
        <f t="shared" si="7"/>
        <v>0</v>
      </c>
      <c r="Z61" s="763" t="b">
        <f t="shared" si="8"/>
        <v>0</v>
      </c>
      <c r="AA61" s="569" t="str">
        <f>IF(U61=FALSE,"",COUNTIF(U$60:U61,TRUE))</f>
        <v/>
      </c>
      <c r="AB61" s="116">
        <f>AB60+1</f>
        <v>2</v>
      </c>
      <c r="AC61" s="570" t="str">
        <f t="shared" si="9"/>
        <v/>
      </c>
    </row>
    <row r="62" spans="2:30" ht="13.4" customHeight="1" x14ac:dyDescent="0.25">
      <c r="B62" s="687"/>
      <c r="D62" s="117">
        <f t="shared" si="10"/>
        <v>6</v>
      </c>
      <c r="E62" s="1179"/>
      <c r="F62" s="1180"/>
      <c r="G62" s="785"/>
      <c r="H62" s="1184"/>
      <c r="I62" s="1185"/>
      <c r="J62" s="1184"/>
      <c r="K62" s="1185"/>
      <c r="L62" s="786" t="str">
        <f t="shared" si="0"/>
        <v/>
      </c>
      <c r="M62" s="786" t="str">
        <f t="shared" si="1"/>
        <v/>
      </c>
      <c r="N62" s="555" t="str">
        <f t="shared" si="2"/>
        <v/>
      </c>
      <c r="O62" s="556" t="str">
        <f t="shared" si="3"/>
        <v/>
      </c>
      <c r="S62" s="687"/>
      <c r="T62" s="688"/>
      <c r="U62" s="752" t="b">
        <f t="shared" si="4"/>
        <v>0</v>
      </c>
      <c r="V62" s="754" t="str">
        <f t="shared" si="11"/>
        <v/>
      </c>
      <c r="W62" s="569" t="b">
        <f t="shared" si="5"/>
        <v>0</v>
      </c>
      <c r="X62" s="116" t="b">
        <f t="shared" si="6"/>
        <v>0</v>
      </c>
      <c r="Y62" s="116" t="b">
        <f t="shared" si="7"/>
        <v>0</v>
      </c>
      <c r="Z62" s="763" t="b">
        <f t="shared" si="8"/>
        <v>0</v>
      </c>
      <c r="AA62" s="569" t="str">
        <f>IF(U62=FALSE,"",COUNTIF(U$60:U62,TRUE))</f>
        <v/>
      </c>
      <c r="AB62" s="116">
        <f t="shared" ref="AB62:AB74" si="12">AB61+1</f>
        <v>3</v>
      </c>
      <c r="AC62" s="570" t="str">
        <f t="shared" si="9"/>
        <v/>
      </c>
    </row>
    <row r="63" spans="2:30" ht="13.4" customHeight="1" x14ac:dyDescent="0.25">
      <c r="B63" s="687"/>
      <c r="D63" s="117">
        <f t="shared" si="10"/>
        <v>7</v>
      </c>
      <c r="E63" s="1179"/>
      <c r="F63" s="1180"/>
      <c r="G63" s="785"/>
      <c r="H63" s="1184"/>
      <c r="I63" s="1185"/>
      <c r="J63" s="1184"/>
      <c r="K63" s="1185"/>
      <c r="L63" s="786" t="str">
        <f t="shared" si="0"/>
        <v/>
      </c>
      <c r="M63" s="786" t="str">
        <f t="shared" si="1"/>
        <v/>
      </c>
      <c r="N63" s="555" t="str">
        <f t="shared" si="2"/>
        <v/>
      </c>
      <c r="O63" s="556" t="str">
        <f t="shared" si="3"/>
        <v/>
      </c>
      <c r="S63" s="687"/>
      <c r="T63" s="688"/>
      <c r="U63" s="752" t="b">
        <f t="shared" si="4"/>
        <v>0</v>
      </c>
      <c r="V63" s="754" t="str">
        <f t="shared" si="11"/>
        <v/>
      </c>
      <c r="W63" s="569" t="b">
        <f t="shared" si="5"/>
        <v>0</v>
      </c>
      <c r="X63" s="116" t="b">
        <f t="shared" si="6"/>
        <v>0</v>
      </c>
      <c r="Y63" s="116" t="b">
        <f t="shared" si="7"/>
        <v>0</v>
      </c>
      <c r="Z63" s="763" t="b">
        <f t="shared" si="8"/>
        <v>0</v>
      </c>
      <c r="AA63" s="569" t="str">
        <f>IF(U63=FALSE,"",COUNTIF(U$60:U63,TRUE))</f>
        <v/>
      </c>
      <c r="AB63" s="116">
        <f t="shared" si="12"/>
        <v>4</v>
      </c>
      <c r="AC63" s="570" t="str">
        <f t="shared" si="9"/>
        <v/>
      </c>
    </row>
    <row r="64" spans="2:30" ht="13.4" customHeight="1" x14ac:dyDescent="0.25">
      <c r="B64" s="687"/>
      <c r="D64" s="117">
        <f t="shared" si="10"/>
        <v>8</v>
      </c>
      <c r="E64" s="1179"/>
      <c r="F64" s="1180"/>
      <c r="G64" s="785"/>
      <c r="H64" s="1184"/>
      <c r="I64" s="1185"/>
      <c r="J64" s="1184"/>
      <c r="K64" s="1185"/>
      <c r="L64" s="786" t="str">
        <f t="shared" si="0"/>
        <v/>
      </c>
      <c r="M64" s="786" t="str">
        <f t="shared" si="1"/>
        <v/>
      </c>
      <c r="N64" s="555" t="str">
        <f t="shared" si="2"/>
        <v/>
      </c>
      <c r="O64" s="556" t="str">
        <f t="shared" si="3"/>
        <v/>
      </c>
      <c r="S64" s="687"/>
      <c r="T64" s="688"/>
      <c r="U64" s="752" t="b">
        <f t="shared" si="4"/>
        <v>0</v>
      </c>
      <c r="V64" s="754" t="str">
        <f t="shared" si="11"/>
        <v/>
      </c>
      <c r="W64" s="569" t="b">
        <f t="shared" si="5"/>
        <v>0</v>
      </c>
      <c r="X64" s="116" t="b">
        <f t="shared" si="6"/>
        <v>0</v>
      </c>
      <c r="Y64" s="116" t="b">
        <f t="shared" si="7"/>
        <v>0</v>
      </c>
      <c r="Z64" s="763" t="b">
        <f t="shared" si="8"/>
        <v>0</v>
      </c>
      <c r="AA64" s="569" t="str">
        <f>IF(U64=FALSE,"",COUNTIF(U$60:U64,TRUE))</f>
        <v/>
      </c>
      <c r="AB64" s="116">
        <f t="shared" si="12"/>
        <v>5</v>
      </c>
      <c r="AC64" s="570" t="str">
        <f t="shared" si="9"/>
        <v/>
      </c>
    </row>
    <row r="65" spans="1:29" ht="13.4" customHeight="1" x14ac:dyDescent="0.25">
      <c r="B65" s="687"/>
      <c r="D65" s="117">
        <f t="shared" si="10"/>
        <v>9</v>
      </c>
      <c r="E65" s="1179"/>
      <c r="F65" s="1180"/>
      <c r="G65" s="785"/>
      <c r="H65" s="1184"/>
      <c r="I65" s="1185"/>
      <c r="J65" s="1184"/>
      <c r="K65" s="1185"/>
      <c r="L65" s="786" t="str">
        <f t="shared" si="0"/>
        <v/>
      </c>
      <c r="M65" s="786" t="str">
        <f t="shared" si="1"/>
        <v/>
      </c>
      <c r="N65" s="555" t="str">
        <f t="shared" si="2"/>
        <v/>
      </c>
      <c r="O65" s="556" t="str">
        <f t="shared" si="3"/>
        <v/>
      </c>
      <c r="S65" s="687"/>
      <c r="T65" s="688"/>
      <c r="U65" s="752" t="b">
        <f t="shared" si="4"/>
        <v>0</v>
      </c>
      <c r="V65" s="754" t="str">
        <f t="shared" si="11"/>
        <v/>
      </c>
      <c r="W65" s="569" t="b">
        <f t="shared" si="5"/>
        <v>0</v>
      </c>
      <c r="X65" s="116" t="b">
        <f t="shared" si="6"/>
        <v>0</v>
      </c>
      <c r="Y65" s="116" t="b">
        <f t="shared" si="7"/>
        <v>0</v>
      </c>
      <c r="Z65" s="763" t="b">
        <f t="shared" si="8"/>
        <v>0</v>
      </c>
      <c r="AA65" s="569" t="str">
        <f>IF(U65=FALSE,"",COUNTIF(U$60:U65,TRUE))</f>
        <v/>
      </c>
      <c r="AB65" s="116">
        <f t="shared" si="12"/>
        <v>6</v>
      </c>
      <c r="AC65" s="570" t="str">
        <f t="shared" si="9"/>
        <v/>
      </c>
    </row>
    <row r="66" spans="1:29" ht="13.4" customHeight="1" x14ac:dyDescent="0.25">
      <c r="B66" s="687"/>
      <c r="D66" s="117">
        <f t="shared" si="10"/>
        <v>10</v>
      </c>
      <c r="E66" s="1201"/>
      <c r="F66" s="1201"/>
      <c r="G66" s="785"/>
      <c r="H66" s="1184"/>
      <c r="I66" s="1185"/>
      <c r="J66" s="1184"/>
      <c r="K66" s="1185"/>
      <c r="L66" s="786" t="str">
        <f t="shared" si="0"/>
        <v/>
      </c>
      <c r="M66" s="786" t="str">
        <f t="shared" si="1"/>
        <v/>
      </c>
      <c r="N66" s="555" t="str">
        <f t="shared" si="2"/>
        <v/>
      </c>
      <c r="O66" s="556" t="str">
        <f t="shared" si="3"/>
        <v/>
      </c>
      <c r="S66" s="687"/>
      <c r="T66" s="688"/>
      <c r="U66" s="752" t="b">
        <f t="shared" si="4"/>
        <v>0</v>
      </c>
      <c r="V66" s="754" t="str">
        <f t="shared" si="11"/>
        <v/>
      </c>
      <c r="W66" s="569" t="b">
        <f t="shared" si="5"/>
        <v>0</v>
      </c>
      <c r="X66" s="116" t="b">
        <f t="shared" si="6"/>
        <v>0</v>
      </c>
      <c r="Y66" s="116" t="b">
        <f t="shared" si="7"/>
        <v>0</v>
      </c>
      <c r="Z66" s="763" t="b">
        <f t="shared" si="8"/>
        <v>0</v>
      </c>
      <c r="AA66" s="569" t="str">
        <f>IF(U66=FALSE,"",COUNTIF(U$60:U66,TRUE))</f>
        <v/>
      </c>
      <c r="AB66" s="116">
        <f t="shared" si="12"/>
        <v>7</v>
      </c>
      <c r="AC66" s="570" t="str">
        <f t="shared" si="9"/>
        <v/>
      </c>
    </row>
    <row r="67" spans="1:29" ht="13.4" customHeight="1" x14ac:dyDescent="0.25">
      <c r="B67" s="687"/>
      <c r="D67" s="117">
        <f t="shared" ref="D67:D74" si="13">D66+1</f>
        <v>11</v>
      </c>
      <c r="E67" s="1201"/>
      <c r="F67" s="1201"/>
      <c r="G67" s="785"/>
      <c r="H67" s="1184"/>
      <c r="I67" s="1185"/>
      <c r="J67" s="1184"/>
      <c r="K67" s="1185"/>
      <c r="L67" s="786" t="str">
        <f t="shared" si="0"/>
        <v/>
      </c>
      <c r="M67" s="786" t="str">
        <f t="shared" si="1"/>
        <v/>
      </c>
      <c r="N67" s="555" t="str">
        <f t="shared" si="2"/>
        <v/>
      </c>
      <c r="O67" s="556" t="str">
        <f t="shared" si="3"/>
        <v/>
      </c>
      <c r="S67" s="687"/>
      <c r="T67" s="688"/>
      <c r="U67" s="752" t="b">
        <f t="shared" si="4"/>
        <v>0</v>
      </c>
      <c r="V67" s="754" t="str">
        <f t="shared" si="11"/>
        <v/>
      </c>
      <c r="W67" s="569" t="b">
        <f t="shared" si="5"/>
        <v>0</v>
      </c>
      <c r="X67" s="116" t="b">
        <f t="shared" si="6"/>
        <v>0</v>
      </c>
      <c r="Y67" s="116" t="b">
        <f t="shared" si="7"/>
        <v>0</v>
      </c>
      <c r="Z67" s="763" t="b">
        <f t="shared" si="8"/>
        <v>0</v>
      </c>
      <c r="AA67" s="569" t="str">
        <f>IF(U67=FALSE,"",COUNTIF(U$60:U67,TRUE))</f>
        <v/>
      </c>
      <c r="AB67" s="116">
        <f t="shared" si="12"/>
        <v>8</v>
      </c>
      <c r="AC67" s="570" t="str">
        <f t="shared" si="9"/>
        <v/>
      </c>
    </row>
    <row r="68" spans="1:29" ht="13.4" customHeight="1" x14ac:dyDescent="0.25">
      <c r="B68" s="687"/>
      <c r="D68" s="117">
        <f t="shared" si="13"/>
        <v>12</v>
      </c>
      <c r="E68" s="1201"/>
      <c r="F68" s="1201"/>
      <c r="G68" s="785"/>
      <c r="H68" s="1184"/>
      <c r="I68" s="1185"/>
      <c r="J68" s="1184"/>
      <c r="K68" s="1185"/>
      <c r="L68" s="786" t="str">
        <f t="shared" si="0"/>
        <v/>
      </c>
      <c r="M68" s="786" t="str">
        <f t="shared" si="1"/>
        <v/>
      </c>
      <c r="N68" s="555" t="str">
        <f t="shared" si="2"/>
        <v/>
      </c>
      <c r="O68" s="556" t="str">
        <f t="shared" si="3"/>
        <v/>
      </c>
      <c r="S68" s="687"/>
      <c r="T68" s="688"/>
      <c r="U68" s="752" t="b">
        <f t="shared" si="4"/>
        <v>0</v>
      </c>
      <c r="V68" s="754" t="str">
        <f t="shared" si="11"/>
        <v/>
      </c>
      <c r="W68" s="569" t="b">
        <f t="shared" si="5"/>
        <v>0</v>
      </c>
      <c r="X68" s="116" t="b">
        <f t="shared" si="6"/>
        <v>0</v>
      </c>
      <c r="Y68" s="116" t="b">
        <f t="shared" si="7"/>
        <v>0</v>
      </c>
      <c r="Z68" s="763" t="b">
        <f t="shared" si="8"/>
        <v>0</v>
      </c>
      <c r="AA68" s="569" t="str">
        <f>IF(U68=FALSE,"",COUNTIF(U$60:U68,TRUE))</f>
        <v/>
      </c>
      <c r="AB68" s="116">
        <f t="shared" si="12"/>
        <v>9</v>
      </c>
      <c r="AC68" s="570" t="str">
        <f t="shared" si="9"/>
        <v/>
      </c>
    </row>
    <row r="69" spans="1:29" ht="13.4" customHeight="1" x14ac:dyDescent="0.25">
      <c r="B69" s="687"/>
      <c r="D69" s="117">
        <f t="shared" si="13"/>
        <v>13</v>
      </c>
      <c r="E69" s="1201"/>
      <c r="F69" s="1201"/>
      <c r="G69" s="785"/>
      <c r="H69" s="1184"/>
      <c r="I69" s="1185"/>
      <c r="J69" s="1184"/>
      <c r="K69" s="1185"/>
      <c r="L69" s="786" t="str">
        <f t="shared" si="0"/>
        <v/>
      </c>
      <c r="M69" s="786" t="str">
        <f t="shared" si="1"/>
        <v/>
      </c>
      <c r="N69" s="555" t="str">
        <f t="shared" si="2"/>
        <v/>
      </c>
      <c r="O69" s="556" t="str">
        <f t="shared" si="3"/>
        <v/>
      </c>
      <c r="S69" s="687"/>
      <c r="T69" s="688"/>
      <c r="U69" s="752" t="b">
        <f t="shared" si="4"/>
        <v>0</v>
      </c>
      <c r="V69" s="754" t="str">
        <f t="shared" si="11"/>
        <v/>
      </c>
      <c r="W69" s="569" t="b">
        <f t="shared" si="5"/>
        <v>0</v>
      </c>
      <c r="X69" s="116" t="b">
        <f t="shared" si="6"/>
        <v>0</v>
      </c>
      <c r="Y69" s="116" t="b">
        <f t="shared" si="7"/>
        <v>0</v>
      </c>
      <c r="Z69" s="763" t="b">
        <f t="shared" si="8"/>
        <v>0</v>
      </c>
      <c r="AA69" s="569" t="str">
        <f>IF(U69=FALSE,"",COUNTIF(U$60:U69,TRUE))</f>
        <v/>
      </c>
      <c r="AB69" s="116">
        <f t="shared" si="12"/>
        <v>10</v>
      </c>
      <c r="AC69" s="570" t="str">
        <f t="shared" si="9"/>
        <v/>
      </c>
    </row>
    <row r="70" spans="1:29" ht="13.4" customHeight="1" x14ac:dyDescent="0.25">
      <c r="B70" s="687"/>
      <c r="D70" s="117">
        <f t="shared" si="13"/>
        <v>14</v>
      </c>
      <c r="E70" s="1201"/>
      <c r="F70" s="1201"/>
      <c r="G70" s="785"/>
      <c r="H70" s="1184"/>
      <c r="I70" s="1185"/>
      <c r="J70" s="1184"/>
      <c r="K70" s="1185"/>
      <c r="L70" s="786" t="str">
        <f t="shared" si="0"/>
        <v/>
      </c>
      <c r="M70" s="786" t="str">
        <f t="shared" si="1"/>
        <v/>
      </c>
      <c r="N70" s="555" t="str">
        <f t="shared" si="2"/>
        <v/>
      </c>
      <c r="O70" s="556" t="str">
        <f t="shared" si="3"/>
        <v/>
      </c>
      <c r="S70" s="687"/>
      <c r="T70" s="688"/>
      <c r="U70" s="752" t="b">
        <f t="shared" si="4"/>
        <v>0</v>
      </c>
      <c r="V70" s="754" t="str">
        <f t="shared" si="11"/>
        <v/>
      </c>
      <c r="W70" s="569" t="b">
        <f t="shared" si="5"/>
        <v>0</v>
      </c>
      <c r="X70" s="116" t="b">
        <f t="shared" si="6"/>
        <v>0</v>
      </c>
      <c r="Y70" s="116" t="b">
        <f t="shared" si="7"/>
        <v>0</v>
      </c>
      <c r="Z70" s="763" t="b">
        <f t="shared" si="8"/>
        <v>0</v>
      </c>
      <c r="AA70" s="569" t="str">
        <f>IF(U70=FALSE,"",COUNTIF(U$60:U70,TRUE))</f>
        <v/>
      </c>
      <c r="AB70" s="116">
        <f t="shared" si="12"/>
        <v>11</v>
      </c>
      <c r="AC70" s="570" t="str">
        <f t="shared" si="9"/>
        <v/>
      </c>
    </row>
    <row r="71" spans="1:29" ht="13.4" customHeight="1" x14ac:dyDescent="0.25">
      <c r="B71" s="687"/>
      <c r="D71" s="117">
        <f t="shared" si="13"/>
        <v>15</v>
      </c>
      <c r="E71" s="1201"/>
      <c r="F71" s="1201"/>
      <c r="G71" s="785"/>
      <c r="H71" s="1184"/>
      <c r="I71" s="1185"/>
      <c r="J71" s="1184"/>
      <c r="K71" s="1185"/>
      <c r="L71" s="786" t="str">
        <f t="shared" si="0"/>
        <v/>
      </c>
      <c r="M71" s="786" t="str">
        <f t="shared" si="1"/>
        <v/>
      </c>
      <c r="N71" s="555" t="str">
        <f t="shared" si="2"/>
        <v/>
      </c>
      <c r="O71" s="556" t="str">
        <f t="shared" si="3"/>
        <v/>
      </c>
      <c r="S71" s="687"/>
      <c r="T71" s="688"/>
      <c r="U71" s="752" t="b">
        <f t="shared" si="4"/>
        <v>0</v>
      </c>
      <c r="V71" s="754" t="str">
        <f t="shared" si="11"/>
        <v/>
      </c>
      <c r="W71" s="569" t="b">
        <f t="shared" si="5"/>
        <v>0</v>
      </c>
      <c r="X71" s="116" t="b">
        <f t="shared" si="6"/>
        <v>0</v>
      </c>
      <c r="Y71" s="116" t="b">
        <f t="shared" si="7"/>
        <v>0</v>
      </c>
      <c r="Z71" s="763" t="b">
        <f t="shared" si="8"/>
        <v>0</v>
      </c>
      <c r="AA71" s="569" t="str">
        <f>IF(U71=FALSE,"",COUNTIF(U$60:U71,TRUE))</f>
        <v/>
      </c>
      <c r="AB71" s="116">
        <f t="shared" si="12"/>
        <v>12</v>
      </c>
      <c r="AC71" s="570" t="str">
        <f t="shared" si="9"/>
        <v/>
      </c>
    </row>
    <row r="72" spans="1:29" ht="13.4" customHeight="1" thickBot="1" x14ac:dyDescent="0.3">
      <c r="B72" s="687"/>
      <c r="D72" s="563">
        <f t="shared" si="13"/>
        <v>16</v>
      </c>
      <c r="E72" s="1247"/>
      <c r="F72" s="1247"/>
      <c r="G72" s="787"/>
      <c r="H72" s="1206"/>
      <c r="I72" s="1207"/>
      <c r="J72" s="1206"/>
      <c r="K72" s="1207"/>
      <c r="L72" s="788" t="str">
        <f t="shared" si="0"/>
        <v/>
      </c>
      <c r="M72" s="788" t="str">
        <f t="shared" si="1"/>
        <v/>
      </c>
      <c r="N72" s="564" t="str">
        <f t="shared" si="2"/>
        <v/>
      </c>
      <c r="O72" s="565" t="str">
        <f t="shared" si="3"/>
        <v/>
      </c>
      <c r="S72" s="687"/>
      <c r="T72" s="688"/>
      <c r="U72" s="752" t="b">
        <f t="shared" si="4"/>
        <v>0</v>
      </c>
      <c r="V72" s="754" t="str">
        <f t="shared" si="11"/>
        <v/>
      </c>
      <c r="W72" s="569" t="b">
        <f t="shared" si="5"/>
        <v>0</v>
      </c>
      <c r="X72" s="116" t="b">
        <f t="shared" si="6"/>
        <v>0</v>
      </c>
      <c r="Y72" s="116" t="b">
        <f t="shared" si="7"/>
        <v>0</v>
      </c>
      <c r="Z72" s="763" t="b">
        <f t="shared" si="8"/>
        <v>0</v>
      </c>
      <c r="AA72" s="569" t="str">
        <f>IF(U72=FALSE,"",COUNTIF(U$60:U72,TRUE))</f>
        <v/>
      </c>
      <c r="AB72" s="116">
        <f t="shared" si="12"/>
        <v>13</v>
      </c>
      <c r="AC72" s="570" t="str">
        <f t="shared" si="9"/>
        <v/>
      </c>
    </row>
    <row r="73" spans="1:29" ht="13.4" customHeight="1" x14ac:dyDescent="0.25">
      <c r="B73" s="687"/>
      <c r="D73" s="562">
        <f>D72+1</f>
        <v>17</v>
      </c>
      <c r="E73" s="1248"/>
      <c r="F73" s="1248"/>
      <c r="G73" s="785"/>
      <c r="H73" s="1241"/>
      <c r="I73" s="1242"/>
      <c r="J73" s="1208" t="str">
        <f>Translations!$B$1488</f>
        <v>Other (manual)</v>
      </c>
      <c r="K73" s="1209"/>
      <c r="L73" s="789"/>
      <c r="M73" s="789"/>
      <c r="N73" s="718"/>
      <c r="O73" s="719"/>
      <c r="S73" s="687"/>
      <c r="T73" s="688"/>
      <c r="U73" s="752" t="b">
        <f>AND(E73&lt;&gt;"",G73&lt;&gt;"",ISNUMBER(L73),ISNUMBER(M73),N73&lt;&gt;"",O73&lt;&gt;"")</f>
        <v>0</v>
      </c>
      <c r="V73" s="754" t="str">
        <f t="shared" si="11"/>
        <v/>
      </c>
      <c r="W73" s="569" t="b">
        <f t="shared" si="5"/>
        <v>0</v>
      </c>
      <c r="X73" s="116" t="b">
        <f t="shared" si="6"/>
        <v>0</v>
      </c>
      <c r="Y73" s="116" t="b">
        <f t="shared" si="7"/>
        <v>0</v>
      </c>
      <c r="Z73" s="763" t="b">
        <f t="shared" si="8"/>
        <v>0</v>
      </c>
      <c r="AA73" s="569" t="str">
        <f>IF(U73=FALSE,"",COUNTIF(U$60:U73,TRUE))</f>
        <v/>
      </c>
      <c r="AB73" s="116">
        <f t="shared" si="12"/>
        <v>14</v>
      </c>
      <c r="AC73" s="570" t="str">
        <f t="shared" si="9"/>
        <v/>
      </c>
    </row>
    <row r="74" spans="1:29" ht="13.4" customHeight="1" thickBot="1" x14ac:dyDescent="0.3">
      <c r="B74" s="687"/>
      <c r="D74" s="117">
        <f t="shared" si="13"/>
        <v>18</v>
      </c>
      <c r="E74" s="1201"/>
      <c r="F74" s="1201"/>
      <c r="G74" s="785"/>
      <c r="H74" s="1184"/>
      <c r="I74" s="1185"/>
      <c r="J74" s="1190" t="str">
        <f>Translations!$B$1488</f>
        <v>Other (manual)</v>
      </c>
      <c r="K74" s="1191"/>
      <c r="L74" s="790"/>
      <c r="M74" s="790"/>
      <c r="N74" s="720"/>
      <c r="O74" s="721"/>
      <c r="S74" s="687"/>
      <c r="T74" s="688"/>
      <c r="U74" s="753" t="b">
        <f>AND(E74&lt;&gt;"",G74&lt;&gt;"",ISNUMBER(L74),ISNUMBER(M74),N74&lt;&gt;"",O74&lt;&gt;"")</f>
        <v>0</v>
      </c>
      <c r="V74" s="755" t="str">
        <f t="shared" si="11"/>
        <v/>
      </c>
      <c r="W74" s="571" t="b">
        <f t="shared" si="5"/>
        <v>0</v>
      </c>
      <c r="X74" s="572" t="b">
        <f t="shared" si="6"/>
        <v>0</v>
      </c>
      <c r="Y74" s="572" t="b">
        <f t="shared" si="7"/>
        <v>0</v>
      </c>
      <c r="Z74" s="764" t="b">
        <f t="shared" si="8"/>
        <v>0</v>
      </c>
      <c r="AA74" s="571" t="str">
        <f>IF(U74=FALSE,"",COUNTIF(U$60:U74,TRUE))</f>
        <v/>
      </c>
      <c r="AB74" s="572">
        <f t="shared" si="12"/>
        <v>15</v>
      </c>
      <c r="AC74" s="573" t="str">
        <f t="shared" si="9"/>
        <v/>
      </c>
    </row>
    <row r="75" spans="1:29" ht="13.4" hidden="1" customHeight="1" x14ac:dyDescent="0.25">
      <c r="A75" s="118" t="s">
        <v>30</v>
      </c>
      <c r="B75" s="687"/>
      <c r="D75" s="117" t="s">
        <v>73</v>
      </c>
      <c r="E75" s="117" t="s">
        <v>73</v>
      </c>
      <c r="F75" s="117" t="s">
        <v>73</v>
      </c>
      <c r="G75" s="117" t="s">
        <v>73</v>
      </c>
      <c r="H75" s="117" t="s">
        <v>73</v>
      </c>
      <c r="I75" s="117" t="s">
        <v>73</v>
      </c>
      <c r="J75" s="117" t="s">
        <v>73</v>
      </c>
      <c r="K75" s="117" t="s">
        <v>73</v>
      </c>
      <c r="L75" s="117" t="s">
        <v>73</v>
      </c>
      <c r="M75" s="117" t="s">
        <v>73</v>
      </c>
      <c r="N75" s="117" t="s">
        <v>73</v>
      </c>
      <c r="O75" s="117" t="s">
        <v>73</v>
      </c>
      <c r="S75" s="687"/>
      <c r="T75" s="688"/>
    </row>
    <row r="76" spans="1:29" x14ac:dyDescent="0.25">
      <c r="B76" s="687"/>
      <c r="D76" s="1205" t="str">
        <f>Translations!$B$1497</f>
        <v>Note: Due to the complexity of the formulae connected to the fuel types, it is not possible to add further rows for additional fuels!</v>
      </c>
      <c r="E76" s="1205"/>
      <c r="F76" s="1205"/>
      <c r="G76" s="1205"/>
      <c r="H76" s="1205"/>
      <c r="I76" s="1205"/>
      <c r="J76" s="1205"/>
      <c r="K76" s="1205"/>
      <c r="L76" s="75"/>
      <c r="M76" s="75"/>
      <c r="S76" s="687"/>
      <c r="T76" s="688"/>
    </row>
    <row r="77" spans="1:29" ht="13" x14ac:dyDescent="0.25">
      <c r="B77" s="687"/>
      <c r="S77" s="687"/>
      <c r="T77" s="688"/>
      <c r="V77" s="118" t="s">
        <v>1927</v>
      </c>
      <c r="AB77" s="118" t="s">
        <v>1924</v>
      </c>
      <c r="AC77" s="746" t="str">
        <f ca="1">ADDRESS(ROW(AC57),COLUMN(AC57),,, AC54) &amp; ":" &amp; ADDRESS(ROW(AC59)+MAX(AA60:AA74),COLUMN(AC59))</f>
        <v>'Emissions overview'!$AC$57:$AC$59</v>
      </c>
    </row>
    <row r="78" spans="1:29" x14ac:dyDescent="0.25">
      <c r="B78" s="687"/>
      <c r="S78" s="687"/>
    </row>
    <row r="79" spans="1:29" ht="13" x14ac:dyDescent="0.25">
      <c r="B79" s="687"/>
      <c r="C79" s="57" t="s">
        <v>150</v>
      </c>
      <c r="D79" s="1156" t="str">
        <f>Translations!$B$1118</f>
        <v>Further information on alternative fuels:</v>
      </c>
      <c r="E79" s="1034"/>
      <c r="F79" s="1034"/>
      <c r="G79" s="1034"/>
      <c r="H79" s="1034"/>
      <c r="I79" s="1034"/>
      <c r="J79" s="1034"/>
      <c r="K79" s="1034"/>
      <c r="L79" s="1034"/>
      <c r="M79" s="1034"/>
      <c r="N79" s="1034"/>
      <c r="O79" s="1034"/>
      <c r="P79" s="1034"/>
      <c r="Q79" s="1034"/>
      <c r="R79" s="299"/>
      <c r="S79" s="687"/>
    </row>
    <row r="80" spans="1:29" ht="26.5" customHeight="1" x14ac:dyDescent="0.25">
      <c r="B80" s="687"/>
      <c r="C80" s="51"/>
      <c r="D80" s="1153" t="str">
        <f>Translations!$B$1498</f>
        <v>Please provide here important information related to the criteria to be met for zero-rating biofuels, RFNBO/RCF and SLCFs. Life cycle emissions should be given as t CO2 / t fuel, and calculated according to the methods provided by the Renewable Energy Directive (RED). Such information may be retrieved from the "proof of sustainability" (PoS) issued under a certification scheme recognised by the Commission under the RED or other equivalent document.</v>
      </c>
      <c r="E80" s="1153"/>
      <c r="F80" s="1153"/>
      <c r="G80" s="1153"/>
      <c r="H80" s="1153"/>
      <c r="I80" s="1153"/>
      <c r="J80" s="1153"/>
      <c r="K80" s="1153"/>
      <c r="L80" s="1034"/>
      <c r="M80" s="1034"/>
      <c r="N80" s="1034"/>
      <c r="O80" s="1034"/>
      <c r="P80" s="1034"/>
      <c r="Q80" s="1034"/>
      <c r="R80" s="299"/>
      <c r="S80" s="687"/>
      <c r="V80" s="582"/>
    </row>
    <row r="81" spans="2:22" ht="13.4" customHeight="1" x14ac:dyDescent="0.25">
      <c r="B81" s="687"/>
      <c r="C81" s="51"/>
      <c r="D81" s="1182" t="str">
        <f>Translations!$B$1499</f>
        <v>Note that only alternative fuels used for EU ETS purposes are to be listed here. "CORSIA eligible fuels", if applicable, are to be reported in section (12)(b1) of this template.</v>
      </c>
      <c r="E81" s="1182"/>
      <c r="F81" s="1182"/>
      <c r="G81" s="1182"/>
      <c r="H81" s="1182"/>
      <c r="I81" s="1182"/>
      <c r="J81" s="1182"/>
      <c r="K81" s="1182"/>
      <c r="L81" s="1183"/>
      <c r="M81" s="1183"/>
      <c r="N81" s="1183"/>
      <c r="O81" s="1183"/>
      <c r="P81" s="1183"/>
      <c r="Q81" s="1183"/>
      <c r="R81" s="299"/>
      <c r="S81" s="687"/>
    </row>
    <row r="82" spans="2:22" ht="5.15" customHeight="1" x14ac:dyDescent="0.25">
      <c r="B82" s="687"/>
      <c r="C82" s="51"/>
      <c r="D82" s="717"/>
      <c r="E82" s="717"/>
      <c r="F82" s="717"/>
      <c r="G82" s="717"/>
      <c r="H82" s="717"/>
      <c r="I82" s="717"/>
      <c r="J82" s="717"/>
      <c r="K82" s="717"/>
      <c r="L82" s="697"/>
      <c r="M82" s="697"/>
      <c r="N82" s="697"/>
      <c r="O82" s="697"/>
      <c r="P82" s="697"/>
      <c r="Q82" s="697"/>
      <c r="R82" s="299"/>
      <c r="S82" s="687"/>
    </row>
    <row r="83" spans="2:22" ht="38.9" customHeight="1" x14ac:dyDescent="0.25">
      <c r="B83" s="687"/>
      <c r="D83" s="50" t="str">
        <f>Translations!$B$914</f>
        <v>Fuel No.</v>
      </c>
      <c r="E83" s="1202" t="str">
        <f>Translations!$B$915</f>
        <v>Name of fuel</v>
      </c>
      <c r="F83" s="1193"/>
      <c r="G83" s="1181" t="str">
        <f>Translations!$B$1122</f>
        <v>Feedstock</v>
      </c>
      <c r="H83" s="1049"/>
      <c r="I83" s="1049"/>
      <c r="J83" s="1181" t="str">
        <f>Translations!$B$1123</f>
        <v>Conversion process</v>
      </c>
      <c r="K83" s="1049"/>
      <c r="L83" s="1049"/>
      <c r="M83" s="1049"/>
      <c r="N83" s="1049"/>
      <c r="O83" s="1049"/>
      <c r="P83" s="50" t="str">
        <f>Translations!$B$1500</f>
        <v>Life cycle emissions [t CO2 / t fuel]</v>
      </c>
      <c r="Q83" s="50" t="str">
        <f>Translations!$B$1501</f>
        <v>GHG savings (RED) [%]</v>
      </c>
      <c r="R83" s="135"/>
      <c r="S83" s="687"/>
      <c r="T83" s="298"/>
      <c r="V83" s="582"/>
    </row>
    <row r="84" spans="2:22" ht="13.4" customHeight="1" x14ac:dyDescent="0.25">
      <c r="B84" s="458"/>
      <c r="D84" s="117">
        <f t="shared" ref="D84:D98" si="14">D60</f>
        <v>4</v>
      </c>
      <c r="E84" s="1171" t="str">
        <f t="shared" ref="E84:E98" si="15">INDEX(CNTR_FuelListNames,D84-3)</f>
        <v/>
      </c>
      <c r="F84" s="1172"/>
      <c r="G84" s="1184"/>
      <c r="H84" s="1174"/>
      <c r="I84" s="1174"/>
      <c r="J84" s="1184"/>
      <c r="K84" s="1174"/>
      <c r="L84" s="1174"/>
      <c r="M84" s="1174"/>
      <c r="N84" s="1174"/>
      <c r="O84" s="1174"/>
      <c r="P84" s="714"/>
      <c r="Q84" s="708"/>
      <c r="R84" s="135"/>
      <c r="S84" s="458"/>
      <c r="T84" s="298"/>
      <c r="V84" s="582"/>
    </row>
    <row r="85" spans="2:22" ht="12.75" customHeight="1" x14ac:dyDescent="0.25">
      <c r="B85" s="458"/>
      <c r="D85" s="117">
        <f t="shared" si="14"/>
        <v>5</v>
      </c>
      <c r="E85" s="1171" t="str">
        <f t="shared" si="15"/>
        <v/>
      </c>
      <c r="F85" s="1172"/>
      <c r="G85" s="1184"/>
      <c r="H85" s="1174"/>
      <c r="I85" s="1174"/>
      <c r="J85" s="1184"/>
      <c r="K85" s="1174"/>
      <c r="L85" s="1174"/>
      <c r="M85" s="1174"/>
      <c r="N85" s="1174"/>
      <c r="O85" s="1174"/>
      <c r="P85" s="714"/>
      <c r="Q85" s="708"/>
      <c r="R85" s="135"/>
      <c r="S85" s="458"/>
      <c r="T85" s="298"/>
      <c r="V85" s="582"/>
    </row>
    <row r="86" spans="2:22" ht="12.75" customHeight="1" x14ac:dyDescent="0.25">
      <c r="B86" s="458"/>
      <c r="D86" s="117">
        <f t="shared" si="14"/>
        <v>6</v>
      </c>
      <c r="E86" s="1171" t="str">
        <f t="shared" si="15"/>
        <v/>
      </c>
      <c r="F86" s="1172"/>
      <c r="G86" s="1184"/>
      <c r="H86" s="1174"/>
      <c r="I86" s="1174"/>
      <c r="J86" s="1184"/>
      <c r="K86" s="1174"/>
      <c r="L86" s="1174"/>
      <c r="M86" s="1174"/>
      <c r="N86" s="1174"/>
      <c r="O86" s="1174"/>
      <c r="P86" s="714"/>
      <c r="Q86" s="708"/>
      <c r="R86" s="135"/>
      <c r="S86" s="458"/>
      <c r="T86" s="298"/>
    </row>
    <row r="87" spans="2:22" x14ac:dyDescent="0.25">
      <c r="B87" s="458"/>
      <c r="D87" s="117">
        <f t="shared" si="14"/>
        <v>7</v>
      </c>
      <c r="E87" s="1171" t="str">
        <f t="shared" si="15"/>
        <v/>
      </c>
      <c r="F87" s="1172"/>
      <c r="G87" s="1173"/>
      <c r="H87" s="1174"/>
      <c r="I87" s="1174"/>
      <c r="J87" s="1173"/>
      <c r="K87" s="1174"/>
      <c r="L87" s="1174"/>
      <c r="M87" s="1174"/>
      <c r="N87" s="1174"/>
      <c r="O87" s="1174"/>
      <c r="P87" s="714"/>
      <c r="Q87" s="708"/>
      <c r="R87" s="135"/>
      <c r="S87" s="458"/>
      <c r="T87" s="298"/>
    </row>
    <row r="88" spans="2:22" x14ac:dyDescent="0.25">
      <c r="B88" s="458"/>
      <c r="D88" s="117">
        <f t="shared" si="14"/>
        <v>8</v>
      </c>
      <c r="E88" s="1171" t="str">
        <f t="shared" si="15"/>
        <v/>
      </c>
      <c r="F88" s="1172"/>
      <c r="G88" s="1173"/>
      <c r="H88" s="1174"/>
      <c r="I88" s="1174"/>
      <c r="J88" s="1173"/>
      <c r="K88" s="1174"/>
      <c r="L88" s="1174"/>
      <c r="M88" s="1174"/>
      <c r="N88" s="1174"/>
      <c r="O88" s="1174"/>
      <c r="P88" s="714"/>
      <c r="Q88" s="708"/>
      <c r="R88" s="135"/>
      <c r="S88" s="458"/>
      <c r="T88" s="298"/>
    </row>
    <row r="89" spans="2:22" x14ac:dyDescent="0.25">
      <c r="B89" s="458"/>
      <c r="D89" s="117">
        <f t="shared" si="14"/>
        <v>9</v>
      </c>
      <c r="E89" s="1171" t="str">
        <f t="shared" si="15"/>
        <v/>
      </c>
      <c r="F89" s="1172"/>
      <c r="G89" s="1173"/>
      <c r="H89" s="1174"/>
      <c r="I89" s="1174"/>
      <c r="J89" s="1173"/>
      <c r="K89" s="1174"/>
      <c r="L89" s="1174"/>
      <c r="M89" s="1174"/>
      <c r="N89" s="1174"/>
      <c r="O89" s="1174"/>
      <c r="P89" s="714"/>
      <c r="Q89" s="708"/>
      <c r="R89" s="135"/>
      <c r="S89" s="458"/>
      <c r="T89" s="298"/>
    </row>
    <row r="90" spans="2:22" x14ac:dyDescent="0.25">
      <c r="B90" s="458"/>
      <c r="D90" s="117">
        <f t="shared" si="14"/>
        <v>10</v>
      </c>
      <c r="E90" s="1171" t="str">
        <f t="shared" si="15"/>
        <v/>
      </c>
      <c r="F90" s="1172"/>
      <c r="G90" s="1173"/>
      <c r="H90" s="1174"/>
      <c r="I90" s="1174"/>
      <c r="J90" s="1173"/>
      <c r="K90" s="1174"/>
      <c r="L90" s="1174"/>
      <c r="M90" s="1174"/>
      <c r="N90" s="1174"/>
      <c r="O90" s="1174"/>
      <c r="P90" s="714"/>
      <c r="Q90" s="708"/>
      <c r="R90" s="135"/>
      <c r="S90" s="458"/>
      <c r="T90" s="298"/>
    </row>
    <row r="91" spans="2:22" x14ac:dyDescent="0.25">
      <c r="B91" s="458"/>
      <c r="D91" s="117">
        <f t="shared" si="14"/>
        <v>11</v>
      </c>
      <c r="E91" s="1171" t="str">
        <f t="shared" si="15"/>
        <v/>
      </c>
      <c r="F91" s="1172"/>
      <c r="G91" s="1173"/>
      <c r="H91" s="1174"/>
      <c r="I91" s="1174"/>
      <c r="J91" s="1173"/>
      <c r="K91" s="1174"/>
      <c r="L91" s="1174"/>
      <c r="M91" s="1174"/>
      <c r="N91" s="1174"/>
      <c r="O91" s="1174"/>
      <c r="P91" s="714"/>
      <c r="Q91" s="708"/>
      <c r="R91" s="135"/>
      <c r="S91" s="458"/>
      <c r="T91" s="298"/>
    </row>
    <row r="92" spans="2:22" x14ac:dyDescent="0.25">
      <c r="B92" s="458"/>
      <c r="D92" s="117">
        <f t="shared" si="14"/>
        <v>12</v>
      </c>
      <c r="E92" s="1171" t="str">
        <f t="shared" si="15"/>
        <v/>
      </c>
      <c r="F92" s="1172"/>
      <c r="G92" s="1173"/>
      <c r="H92" s="1174"/>
      <c r="I92" s="1174"/>
      <c r="J92" s="1173"/>
      <c r="K92" s="1174"/>
      <c r="L92" s="1174"/>
      <c r="M92" s="1174"/>
      <c r="N92" s="1174"/>
      <c r="O92" s="1174"/>
      <c r="P92" s="714"/>
      <c r="Q92" s="708"/>
      <c r="R92" s="135"/>
      <c r="S92" s="458"/>
      <c r="T92" s="298"/>
    </row>
    <row r="93" spans="2:22" x14ac:dyDescent="0.25">
      <c r="B93" s="458"/>
      <c r="D93" s="117">
        <f t="shared" si="14"/>
        <v>13</v>
      </c>
      <c r="E93" s="1171" t="str">
        <f t="shared" si="15"/>
        <v/>
      </c>
      <c r="F93" s="1172"/>
      <c r="G93" s="1173"/>
      <c r="H93" s="1174"/>
      <c r="I93" s="1174"/>
      <c r="J93" s="1173"/>
      <c r="K93" s="1174"/>
      <c r="L93" s="1174"/>
      <c r="M93" s="1174"/>
      <c r="N93" s="1174"/>
      <c r="O93" s="1174"/>
      <c r="P93" s="714"/>
      <c r="Q93" s="708"/>
      <c r="R93" s="135"/>
      <c r="S93" s="458"/>
      <c r="T93" s="298"/>
    </row>
    <row r="94" spans="2:22" x14ac:dyDescent="0.25">
      <c r="B94" s="458"/>
      <c r="D94" s="117">
        <f t="shared" si="14"/>
        <v>14</v>
      </c>
      <c r="E94" s="1171" t="str">
        <f t="shared" si="15"/>
        <v/>
      </c>
      <c r="F94" s="1172"/>
      <c r="G94" s="1173"/>
      <c r="H94" s="1174"/>
      <c r="I94" s="1174"/>
      <c r="J94" s="1173"/>
      <c r="K94" s="1174"/>
      <c r="L94" s="1174"/>
      <c r="M94" s="1174"/>
      <c r="N94" s="1174"/>
      <c r="O94" s="1174"/>
      <c r="P94" s="714"/>
      <c r="Q94" s="708"/>
      <c r="R94" s="135"/>
      <c r="S94" s="458"/>
      <c r="T94" s="298"/>
    </row>
    <row r="95" spans="2:22" x14ac:dyDescent="0.25">
      <c r="B95" s="458"/>
      <c r="D95" s="117">
        <f t="shared" si="14"/>
        <v>15</v>
      </c>
      <c r="E95" s="1171" t="str">
        <f t="shared" si="15"/>
        <v/>
      </c>
      <c r="F95" s="1172"/>
      <c r="G95" s="1173"/>
      <c r="H95" s="1174"/>
      <c r="I95" s="1174"/>
      <c r="J95" s="1173"/>
      <c r="K95" s="1174"/>
      <c r="L95" s="1174"/>
      <c r="M95" s="1174"/>
      <c r="N95" s="1174"/>
      <c r="O95" s="1174"/>
      <c r="P95" s="714"/>
      <c r="Q95" s="708"/>
      <c r="R95" s="135"/>
      <c r="S95" s="458"/>
      <c r="T95" s="298"/>
    </row>
    <row r="96" spans="2:22" x14ac:dyDescent="0.25">
      <c r="B96" s="458"/>
      <c r="D96" s="117">
        <f t="shared" si="14"/>
        <v>16</v>
      </c>
      <c r="E96" s="1171" t="str">
        <f t="shared" si="15"/>
        <v/>
      </c>
      <c r="F96" s="1172"/>
      <c r="G96" s="1173"/>
      <c r="H96" s="1174"/>
      <c r="I96" s="1174"/>
      <c r="J96" s="1173"/>
      <c r="K96" s="1174"/>
      <c r="L96" s="1174"/>
      <c r="M96" s="1174"/>
      <c r="N96" s="1174"/>
      <c r="O96" s="1174"/>
      <c r="P96" s="714"/>
      <c r="Q96" s="708"/>
      <c r="R96" s="135"/>
      <c r="S96" s="458"/>
      <c r="T96" s="298"/>
    </row>
    <row r="97" spans="1:30" x14ac:dyDescent="0.25">
      <c r="B97" s="458"/>
      <c r="D97" s="117">
        <f t="shared" si="14"/>
        <v>17</v>
      </c>
      <c r="E97" s="1171" t="str">
        <f t="shared" si="15"/>
        <v/>
      </c>
      <c r="F97" s="1172"/>
      <c r="G97" s="1173"/>
      <c r="H97" s="1174"/>
      <c r="I97" s="1174"/>
      <c r="J97" s="1173"/>
      <c r="K97" s="1174"/>
      <c r="L97" s="1174"/>
      <c r="M97" s="1174"/>
      <c r="N97" s="1174"/>
      <c r="O97" s="1174"/>
      <c r="P97" s="714"/>
      <c r="Q97" s="708"/>
      <c r="R97" s="135"/>
      <c r="S97" s="458"/>
      <c r="T97" s="298"/>
    </row>
    <row r="98" spans="1:30" x14ac:dyDescent="0.25">
      <c r="B98" s="458"/>
      <c r="D98" s="117">
        <f t="shared" si="14"/>
        <v>18</v>
      </c>
      <c r="E98" s="1171" t="str">
        <f t="shared" si="15"/>
        <v/>
      </c>
      <c r="F98" s="1172"/>
      <c r="G98" s="1173"/>
      <c r="H98" s="1174"/>
      <c r="I98" s="1174"/>
      <c r="J98" s="1173"/>
      <c r="K98" s="1174"/>
      <c r="L98" s="1174"/>
      <c r="M98" s="1174"/>
      <c r="N98" s="1174"/>
      <c r="O98" s="1174"/>
      <c r="P98" s="714"/>
      <c r="Q98" s="708"/>
      <c r="R98" s="135"/>
      <c r="S98" s="458"/>
      <c r="T98" s="298"/>
    </row>
    <row r="99" spans="1:30" hidden="1" x14ac:dyDescent="0.25">
      <c r="A99" s="118" t="s">
        <v>30</v>
      </c>
      <c r="B99" s="458"/>
      <c r="D99" s="117" t="s">
        <v>73</v>
      </c>
      <c r="E99" s="1266" t="s">
        <v>73</v>
      </c>
      <c r="F99" s="1193"/>
      <c r="G99" s="1196" t="s">
        <v>73</v>
      </c>
      <c r="H99" s="1049"/>
      <c r="I99" s="1049"/>
      <c r="J99" s="1196" t="s">
        <v>73</v>
      </c>
      <c r="K99" s="1049"/>
      <c r="L99" s="1049"/>
      <c r="M99" s="1049"/>
      <c r="N99" s="1049"/>
      <c r="O99" s="1049"/>
      <c r="P99" s="375" t="s">
        <v>73</v>
      </c>
      <c r="Q99" s="375" t="s">
        <v>73</v>
      </c>
      <c r="R99" s="135"/>
      <c r="S99" s="458"/>
      <c r="T99" s="298"/>
    </row>
    <row r="100" spans="1:30" s="51" customFormat="1" ht="12.75" customHeight="1" x14ac:dyDescent="0.25">
      <c r="A100" s="123"/>
      <c r="D100" s="1200" t="str">
        <f>Translations!$B$1497</f>
        <v>Note: Due to the complexity of the formulae connected to the fuel types, it is not possible to add further rows for additional fuels!</v>
      </c>
      <c r="E100" s="1200"/>
      <c r="F100" s="1200"/>
      <c r="G100" s="1194"/>
      <c r="H100" s="1194"/>
      <c r="I100" s="1194"/>
      <c r="J100" s="1194"/>
      <c r="K100" s="1194"/>
      <c r="L100" s="1065"/>
      <c r="M100" s="1065"/>
      <c r="N100" s="65"/>
      <c r="T100" s="688"/>
      <c r="U100" s="124"/>
      <c r="V100" s="123"/>
      <c r="W100" s="123"/>
      <c r="X100" s="123"/>
      <c r="Y100" s="123"/>
      <c r="Z100" s="123"/>
      <c r="AA100" s="123"/>
      <c r="AB100" s="123"/>
      <c r="AC100" s="123"/>
      <c r="AD100" s="123"/>
    </row>
    <row r="101" spans="1:30" s="51" customFormat="1" ht="12.75" customHeight="1" x14ac:dyDescent="0.25">
      <c r="A101" s="123"/>
      <c r="D101" s="75"/>
      <c r="E101" s="75"/>
      <c r="F101" s="75"/>
      <c r="G101" s="75"/>
      <c r="H101" s="75"/>
      <c r="I101" s="75"/>
      <c r="J101" s="75"/>
      <c r="K101" s="75"/>
      <c r="L101" s="75"/>
      <c r="M101" s="75"/>
      <c r="N101" s="75"/>
      <c r="U101" s="124"/>
      <c r="V101" s="123"/>
      <c r="W101" s="123"/>
      <c r="X101" s="123"/>
      <c r="Y101" s="123"/>
      <c r="Z101" s="123"/>
      <c r="AA101" s="123"/>
      <c r="AB101" s="123"/>
      <c r="AC101" s="123"/>
      <c r="AD101" s="123"/>
    </row>
    <row r="102" spans="1:30" ht="13" x14ac:dyDescent="0.25">
      <c r="C102" s="57" t="s">
        <v>38</v>
      </c>
      <c r="D102" s="1156" t="str">
        <f>Translations!$B$1268</f>
        <v>Fuel consumption and emissions in the EU ETS</v>
      </c>
      <c r="E102" s="1034"/>
      <c r="F102" s="1034"/>
      <c r="G102" s="1034"/>
      <c r="H102" s="1034"/>
      <c r="I102" s="1034"/>
      <c r="J102" s="1034"/>
      <c r="K102" s="1034"/>
      <c r="L102" s="1034"/>
      <c r="M102" s="1034"/>
    </row>
    <row r="103" spans="1:30" s="51" customFormat="1" ht="13.4" customHeight="1" x14ac:dyDescent="0.25">
      <c r="A103" s="123"/>
      <c r="D103" s="1153" t="str">
        <f>Translations!$B$1502</f>
        <v>Here you have to enter the quantity of each fuel used in the reporting year (also referred to as "activity data"). The emissions and the memo-items are calculated automatically using the calculation factors defined under point (b).</v>
      </c>
      <c r="E103" s="1153"/>
      <c r="F103" s="1153"/>
      <c r="G103" s="1153"/>
      <c r="H103" s="1153"/>
      <c r="I103" s="1153"/>
      <c r="J103" s="1153"/>
      <c r="K103" s="1153"/>
      <c r="L103" s="1034"/>
      <c r="M103" s="1034"/>
      <c r="N103" s="1034"/>
      <c r="O103" s="1034"/>
      <c r="P103" s="1034"/>
      <c r="Q103" s="1034"/>
      <c r="R103" s="299"/>
      <c r="U103" s="124"/>
      <c r="V103" s="123"/>
      <c r="W103" s="123"/>
      <c r="X103" s="123"/>
      <c r="Y103" s="123"/>
      <c r="Z103" s="123"/>
      <c r="AA103" s="123"/>
      <c r="AB103" s="123"/>
      <c r="AC103" s="123"/>
      <c r="AD103" s="123"/>
    </row>
    <row r="104" spans="1:30" s="51" customFormat="1" ht="13.4" customHeight="1" x14ac:dyDescent="0.25">
      <c r="A104" s="123"/>
      <c r="D104" s="1197" t="str">
        <f>Translations!$B$1503</f>
        <v>In case of alternative aviation fuels, you have to report the fuel quantities which are the result of the proportional attribution (see section 10a in sheet "Annex Aerodromes", Column I).</v>
      </c>
      <c r="E104" s="1197"/>
      <c r="F104" s="1197"/>
      <c r="G104" s="1197"/>
      <c r="H104" s="1197"/>
      <c r="I104" s="1197"/>
      <c r="J104" s="1197"/>
      <c r="K104" s="1197"/>
      <c r="L104" s="1198"/>
      <c r="M104" s="1198"/>
      <c r="N104" s="1198"/>
      <c r="O104" s="1198"/>
      <c r="P104" s="1198"/>
      <c r="Q104" s="1198"/>
      <c r="R104" s="776"/>
      <c r="U104" s="124"/>
      <c r="V104" s="123"/>
      <c r="W104" s="123"/>
      <c r="X104" s="123"/>
      <c r="Y104" s="123"/>
      <c r="Z104" s="123"/>
      <c r="AA104" s="123"/>
      <c r="AB104" s="123"/>
      <c r="AC104" s="123"/>
      <c r="AD104" s="123"/>
    </row>
    <row r="105" spans="1:30" s="51" customFormat="1" ht="13.4" customHeight="1" x14ac:dyDescent="0.25">
      <c r="A105" s="123"/>
      <c r="D105" s="1199" t="str">
        <f>Translations!$B$1504</f>
        <v>In order to first fill section 10a, please click here for going to sheet "Annex Aerodromes".</v>
      </c>
      <c r="E105" s="1199"/>
      <c r="F105" s="1199"/>
      <c r="G105" s="1199"/>
      <c r="H105" s="1199"/>
      <c r="I105" s="1199"/>
      <c r="J105" s="1199"/>
      <c r="K105" s="1199"/>
      <c r="L105" s="1199"/>
      <c r="M105" s="1199"/>
      <c r="N105" s="1199"/>
      <c r="O105" s="1199"/>
      <c r="P105" s="1199"/>
      <c r="Q105" s="1199"/>
      <c r="R105" s="777"/>
      <c r="U105" s="124"/>
      <c r="V105" s="123"/>
      <c r="W105" s="123"/>
      <c r="X105" s="123"/>
      <c r="Y105" s="123"/>
      <c r="Z105" s="123"/>
      <c r="AA105" s="123"/>
      <c r="AB105" s="123"/>
      <c r="AC105" s="123"/>
      <c r="AD105" s="123"/>
    </row>
    <row r="106" spans="1:30" s="51" customFormat="1" ht="12.75" customHeight="1" x14ac:dyDescent="0.25">
      <c r="A106" s="123"/>
      <c r="D106" s="1177" t="str">
        <f>Translations!$B$924</f>
        <v xml:space="preserve">(final) EF </v>
      </c>
      <c r="E106" s="1187"/>
      <c r="F106" s="1186" t="str">
        <f>Translations!$B$1505</f>
        <v>This is calculated from the preliminary emission factor and the non-zero-rated fraction of the fuel.</v>
      </c>
      <c r="G106" s="1187"/>
      <c r="H106" s="1187"/>
      <c r="I106" s="1187"/>
      <c r="J106" s="1187"/>
      <c r="K106" s="1187"/>
      <c r="L106" s="1187"/>
      <c r="M106" s="1187"/>
      <c r="N106" s="1187"/>
      <c r="O106" s="1187"/>
      <c r="P106" s="1187"/>
      <c r="Q106" s="1187"/>
      <c r="R106" s="299"/>
      <c r="U106" s="124"/>
      <c r="V106" s="123"/>
      <c r="W106" s="123"/>
      <c r="X106" s="123"/>
      <c r="Y106" s="123"/>
      <c r="Z106" s="123"/>
      <c r="AA106" s="123"/>
      <c r="AB106" s="123"/>
      <c r="AC106" s="123"/>
      <c r="AD106" s="123"/>
    </row>
    <row r="107" spans="1:30" s="51" customFormat="1" ht="13.4" customHeight="1" x14ac:dyDescent="0.25">
      <c r="A107" s="123"/>
      <c r="D107" s="1177" t="str">
        <f>Translations!$B$926</f>
        <v xml:space="preserve">fuel consumption </v>
      </c>
      <c r="E107" s="1187"/>
      <c r="F107" s="1186" t="str">
        <f>Translations!$B$927</f>
        <v xml:space="preserve">Please enter here the total fuel consumption of each fuel in tonnes in the reporting year. Please note that this figure should only include fuel consumption to be reported under the EU ETS, i.e. relate to the reduced scope. </v>
      </c>
      <c r="G107" s="1187"/>
      <c r="H107" s="1187"/>
      <c r="I107" s="1187"/>
      <c r="J107" s="1187"/>
      <c r="K107" s="1187"/>
      <c r="L107" s="1187"/>
      <c r="M107" s="1187"/>
      <c r="N107" s="1187"/>
      <c r="O107" s="1187"/>
      <c r="P107" s="1187"/>
      <c r="Q107" s="1187"/>
      <c r="R107" s="299"/>
      <c r="U107" s="124"/>
      <c r="V107" s="123"/>
      <c r="W107" s="123"/>
      <c r="X107" s="123"/>
      <c r="Y107" s="123"/>
      <c r="Z107" s="123"/>
      <c r="AA107" s="123"/>
      <c r="AB107" s="123"/>
      <c r="AC107" s="123"/>
      <c r="AD107" s="123"/>
    </row>
    <row r="108" spans="1:30" s="51" customFormat="1" ht="26.5" customHeight="1" x14ac:dyDescent="0.25">
      <c r="A108" s="123"/>
      <c r="D108" s="1177" t="str">
        <f>Translations!$B$1506</f>
        <v>CO2 emissions [t CO2]</v>
      </c>
      <c r="E108" s="1187"/>
      <c r="F108" s="1186" t="str">
        <f>Translations!$B$1507</f>
        <v>This is the amount of "fossil" (i.e. non-zero-rated) emissions (including emissions from biofuels, RFNBO/RCF or SLCF for which no evidence for compliance with the sustainability or GHG savings criteria of the RED has been provided). It is identical to the emissions for which allowances are to be surrendered.</v>
      </c>
      <c r="G108" s="1187"/>
      <c r="H108" s="1187"/>
      <c r="I108" s="1187"/>
      <c r="J108" s="1187"/>
      <c r="K108" s="1187"/>
      <c r="L108" s="1187"/>
      <c r="M108" s="1187"/>
      <c r="N108" s="1187"/>
      <c r="O108" s="1187"/>
      <c r="P108" s="1187"/>
      <c r="Q108" s="1187"/>
      <c r="R108" s="299"/>
      <c r="U108" s="124"/>
      <c r="V108" s="123"/>
      <c r="W108" s="123"/>
      <c r="X108" s="123"/>
      <c r="Y108" s="123"/>
      <c r="Z108" s="123"/>
      <c r="AA108" s="123"/>
      <c r="AB108" s="123"/>
      <c r="AC108" s="123"/>
      <c r="AD108" s="123"/>
    </row>
    <row r="109" spans="1:30" s="51" customFormat="1" ht="12.75" customHeight="1" x14ac:dyDescent="0.25">
      <c r="A109" s="123"/>
      <c r="D109" s="1177" t="str">
        <f>Translations!$B$1508</f>
        <v>CO2 from zero-rated biomass</v>
      </c>
      <c r="E109" s="1187"/>
      <c r="F109" s="1186" t="str">
        <f>Translations!$B$1509</f>
        <v xml:space="preserve">This figure shows as a memo-item the emissions from zero-rated biomass (i.e. biofuels which comply with the sustainability and GHG savingscriteria of the RED). </v>
      </c>
      <c r="G109" s="1187"/>
      <c r="H109" s="1187"/>
      <c r="I109" s="1187"/>
      <c r="J109" s="1187"/>
      <c r="K109" s="1187"/>
      <c r="L109" s="1187"/>
      <c r="M109" s="1187"/>
      <c r="N109" s="1187"/>
      <c r="O109" s="1187"/>
      <c r="P109" s="1187"/>
      <c r="Q109" s="1187"/>
      <c r="R109" s="299"/>
      <c r="U109" s="124"/>
      <c r="V109" s="123"/>
      <c r="W109" s="123"/>
      <c r="X109" s="123"/>
      <c r="Y109" s="123"/>
      <c r="Z109" s="123"/>
      <c r="AA109" s="123"/>
      <c r="AB109" s="123"/>
      <c r="AC109" s="123"/>
      <c r="AD109" s="123"/>
    </row>
    <row r="110" spans="1:30" s="51" customFormat="1" ht="13.4" customHeight="1" x14ac:dyDescent="0.25">
      <c r="A110" s="123"/>
      <c r="D110" s="1177" t="str">
        <f>Translations!$B$1510</f>
        <v>CO2 from non-zero-rated biomass</v>
      </c>
      <c r="E110" s="1187"/>
      <c r="F110" s="1186" t="str">
        <f>Translations!$B$1511</f>
        <v>This figure shows as a memo-item the emissions from non-zero-rated biomass.</v>
      </c>
      <c r="G110" s="1187"/>
      <c r="H110" s="1187"/>
      <c r="I110" s="1187"/>
      <c r="J110" s="1187"/>
      <c r="K110" s="1187"/>
      <c r="L110" s="1187"/>
      <c r="M110" s="1187"/>
      <c r="N110" s="1187"/>
      <c r="O110" s="1187"/>
      <c r="P110" s="1187"/>
      <c r="Q110" s="1187"/>
      <c r="R110" s="299"/>
      <c r="U110" s="124"/>
      <c r="V110" s="123"/>
      <c r="W110" s="123"/>
      <c r="X110" s="123"/>
      <c r="Y110" s="123"/>
      <c r="Z110" s="123"/>
      <c r="AA110" s="123"/>
      <c r="AB110" s="123"/>
      <c r="AC110" s="123"/>
      <c r="AD110" s="123"/>
    </row>
    <row r="111" spans="1:30" s="51" customFormat="1" ht="13.4" customHeight="1" x14ac:dyDescent="0.25">
      <c r="A111" s="123"/>
      <c r="D111" s="1177" t="str">
        <f>Translations!$B$1512</f>
        <v>etc.</v>
      </c>
      <c r="E111" s="1187"/>
      <c r="F111" s="1186" t="str">
        <f>Translations!$B$1513</f>
        <v>Further memo-items per fuel relating to RFNBO/RCF and SLCF fractions</v>
      </c>
      <c r="G111" s="1187"/>
      <c r="H111" s="1187"/>
      <c r="I111" s="1187"/>
      <c r="J111" s="1187"/>
      <c r="K111" s="1187"/>
      <c r="L111" s="1187"/>
      <c r="M111" s="1187"/>
      <c r="N111" s="1187"/>
      <c r="O111" s="1187"/>
      <c r="P111" s="1187"/>
      <c r="Q111" s="1187"/>
      <c r="R111" s="299"/>
      <c r="U111" s="124"/>
      <c r="V111" s="123"/>
      <c r="W111" s="123"/>
      <c r="X111" s="123"/>
      <c r="Y111" s="123"/>
      <c r="Z111" s="123"/>
      <c r="AA111" s="123"/>
      <c r="AB111" s="123"/>
      <c r="AC111" s="123"/>
      <c r="AD111" s="123"/>
    </row>
    <row r="112" spans="1:30" s="51" customFormat="1" ht="5.15" customHeight="1" x14ac:dyDescent="0.25">
      <c r="A112" s="123"/>
      <c r="D112" s="125"/>
      <c r="E112" s="125"/>
      <c r="F112" s="125"/>
      <c r="G112" s="125"/>
      <c r="H112" s="125"/>
      <c r="I112" s="125"/>
      <c r="J112" s="125"/>
      <c r="K112" s="125"/>
      <c r="L112" s="125"/>
      <c r="M112" s="125"/>
      <c r="N112" s="75"/>
      <c r="U112" s="124"/>
      <c r="V112" s="123"/>
      <c r="W112" s="123"/>
      <c r="X112" s="123"/>
      <c r="Y112" s="123"/>
      <c r="Z112" s="123"/>
      <c r="AA112" s="123"/>
      <c r="AB112" s="123"/>
      <c r="AC112" s="123"/>
      <c r="AD112" s="123"/>
    </row>
    <row r="113" spans="1:30" s="51" customFormat="1" ht="13.4" customHeight="1" x14ac:dyDescent="0.25">
      <c r="A113" s="123"/>
      <c r="D113" s="1153" t="str">
        <f>Translations!$B$1514</f>
        <v>For checking if the amounts of alternative fuels are consistent with quantities attributed at aerodromes in accordance with section 10a, the amounts calculated there are displayed in the rightmost column of this table.</v>
      </c>
      <c r="E113" s="1153"/>
      <c r="F113" s="1153"/>
      <c r="G113" s="1153"/>
      <c r="H113" s="1153"/>
      <c r="I113" s="1153"/>
      <c r="J113" s="1153"/>
      <c r="K113" s="1153"/>
      <c r="L113" s="1034"/>
      <c r="M113" s="1034"/>
      <c r="N113" s="1034"/>
      <c r="O113" s="1034"/>
      <c r="P113" s="1034"/>
      <c r="Q113" s="1034"/>
      <c r="R113" s="299"/>
      <c r="U113" s="124"/>
      <c r="V113" s="123"/>
      <c r="W113" s="123"/>
      <c r="X113" s="123"/>
      <c r="Y113" s="123"/>
      <c r="Z113" s="123"/>
      <c r="AA113" s="123"/>
      <c r="AB113" s="123"/>
      <c r="AC113" s="123"/>
      <c r="AD113" s="123"/>
    </row>
    <row r="114" spans="1:30" s="51" customFormat="1" ht="13.4" customHeight="1" x14ac:dyDescent="0.25">
      <c r="A114" s="123"/>
      <c r="D114" s="1264" t="str">
        <f>Translations!$B$1515</f>
        <v>In case of a deviation of more than 0.1 tonnes fuel, the cell turns red.</v>
      </c>
      <c r="E114" s="1264"/>
      <c r="F114" s="1264"/>
      <c r="G114" s="1264"/>
      <c r="H114" s="1264"/>
      <c r="I114" s="1264"/>
      <c r="J114" s="1264"/>
      <c r="K114" s="1264"/>
      <c r="L114" s="1265"/>
      <c r="M114" s="1265"/>
      <c r="N114" s="1265"/>
      <c r="O114" s="1265"/>
      <c r="P114" s="1265"/>
      <c r="Q114" s="1265"/>
      <c r="R114" s="776"/>
      <c r="U114" s="124"/>
      <c r="V114" s="123"/>
      <c r="W114" s="123"/>
      <c r="X114" s="123"/>
      <c r="Y114" s="123"/>
      <c r="Z114" s="123"/>
      <c r="AA114" s="123"/>
      <c r="AB114" s="123"/>
      <c r="AC114" s="123"/>
      <c r="AD114" s="123"/>
    </row>
    <row r="115" spans="1:30" s="51" customFormat="1" ht="5.15" customHeight="1" x14ac:dyDescent="0.25">
      <c r="A115" s="123"/>
      <c r="D115" s="125"/>
      <c r="E115" s="125"/>
      <c r="F115" s="125"/>
      <c r="G115" s="125"/>
      <c r="H115" s="125"/>
      <c r="I115" s="125"/>
      <c r="J115" s="125"/>
      <c r="K115" s="125"/>
      <c r="L115" s="125"/>
      <c r="M115" s="125"/>
      <c r="N115" s="75"/>
      <c r="U115" s="124"/>
      <c r="V115" s="123"/>
      <c r="W115" s="123"/>
      <c r="X115" s="123"/>
      <c r="Y115" s="123"/>
      <c r="Z115" s="123"/>
      <c r="AA115" s="123"/>
      <c r="AB115" s="123"/>
      <c r="AC115" s="123"/>
      <c r="AD115" s="123"/>
    </row>
    <row r="116" spans="1:30" ht="39.75" customHeight="1" x14ac:dyDescent="0.25">
      <c r="C116" s="57"/>
      <c r="D116" s="50" t="str">
        <f>Translations!$B$914</f>
        <v>Fuel No.</v>
      </c>
      <c r="E116" s="1229" t="str">
        <f>Translations!$B$915</f>
        <v>Name of fuel</v>
      </c>
      <c r="F116" s="1230"/>
      <c r="G116" s="50" t="str">
        <f>Translations!$B$916</f>
        <v>preliminary EF 
[t CO2 / t fuel]</v>
      </c>
      <c r="H116" s="50" t="str">
        <f>Translations!$B$934</f>
        <v>(final) EF 
[t CO2 / t fuel]</v>
      </c>
      <c r="I116" s="50" t="str">
        <f>Translations!$B$935</f>
        <v>fuel consumption [tonnes]</v>
      </c>
      <c r="J116" s="50" t="str">
        <f>Translations!$B$1516</f>
        <v>CO2 emissions
[t CO2]</v>
      </c>
      <c r="K116" s="128" t="str">
        <f>Translations!$B$1517</f>
        <v>Total zero-rated emissions [t CO2]</v>
      </c>
      <c r="L116" s="128" t="str">
        <f>Translations!$B$1518</f>
        <v>Zero-rated biomass</v>
      </c>
      <c r="M116" s="128" t="str">
        <f>Translations!$B$1519</f>
        <v>Zero-rated RFNBO / RCF</v>
      </c>
      <c r="N116" s="128" t="str">
        <f>Translations!$B$1520</f>
        <v>Zero-rated SLCF</v>
      </c>
      <c r="O116" s="128" t="str">
        <f>Translations!$B$1521</f>
        <v>Non-zero-rated biomass</v>
      </c>
      <c r="P116" s="128" t="str">
        <f>Translations!$B$1522</f>
        <v>Non-zero-rated RFNBO / RCF</v>
      </c>
      <c r="Q116" s="128" t="str">
        <f>Translations!$B$1523</f>
        <v>Non-zero-rated SLCF</v>
      </c>
      <c r="R116" s="783" t="str">
        <f>Translations!$B$1524</f>
        <v>Attributed quantity in section 10a</v>
      </c>
      <c r="S116" s="51"/>
      <c r="T116" s="298"/>
    </row>
    <row r="117" spans="1:30" ht="13" x14ac:dyDescent="0.25">
      <c r="C117" s="57"/>
      <c r="D117" s="117">
        <v>1</v>
      </c>
      <c r="E117" s="1231" t="str">
        <f>Translations!$B$273</f>
        <v>Jet kerosene (Jet A1 or Jet A)</v>
      </c>
      <c r="F117" s="1231"/>
      <c r="G117" s="153">
        <f>IF(ISNUMBER(L57),L57,"")</f>
        <v>3.16</v>
      </c>
      <c r="H117" s="153">
        <f>IF(ISNUMBER(G117),G117*IF(N57=TRUE,0,1),"")</f>
        <v>3.16</v>
      </c>
      <c r="I117" s="462"/>
      <c r="J117" s="633" t="str">
        <f>IF(I117="","",H117*I117)</f>
        <v/>
      </c>
      <c r="K117" s="634" t="str">
        <f>IF(I117="","",IF(H117="","",IF(H117=0,G117*I117,"")))</f>
        <v/>
      </c>
      <c r="L117" s="635"/>
      <c r="M117" s="635"/>
      <c r="N117" s="636"/>
      <c r="O117" s="636"/>
      <c r="P117" s="636"/>
      <c r="Q117" s="636"/>
      <c r="R117" s="636"/>
      <c r="S117" s="51"/>
      <c r="T117" s="298"/>
    </row>
    <row r="118" spans="1:30" ht="13.4" customHeight="1" x14ac:dyDescent="0.25">
      <c r="C118" s="57"/>
      <c r="D118" s="117">
        <f>D117+1</f>
        <v>2</v>
      </c>
      <c r="E118" s="1231" t="str">
        <f>Translations!$B$274</f>
        <v>Jet gasoline (Jet B)</v>
      </c>
      <c r="F118" s="1231"/>
      <c r="G118" s="153">
        <f>IF(ISNUMBER(L58),L58,"")</f>
        <v>3.1</v>
      </c>
      <c r="H118" s="153">
        <f>IF(ISNUMBER(G118),G118*IF(N58=TRUE,0,1),"")</f>
        <v>3.1</v>
      </c>
      <c r="I118" s="462"/>
      <c r="J118" s="633" t="str">
        <f t="shared" ref="J118:J134" si="16">IF(I118="","",H118*I118)</f>
        <v/>
      </c>
      <c r="K118" s="634" t="str">
        <f t="shared" ref="K118:K134" si="17">IF(I118="","",IF(H118="","",IF(H118=0,G118*I118,"")))</f>
        <v/>
      </c>
      <c r="L118" s="635"/>
      <c r="M118" s="635"/>
      <c r="N118" s="636"/>
      <c r="O118" s="636"/>
      <c r="P118" s="636"/>
      <c r="Q118" s="636"/>
      <c r="R118" s="636"/>
      <c r="S118" s="51"/>
      <c r="T118" s="298"/>
    </row>
    <row r="119" spans="1:30" ht="12.75" customHeight="1" x14ac:dyDescent="0.25">
      <c r="C119" s="57"/>
      <c r="D119" s="117">
        <f t="shared" ref="D119" si="18">D118+1</f>
        <v>3</v>
      </c>
      <c r="E119" s="1251" t="str">
        <f>Translations!$B$275</f>
        <v>Aviation gasoline (AvGas)</v>
      </c>
      <c r="F119" s="1252"/>
      <c r="G119" s="153">
        <f>IF(ISNUMBER(L59),L59,"")</f>
        <v>3.1</v>
      </c>
      <c r="H119" s="153">
        <f>IF(ISNUMBER(G119),G119*IF(N59=TRUE,0,1),"")</f>
        <v>3.1</v>
      </c>
      <c r="I119" s="462"/>
      <c r="J119" s="633" t="str">
        <f t="shared" si="16"/>
        <v/>
      </c>
      <c r="K119" s="634" t="str">
        <f t="shared" si="17"/>
        <v/>
      </c>
      <c r="L119" s="635"/>
      <c r="M119" s="635"/>
      <c r="N119" s="636"/>
      <c r="O119" s="636"/>
      <c r="P119" s="636"/>
      <c r="Q119" s="636"/>
      <c r="R119" s="636"/>
      <c r="S119" s="51"/>
      <c r="T119" s="298"/>
    </row>
    <row r="120" spans="1:30" ht="13.4" customHeight="1" x14ac:dyDescent="0.25">
      <c r="C120" s="57"/>
      <c r="D120" s="117">
        <f t="shared" ref="D120:D134" si="19">D60</f>
        <v>4</v>
      </c>
      <c r="E120" s="1192" t="str">
        <f t="shared" ref="E120:E134" si="20">INDEX(CNTR_FuelListNames,D120-3)</f>
        <v/>
      </c>
      <c r="F120" s="1193"/>
      <c r="G120" s="153" t="str">
        <f t="shared" ref="G120:G134" si="21">IF(E120="","",INDEX(CNTR_FuelListEFprelim,MATCH($E120,CNTR_FuelListNames,0)))</f>
        <v/>
      </c>
      <c r="H120" s="153" t="str">
        <f t="shared" ref="H120:H134" si="22">IF(ISNUMBER(G120),G120*IF(INDEX(CNTR_FuelListIsZero,MATCH($E120,CNTR_FuelListNames,0))=TRUE,0,1),"")</f>
        <v/>
      </c>
      <c r="I120" s="462"/>
      <c r="J120" s="633" t="str">
        <f t="shared" si="16"/>
        <v/>
      </c>
      <c r="K120" s="634" t="str">
        <f t="shared" si="17"/>
        <v/>
      </c>
      <c r="L120" s="634" t="str">
        <f>IF(AND($E120&lt;&gt;"",ISNUMBER($I120),INDEX(CNTR_FuelListIsBioFuel,MATCH($E120,CNTR_FuelListNames,0))=TRUE,$H120=0),$K120,"")</f>
        <v/>
      </c>
      <c r="M120" s="634" t="str">
        <f t="shared" ref="M120:M134" si="23">IF(AND($E120&lt;&gt;"",ISNUMBER($I120),INDEX(CNTR_FuelListIsRF,MATCH($E120,CNTR_FuelListNames,0))=TRUE,$H120=0),$K120,"")</f>
        <v/>
      </c>
      <c r="N120" s="634" t="str">
        <f t="shared" ref="N120:N134" si="24">IF(AND($E120&lt;&gt;"",ISNUMBER($I120),INDEX(CNTR_FuelListIsSLCF,MATCH($E120,CNTR_FuelListNames,0))=TRUE,$H120=0),$K120,"")</f>
        <v/>
      </c>
      <c r="O120" s="634" t="str">
        <f t="shared" ref="O120:O134" si="25">IF(AND($E120&lt;&gt;"",ISNUMBER($I120),INDEX(CNTR_FuelListIsBioFuel,MATCH($E120,CNTR_FuelListNames,0))=TRUE,$H120&lt;&gt;0),$J120,"")</f>
        <v/>
      </c>
      <c r="P120" s="634" t="str">
        <f t="shared" ref="P120:P134" si="26">IF(AND($E120&lt;&gt;"",ISNUMBER($I120),INDEX(CNTR_FuelListIsRF,MATCH($E120,CNTR_FuelListNames,0))=TRUE,$H120&lt;&gt;0),$J120,"")</f>
        <v/>
      </c>
      <c r="Q120" s="634" t="str">
        <f t="shared" ref="Q120:Q134" si="27">IF(AND($E120&lt;&gt;"",ISNUMBER($I120),INDEX(CNTR_FuelListIsSLCF,MATCH($E120,CNTR_FuelListNames,0))=TRUE,$H120&lt;&gt;0),$J120,"")</f>
        <v/>
      </c>
      <c r="R120" s="784" t="str">
        <f>IF(I120="","",SUMIF('Annex Aerodromes'!$E$59:$E$258, E120, 'Annex Aerodromes'!$I$59:$I$258))</f>
        <v/>
      </c>
      <c r="S120" s="51"/>
      <c r="T120" s="298"/>
    </row>
    <row r="121" spans="1:30" ht="13.4" customHeight="1" x14ac:dyDescent="0.25">
      <c r="C121" s="57"/>
      <c r="D121" s="117">
        <f t="shared" si="19"/>
        <v>5</v>
      </c>
      <c r="E121" s="1192" t="str">
        <f t="shared" si="20"/>
        <v/>
      </c>
      <c r="F121" s="1193"/>
      <c r="G121" s="153" t="str">
        <f t="shared" si="21"/>
        <v/>
      </c>
      <c r="H121" s="153" t="str">
        <f t="shared" si="22"/>
        <v/>
      </c>
      <c r="I121" s="462"/>
      <c r="J121" s="633" t="str">
        <f t="shared" si="16"/>
        <v/>
      </c>
      <c r="K121" s="634" t="str">
        <f t="shared" si="17"/>
        <v/>
      </c>
      <c r="L121" s="634" t="str">
        <f t="shared" ref="L121:L134" si="28">IF(AND($E121&lt;&gt;"",ISNUMBER($I121),INDEX(CNTR_FuelListIsBioFuel,MATCH($E121,CNTR_FuelListNames,0))=TRUE,$H121=0),$K121,"")</f>
        <v/>
      </c>
      <c r="M121" s="634" t="str">
        <f t="shared" si="23"/>
        <v/>
      </c>
      <c r="N121" s="634" t="str">
        <f t="shared" si="24"/>
        <v/>
      </c>
      <c r="O121" s="634" t="str">
        <f t="shared" si="25"/>
        <v/>
      </c>
      <c r="P121" s="634" t="str">
        <f t="shared" si="26"/>
        <v/>
      </c>
      <c r="Q121" s="634" t="str">
        <f t="shared" si="27"/>
        <v/>
      </c>
      <c r="R121" s="784" t="str">
        <f>IF(I121="","",SUMIF('Annex Aerodromes'!$E$59:$E$258, E121, 'Annex Aerodromes'!$I$59:$I$258))</f>
        <v/>
      </c>
      <c r="S121" s="51"/>
      <c r="T121" s="298"/>
    </row>
    <row r="122" spans="1:30" ht="12.75" customHeight="1" x14ac:dyDescent="0.25">
      <c r="C122" s="57"/>
      <c r="D122" s="117">
        <f t="shared" si="19"/>
        <v>6</v>
      </c>
      <c r="E122" s="1192" t="str">
        <f t="shared" si="20"/>
        <v/>
      </c>
      <c r="F122" s="1193"/>
      <c r="G122" s="153" t="str">
        <f t="shared" si="21"/>
        <v/>
      </c>
      <c r="H122" s="153" t="str">
        <f t="shared" si="22"/>
        <v/>
      </c>
      <c r="I122" s="462"/>
      <c r="J122" s="633" t="str">
        <f t="shared" si="16"/>
        <v/>
      </c>
      <c r="K122" s="634" t="str">
        <f>IF(I122="","",IF(H122="","",IF(H122=0,G122*I122,"")))</f>
        <v/>
      </c>
      <c r="L122" s="634" t="str">
        <f t="shared" si="28"/>
        <v/>
      </c>
      <c r="M122" s="634" t="str">
        <f t="shared" si="23"/>
        <v/>
      </c>
      <c r="N122" s="634" t="str">
        <f t="shared" si="24"/>
        <v/>
      </c>
      <c r="O122" s="634" t="str">
        <f t="shared" si="25"/>
        <v/>
      </c>
      <c r="P122" s="634" t="str">
        <f t="shared" si="26"/>
        <v/>
      </c>
      <c r="Q122" s="634" t="str">
        <f t="shared" si="27"/>
        <v/>
      </c>
      <c r="R122" s="784" t="str">
        <f>IF(I122="","",SUMIF('Annex Aerodromes'!$E$59:$E$258, E122, 'Annex Aerodromes'!$I$59:$I$258))</f>
        <v/>
      </c>
      <c r="S122" s="51"/>
      <c r="T122" s="298"/>
    </row>
    <row r="123" spans="1:30" ht="13.4" customHeight="1" x14ac:dyDescent="0.25">
      <c r="C123" s="57"/>
      <c r="D123" s="117">
        <f t="shared" si="19"/>
        <v>7</v>
      </c>
      <c r="E123" s="1192" t="str">
        <f t="shared" si="20"/>
        <v/>
      </c>
      <c r="F123" s="1193"/>
      <c r="G123" s="153" t="str">
        <f t="shared" si="21"/>
        <v/>
      </c>
      <c r="H123" s="153" t="str">
        <f t="shared" si="22"/>
        <v/>
      </c>
      <c r="I123" s="462"/>
      <c r="J123" s="633" t="str">
        <f t="shared" si="16"/>
        <v/>
      </c>
      <c r="K123" s="634" t="str">
        <f t="shared" si="17"/>
        <v/>
      </c>
      <c r="L123" s="634" t="str">
        <f t="shared" si="28"/>
        <v/>
      </c>
      <c r="M123" s="634" t="str">
        <f t="shared" si="23"/>
        <v/>
      </c>
      <c r="N123" s="634" t="str">
        <f t="shared" si="24"/>
        <v/>
      </c>
      <c r="O123" s="634" t="str">
        <f t="shared" si="25"/>
        <v/>
      </c>
      <c r="P123" s="634" t="str">
        <f t="shared" si="26"/>
        <v/>
      </c>
      <c r="Q123" s="634" t="str">
        <f t="shared" si="27"/>
        <v/>
      </c>
      <c r="R123" s="784" t="str">
        <f>IF(I123="","",SUMIF('Annex Aerodromes'!$E$59:$E$258, E123, 'Annex Aerodromes'!$I$59:$I$258))</f>
        <v/>
      </c>
      <c r="S123" s="51"/>
      <c r="T123" s="298"/>
    </row>
    <row r="124" spans="1:30" ht="13.4" customHeight="1" x14ac:dyDescent="0.25">
      <c r="C124" s="57"/>
      <c r="D124" s="117">
        <f t="shared" si="19"/>
        <v>8</v>
      </c>
      <c r="E124" s="1192" t="str">
        <f t="shared" si="20"/>
        <v/>
      </c>
      <c r="F124" s="1193"/>
      <c r="G124" s="153" t="str">
        <f t="shared" si="21"/>
        <v/>
      </c>
      <c r="H124" s="153" t="str">
        <f t="shared" si="22"/>
        <v/>
      </c>
      <c r="I124" s="462"/>
      <c r="J124" s="633" t="str">
        <f t="shared" si="16"/>
        <v/>
      </c>
      <c r="K124" s="634" t="str">
        <f>IF(I124="","",IF(H124="","",IF(H124=0,G124*I124,"")))</f>
        <v/>
      </c>
      <c r="L124" s="634" t="str">
        <f t="shared" si="28"/>
        <v/>
      </c>
      <c r="M124" s="634" t="str">
        <f t="shared" si="23"/>
        <v/>
      </c>
      <c r="N124" s="634" t="str">
        <f t="shared" si="24"/>
        <v/>
      </c>
      <c r="O124" s="634" t="str">
        <f t="shared" si="25"/>
        <v/>
      </c>
      <c r="P124" s="634" t="str">
        <f t="shared" si="26"/>
        <v/>
      </c>
      <c r="Q124" s="634" t="str">
        <f t="shared" si="27"/>
        <v/>
      </c>
      <c r="R124" s="784" t="str">
        <f>IF(I124="","",SUMIF('Annex Aerodromes'!$E$59:$E$258, E124, 'Annex Aerodromes'!$I$59:$I$258))</f>
        <v/>
      </c>
      <c r="S124" s="51"/>
      <c r="T124" s="298"/>
    </row>
    <row r="125" spans="1:30" ht="13.4" customHeight="1" x14ac:dyDescent="0.25">
      <c r="C125" s="57"/>
      <c r="D125" s="117">
        <f t="shared" si="19"/>
        <v>9</v>
      </c>
      <c r="E125" s="1192" t="str">
        <f t="shared" si="20"/>
        <v/>
      </c>
      <c r="F125" s="1193"/>
      <c r="G125" s="153" t="str">
        <f t="shared" si="21"/>
        <v/>
      </c>
      <c r="H125" s="153" t="str">
        <f t="shared" si="22"/>
        <v/>
      </c>
      <c r="I125" s="462"/>
      <c r="J125" s="633" t="str">
        <f t="shared" si="16"/>
        <v/>
      </c>
      <c r="K125" s="634" t="str">
        <f t="shared" si="17"/>
        <v/>
      </c>
      <c r="L125" s="634" t="str">
        <f t="shared" si="28"/>
        <v/>
      </c>
      <c r="M125" s="634" t="str">
        <f t="shared" si="23"/>
        <v/>
      </c>
      <c r="N125" s="634" t="str">
        <f t="shared" si="24"/>
        <v/>
      </c>
      <c r="O125" s="634" t="str">
        <f t="shared" si="25"/>
        <v/>
      </c>
      <c r="P125" s="634" t="str">
        <f t="shared" si="26"/>
        <v/>
      </c>
      <c r="Q125" s="634" t="str">
        <f t="shared" si="27"/>
        <v/>
      </c>
      <c r="R125" s="784" t="str">
        <f>IF(I125="","",SUMIF('Annex Aerodromes'!$E$59:$E$258, E125, 'Annex Aerodromes'!$I$59:$I$258))</f>
        <v/>
      </c>
      <c r="S125" s="51"/>
      <c r="T125" s="298"/>
    </row>
    <row r="126" spans="1:30" ht="13.4" customHeight="1" x14ac:dyDescent="0.25">
      <c r="C126" s="57"/>
      <c r="D126" s="117">
        <f t="shared" si="19"/>
        <v>10</v>
      </c>
      <c r="E126" s="1192" t="str">
        <f t="shared" si="20"/>
        <v/>
      </c>
      <c r="F126" s="1193"/>
      <c r="G126" s="153" t="str">
        <f t="shared" si="21"/>
        <v/>
      </c>
      <c r="H126" s="153" t="str">
        <f t="shared" si="22"/>
        <v/>
      </c>
      <c r="I126" s="462"/>
      <c r="J126" s="633" t="str">
        <f t="shared" si="16"/>
        <v/>
      </c>
      <c r="K126" s="634" t="str">
        <f t="shared" si="17"/>
        <v/>
      </c>
      <c r="L126" s="634" t="str">
        <f t="shared" si="28"/>
        <v/>
      </c>
      <c r="M126" s="634" t="str">
        <f t="shared" si="23"/>
        <v/>
      </c>
      <c r="N126" s="634" t="str">
        <f t="shared" si="24"/>
        <v/>
      </c>
      <c r="O126" s="634" t="str">
        <f t="shared" si="25"/>
        <v/>
      </c>
      <c r="P126" s="634" t="str">
        <f t="shared" si="26"/>
        <v/>
      </c>
      <c r="Q126" s="634" t="str">
        <f t="shared" si="27"/>
        <v/>
      </c>
      <c r="R126" s="784" t="str">
        <f>IF(I126="","",SUMIF('Annex Aerodromes'!$E$59:$E$258, E126, 'Annex Aerodromes'!$I$59:$I$258))</f>
        <v/>
      </c>
      <c r="S126" s="51"/>
      <c r="T126" s="298"/>
    </row>
    <row r="127" spans="1:30" ht="13.4" customHeight="1" x14ac:dyDescent="0.25">
      <c r="C127" s="57"/>
      <c r="D127" s="117">
        <f t="shared" si="19"/>
        <v>11</v>
      </c>
      <c r="E127" s="1192" t="str">
        <f t="shared" si="20"/>
        <v/>
      </c>
      <c r="F127" s="1193"/>
      <c r="G127" s="153" t="str">
        <f t="shared" si="21"/>
        <v/>
      </c>
      <c r="H127" s="153" t="str">
        <f t="shared" si="22"/>
        <v/>
      </c>
      <c r="I127" s="462"/>
      <c r="J127" s="633" t="str">
        <f t="shared" si="16"/>
        <v/>
      </c>
      <c r="K127" s="634" t="str">
        <f t="shared" si="17"/>
        <v/>
      </c>
      <c r="L127" s="634" t="str">
        <f t="shared" si="28"/>
        <v/>
      </c>
      <c r="M127" s="634" t="str">
        <f t="shared" si="23"/>
        <v/>
      </c>
      <c r="N127" s="634" t="str">
        <f t="shared" si="24"/>
        <v/>
      </c>
      <c r="O127" s="634" t="str">
        <f t="shared" si="25"/>
        <v/>
      </c>
      <c r="P127" s="634" t="str">
        <f t="shared" si="26"/>
        <v/>
      </c>
      <c r="Q127" s="634" t="str">
        <f t="shared" si="27"/>
        <v/>
      </c>
      <c r="R127" s="784" t="str">
        <f>IF(I127="","",SUMIF('Annex Aerodromes'!$E$59:$E$258, E127, 'Annex Aerodromes'!$I$59:$I$258))</f>
        <v/>
      </c>
      <c r="S127" s="51"/>
      <c r="T127" s="298"/>
    </row>
    <row r="128" spans="1:30" ht="13.4" customHeight="1" x14ac:dyDescent="0.25">
      <c r="C128" s="57"/>
      <c r="D128" s="117">
        <f t="shared" si="19"/>
        <v>12</v>
      </c>
      <c r="E128" s="1192" t="str">
        <f t="shared" si="20"/>
        <v/>
      </c>
      <c r="F128" s="1193"/>
      <c r="G128" s="153" t="str">
        <f t="shared" si="21"/>
        <v/>
      </c>
      <c r="H128" s="153" t="str">
        <f t="shared" si="22"/>
        <v/>
      </c>
      <c r="I128" s="462"/>
      <c r="J128" s="633" t="str">
        <f t="shared" si="16"/>
        <v/>
      </c>
      <c r="K128" s="634" t="str">
        <f t="shared" si="17"/>
        <v/>
      </c>
      <c r="L128" s="634" t="str">
        <f t="shared" si="28"/>
        <v/>
      </c>
      <c r="M128" s="634" t="str">
        <f t="shared" si="23"/>
        <v/>
      </c>
      <c r="N128" s="634" t="str">
        <f t="shared" si="24"/>
        <v/>
      </c>
      <c r="O128" s="634" t="str">
        <f t="shared" si="25"/>
        <v/>
      </c>
      <c r="P128" s="634" t="str">
        <f t="shared" si="26"/>
        <v/>
      </c>
      <c r="Q128" s="634" t="str">
        <f t="shared" si="27"/>
        <v/>
      </c>
      <c r="R128" s="784" t="str">
        <f>IF(I128="","",SUMIF('Annex Aerodromes'!$E$59:$E$258, E128, 'Annex Aerodromes'!$I$59:$I$258))</f>
        <v/>
      </c>
      <c r="S128" s="51"/>
      <c r="T128" s="298"/>
    </row>
    <row r="129" spans="1:30" ht="13.4" customHeight="1" x14ac:dyDescent="0.25">
      <c r="C129" s="57"/>
      <c r="D129" s="117">
        <f t="shared" si="19"/>
        <v>13</v>
      </c>
      <c r="E129" s="1192" t="str">
        <f t="shared" si="20"/>
        <v/>
      </c>
      <c r="F129" s="1193"/>
      <c r="G129" s="153" t="str">
        <f t="shared" si="21"/>
        <v/>
      </c>
      <c r="H129" s="153" t="str">
        <f t="shared" si="22"/>
        <v/>
      </c>
      <c r="I129" s="462"/>
      <c r="J129" s="633" t="str">
        <f t="shared" si="16"/>
        <v/>
      </c>
      <c r="K129" s="634" t="str">
        <f t="shared" si="17"/>
        <v/>
      </c>
      <c r="L129" s="634" t="str">
        <f t="shared" si="28"/>
        <v/>
      </c>
      <c r="M129" s="634" t="str">
        <f t="shared" si="23"/>
        <v/>
      </c>
      <c r="N129" s="634" t="str">
        <f t="shared" si="24"/>
        <v/>
      </c>
      <c r="O129" s="634" t="str">
        <f t="shared" si="25"/>
        <v/>
      </c>
      <c r="P129" s="634" t="str">
        <f t="shared" si="26"/>
        <v/>
      </c>
      <c r="Q129" s="634" t="str">
        <f t="shared" si="27"/>
        <v/>
      </c>
      <c r="R129" s="784" t="str">
        <f>IF(I129="","",SUMIF('Annex Aerodromes'!$E$59:$E$258, E129, 'Annex Aerodromes'!$I$59:$I$258))</f>
        <v/>
      </c>
      <c r="S129" s="51"/>
      <c r="T129" s="298"/>
    </row>
    <row r="130" spans="1:30" ht="13.4" customHeight="1" x14ac:dyDescent="0.25">
      <c r="C130" s="57"/>
      <c r="D130" s="117">
        <f t="shared" si="19"/>
        <v>14</v>
      </c>
      <c r="E130" s="1192" t="str">
        <f t="shared" si="20"/>
        <v/>
      </c>
      <c r="F130" s="1193"/>
      <c r="G130" s="153" t="str">
        <f t="shared" si="21"/>
        <v/>
      </c>
      <c r="H130" s="153" t="str">
        <f t="shared" si="22"/>
        <v/>
      </c>
      <c r="I130" s="462"/>
      <c r="J130" s="633" t="str">
        <f t="shared" si="16"/>
        <v/>
      </c>
      <c r="K130" s="634" t="str">
        <f t="shared" si="17"/>
        <v/>
      </c>
      <c r="L130" s="634" t="str">
        <f t="shared" si="28"/>
        <v/>
      </c>
      <c r="M130" s="634" t="str">
        <f t="shared" si="23"/>
        <v/>
      </c>
      <c r="N130" s="634" t="str">
        <f t="shared" si="24"/>
        <v/>
      </c>
      <c r="O130" s="634" t="str">
        <f t="shared" si="25"/>
        <v/>
      </c>
      <c r="P130" s="634" t="str">
        <f t="shared" si="26"/>
        <v/>
      </c>
      <c r="Q130" s="634" t="str">
        <f t="shared" si="27"/>
        <v/>
      </c>
      <c r="R130" s="784" t="str">
        <f>IF(I130="","",SUMIF('Annex Aerodromes'!$E$59:$E$258, E130, 'Annex Aerodromes'!$I$59:$I$258))</f>
        <v/>
      </c>
      <c r="S130" s="51"/>
      <c r="T130" s="298"/>
    </row>
    <row r="131" spans="1:30" ht="13.4" customHeight="1" x14ac:dyDescent="0.25">
      <c r="C131" s="57"/>
      <c r="D131" s="117">
        <f t="shared" si="19"/>
        <v>15</v>
      </c>
      <c r="E131" s="1192" t="str">
        <f t="shared" si="20"/>
        <v/>
      </c>
      <c r="F131" s="1193"/>
      <c r="G131" s="153" t="str">
        <f t="shared" si="21"/>
        <v/>
      </c>
      <c r="H131" s="153" t="str">
        <f t="shared" si="22"/>
        <v/>
      </c>
      <c r="I131" s="462"/>
      <c r="J131" s="633" t="str">
        <f t="shared" si="16"/>
        <v/>
      </c>
      <c r="K131" s="634" t="str">
        <f t="shared" si="17"/>
        <v/>
      </c>
      <c r="L131" s="634" t="str">
        <f t="shared" si="28"/>
        <v/>
      </c>
      <c r="M131" s="634" t="str">
        <f t="shared" si="23"/>
        <v/>
      </c>
      <c r="N131" s="634" t="str">
        <f t="shared" si="24"/>
        <v/>
      </c>
      <c r="O131" s="634" t="str">
        <f t="shared" si="25"/>
        <v/>
      </c>
      <c r="P131" s="634" t="str">
        <f t="shared" si="26"/>
        <v/>
      </c>
      <c r="Q131" s="634" t="str">
        <f t="shared" si="27"/>
        <v/>
      </c>
      <c r="R131" s="784" t="str">
        <f>IF(I131="","",SUMIF('Annex Aerodromes'!$E$59:$E$258, E131, 'Annex Aerodromes'!$I$59:$I$258))</f>
        <v/>
      </c>
      <c r="S131" s="51"/>
      <c r="T131" s="298"/>
    </row>
    <row r="132" spans="1:30" ht="13.4" customHeight="1" x14ac:dyDescent="0.25">
      <c r="C132" s="57"/>
      <c r="D132" s="117">
        <f t="shared" si="19"/>
        <v>16</v>
      </c>
      <c r="E132" s="1192" t="str">
        <f t="shared" si="20"/>
        <v/>
      </c>
      <c r="F132" s="1193"/>
      <c r="G132" s="153" t="str">
        <f t="shared" si="21"/>
        <v/>
      </c>
      <c r="H132" s="153" t="str">
        <f t="shared" si="22"/>
        <v/>
      </c>
      <c r="I132" s="462"/>
      <c r="J132" s="633" t="str">
        <f t="shared" si="16"/>
        <v/>
      </c>
      <c r="K132" s="634" t="str">
        <f t="shared" si="17"/>
        <v/>
      </c>
      <c r="L132" s="634" t="str">
        <f t="shared" si="28"/>
        <v/>
      </c>
      <c r="M132" s="634" t="str">
        <f t="shared" si="23"/>
        <v/>
      </c>
      <c r="N132" s="634" t="str">
        <f t="shared" si="24"/>
        <v/>
      </c>
      <c r="O132" s="634" t="str">
        <f t="shared" si="25"/>
        <v/>
      </c>
      <c r="P132" s="634" t="str">
        <f t="shared" si="26"/>
        <v/>
      </c>
      <c r="Q132" s="634" t="str">
        <f t="shared" si="27"/>
        <v/>
      </c>
      <c r="R132" s="784" t="str">
        <f>IF(I132="","",SUMIF('Annex Aerodromes'!$E$59:$E$258, E132, 'Annex Aerodromes'!$I$59:$I$258))</f>
        <v/>
      </c>
      <c r="S132" s="51"/>
      <c r="T132" s="298"/>
    </row>
    <row r="133" spans="1:30" ht="13.4" customHeight="1" x14ac:dyDescent="0.25">
      <c r="C133" s="57"/>
      <c r="D133" s="117">
        <f t="shared" si="19"/>
        <v>17</v>
      </c>
      <c r="E133" s="1192" t="str">
        <f t="shared" si="20"/>
        <v/>
      </c>
      <c r="F133" s="1193"/>
      <c r="G133" s="153" t="str">
        <f t="shared" si="21"/>
        <v/>
      </c>
      <c r="H133" s="153" t="str">
        <f t="shared" si="22"/>
        <v/>
      </c>
      <c r="I133" s="462"/>
      <c r="J133" s="633" t="str">
        <f t="shared" si="16"/>
        <v/>
      </c>
      <c r="K133" s="634" t="str">
        <f t="shared" si="17"/>
        <v/>
      </c>
      <c r="L133" s="634" t="str">
        <f t="shared" si="28"/>
        <v/>
      </c>
      <c r="M133" s="634" t="str">
        <f t="shared" si="23"/>
        <v/>
      </c>
      <c r="N133" s="634" t="str">
        <f t="shared" si="24"/>
        <v/>
      </c>
      <c r="O133" s="634" t="str">
        <f t="shared" si="25"/>
        <v/>
      </c>
      <c r="P133" s="634" t="str">
        <f t="shared" si="26"/>
        <v/>
      </c>
      <c r="Q133" s="634" t="str">
        <f t="shared" si="27"/>
        <v/>
      </c>
      <c r="R133" s="784" t="str">
        <f>IF(I133="","",SUMIF('Annex Aerodromes'!$E$59:$E$258, E133, 'Annex Aerodromes'!$I$59:$I$258))</f>
        <v/>
      </c>
      <c r="S133" s="51"/>
      <c r="T133" s="298"/>
    </row>
    <row r="134" spans="1:30" ht="13.4" customHeight="1" x14ac:dyDescent="0.25">
      <c r="C134" s="57"/>
      <c r="D134" s="117">
        <f t="shared" si="19"/>
        <v>18</v>
      </c>
      <c r="E134" s="1192" t="str">
        <f t="shared" si="20"/>
        <v/>
      </c>
      <c r="F134" s="1193"/>
      <c r="G134" s="153" t="str">
        <f t="shared" si="21"/>
        <v/>
      </c>
      <c r="H134" s="153" t="str">
        <f t="shared" si="22"/>
        <v/>
      </c>
      <c r="I134" s="462"/>
      <c r="J134" s="633" t="str">
        <f t="shared" si="16"/>
        <v/>
      </c>
      <c r="K134" s="634" t="str">
        <f t="shared" si="17"/>
        <v/>
      </c>
      <c r="L134" s="634" t="str">
        <f t="shared" si="28"/>
        <v/>
      </c>
      <c r="M134" s="634" t="str">
        <f t="shared" si="23"/>
        <v/>
      </c>
      <c r="N134" s="634" t="str">
        <f t="shared" si="24"/>
        <v/>
      </c>
      <c r="O134" s="634" t="str">
        <f t="shared" si="25"/>
        <v/>
      </c>
      <c r="P134" s="634" t="str">
        <f t="shared" si="26"/>
        <v/>
      </c>
      <c r="Q134" s="634" t="str">
        <f t="shared" si="27"/>
        <v/>
      </c>
      <c r="R134" s="784" t="str">
        <f>IF(I134="","",SUMIF('Annex Aerodromes'!$E$59:$E$258, E134, 'Annex Aerodromes'!$I$59:$I$258))</f>
        <v/>
      </c>
      <c r="S134" s="51"/>
      <c r="T134" s="298"/>
    </row>
    <row r="135" spans="1:30" ht="13" hidden="1" x14ac:dyDescent="0.25">
      <c r="A135" s="118" t="s">
        <v>30</v>
      </c>
      <c r="C135" s="57"/>
      <c r="D135" s="117" t="s">
        <v>73</v>
      </c>
      <c r="E135" s="1195" t="s">
        <v>73</v>
      </c>
      <c r="F135" s="1195"/>
      <c r="G135" s="376" t="s">
        <v>73</v>
      </c>
      <c r="H135" s="376" t="s">
        <v>73</v>
      </c>
      <c r="I135" s="376" t="s">
        <v>73</v>
      </c>
      <c r="J135" s="376" t="s">
        <v>73</v>
      </c>
      <c r="K135" s="376" t="s">
        <v>73</v>
      </c>
      <c r="L135" s="376" t="s">
        <v>73</v>
      </c>
      <c r="M135" s="376" t="s">
        <v>73</v>
      </c>
      <c r="N135" s="376" t="s">
        <v>73</v>
      </c>
      <c r="O135" s="376" t="s">
        <v>73</v>
      </c>
      <c r="P135" s="376" t="s">
        <v>73</v>
      </c>
      <c r="Q135" s="376" t="s">
        <v>73</v>
      </c>
      <c r="R135" s="376" t="s">
        <v>73</v>
      </c>
      <c r="S135" s="51"/>
      <c r="T135" s="298"/>
    </row>
    <row r="136" spans="1:30" s="51" customFormat="1" ht="13.4" customHeight="1" x14ac:dyDescent="0.25">
      <c r="A136" s="123"/>
      <c r="D136" s="1194" t="str">
        <f>Translations!$B$1497</f>
        <v>Note: Due to the complexity of the formulae connected to the fuel types, it is not possible to add further rows for additional fuels!</v>
      </c>
      <c r="E136" s="1194"/>
      <c r="F136" s="1194"/>
      <c r="G136" s="1194"/>
      <c r="H136" s="1194"/>
      <c r="I136" s="1194"/>
      <c r="J136" s="1194"/>
      <c r="K136" s="1194"/>
      <c r="L136" s="75"/>
      <c r="M136" s="75"/>
      <c r="N136" s="75"/>
      <c r="U136" s="124"/>
      <c r="V136" s="123"/>
      <c r="W136" s="123"/>
      <c r="X136" s="123"/>
      <c r="Y136" s="123"/>
      <c r="Z136" s="123"/>
      <c r="AA136" s="123"/>
      <c r="AB136" s="123"/>
      <c r="AC136" s="123"/>
      <c r="AD136" s="123"/>
    </row>
    <row r="137" spans="1:30" s="51" customFormat="1" ht="13.4" customHeight="1" thickBot="1" x14ac:dyDescent="0.3">
      <c r="A137" s="123"/>
      <c r="D137" s="125"/>
      <c r="E137" s="125"/>
      <c r="F137" s="125"/>
      <c r="G137" s="125"/>
      <c r="H137" s="125"/>
      <c r="I137" s="125"/>
      <c r="J137" s="125"/>
      <c r="K137" s="125"/>
      <c r="L137" s="125"/>
      <c r="M137" s="125"/>
      <c r="N137" s="75"/>
      <c r="U137" s="124"/>
      <c r="V137" s="123"/>
      <c r="W137" s="123"/>
      <c r="X137" s="123"/>
      <c r="Y137" s="123"/>
      <c r="Z137" s="123"/>
      <c r="AA137" s="123"/>
      <c r="AB137" s="123"/>
      <c r="AC137" s="123"/>
      <c r="AD137" s="123"/>
    </row>
    <row r="138" spans="1:30" s="112" customFormat="1" ht="12.75" customHeight="1" thickBot="1" x14ac:dyDescent="0.3">
      <c r="A138" s="129"/>
      <c r="D138" s="1235" t="str">
        <f>Translations!$B$1269</f>
        <v>Total CO2 emissions (EU ETS) in the reporting year:</v>
      </c>
      <c r="E138" s="1236"/>
      <c r="F138" s="1236"/>
      <c r="G138" s="1236"/>
      <c r="H138" s="1236"/>
      <c r="I138" s="1237"/>
      <c r="J138" s="130">
        <f>ROUND(SUM(J117:J135),0)</f>
        <v>0</v>
      </c>
      <c r="K138" s="557"/>
      <c r="S138" s="51"/>
      <c r="T138" s="51"/>
      <c r="U138" s="129"/>
      <c r="V138" s="129"/>
      <c r="W138" s="686"/>
      <c r="X138" s="129"/>
      <c r="Y138" s="129"/>
      <c r="Z138" s="129"/>
      <c r="AA138" s="129"/>
      <c r="AB138" s="129"/>
      <c r="AC138" s="129"/>
      <c r="AD138" s="129"/>
    </row>
    <row r="139" spans="1:30" s="51" customFormat="1" ht="63.75" customHeight="1" thickBot="1" x14ac:dyDescent="0.3">
      <c r="A139" s="123"/>
      <c r="D139" s="1232"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139" s="1233"/>
      <c r="F139" s="1233"/>
      <c r="G139" s="1233"/>
      <c r="H139" s="1233"/>
      <c r="I139" s="1233"/>
      <c r="J139" s="1233"/>
      <c r="K139" s="1234"/>
      <c r="L139" s="540"/>
      <c r="M139" s="540"/>
      <c r="N139" s="75"/>
      <c r="U139" s="124"/>
      <c r="V139" s="686"/>
      <c r="W139" s="123"/>
      <c r="X139" s="123"/>
      <c r="Y139" s="123"/>
      <c r="Z139" s="123"/>
      <c r="AA139" s="123"/>
      <c r="AB139" s="123"/>
      <c r="AC139" s="123"/>
      <c r="AD139" s="123"/>
    </row>
    <row r="140" spans="1:30" s="51" customFormat="1" ht="5.15" customHeight="1" x14ac:dyDescent="0.25">
      <c r="A140" s="123"/>
      <c r="D140" s="125"/>
      <c r="E140" s="125"/>
      <c r="F140" s="125"/>
      <c r="G140" s="125"/>
      <c r="H140" s="125"/>
      <c r="I140" s="125"/>
      <c r="J140" s="125"/>
      <c r="K140" s="125"/>
      <c r="L140" s="125"/>
      <c r="M140" s="125"/>
      <c r="N140" s="75"/>
      <c r="U140" s="124"/>
      <c r="V140" s="123"/>
      <c r="W140" s="123"/>
      <c r="X140" s="123"/>
      <c r="Y140" s="123"/>
      <c r="Z140" s="123"/>
      <c r="AA140" s="123"/>
      <c r="AB140" s="123"/>
      <c r="AC140" s="123"/>
      <c r="AD140" s="123"/>
    </row>
    <row r="141" spans="1:30" s="112" customFormat="1" ht="12.75" customHeight="1" x14ac:dyDescent="0.25">
      <c r="A141" s="129"/>
      <c r="D141" s="1238" t="str">
        <f>Translations!$B$1525</f>
        <v>Memo Item: total zero-rated emissions</v>
      </c>
      <c r="E141" s="1239"/>
      <c r="F141" s="1239"/>
      <c r="G141" s="1239"/>
      <c r="H141" s="1239"/>
      <c r="I141" s="1239"/>
      <c r="J141" s="1240"/>
      <c r="K141" s="131">
        <f>ROUND(SUM(K117:K135),0)</f>
        <v>0</v>
      </c>
      <c r="L141" s="695"/>
      <c r="M141" s="695"/>
      <c r="N141" s="695"/>
      <c r="O141" s="695"/>
      <c r="P141" s="695"/>
      <c r="Q141" s="152"/>
      <c r="T141" s="464"/>
      <c r="U141" s="129" t="s">
        <v>160</v>
      </c>
      <c r="V141" s="129"/>
      <c r="W141" s="686"/>
      <c r="X141" s="129"/>
      <c r="Y141" s="129"/>
      <c r="Z141" s="129"/>
      <c r="AA141" s="129"/>
      <c r="AB141" s="129"/>
      <c r="AC141" s="129"/>
      <c r="AD141" s="129"/>
    </row>
    <row r="142" spans="1:30" s="112" customFormat="1" ht="12.75" customHeight="1" x14ac:dyDescent="0.25">
      <c r="A142" s="129"/>
      <c r="D142" s="1188" t="str">
        <f>Translations!$B$1526</f>
        <v>Memo Item: Total emissions using the preliminary emissions factor</v>
      </c>
      <c r="E142" s="1189"/>
      <c r="F142" s="1189"/>
      <c r="G142" s="1189"/>
      <c r="H142" s="1189"/>
      <c r="I142" s="111"/>
      <c r="J142" s="110"/>
      <c r="K142" s="131">
        <f>ROUND(SUM(J117:K135),0)</f>
        <v>0</v>
      </c>
      <c r="L142" s="695"/>
      <c r="M142" s="695"/>
      <c r="N142" s="695"/>
      <c r="O142" s="695"/>
      <c r="P142" s="695"/>
      <c r="Q142" s="152"/>
      <c r="T142" s="464"/>
      <c r="U142" s="129" t="s">
        <v>162</v>
      </c>
      <c r="V142" s="129"/>
      <c r="W142" s="686"/>
      <c r="X142" s="129"/>
      <c r="Y142" s="129"/>
      <c r="Z142" s="129"/>
      <c r="AA142" s="129"/>
      <c r="AB142" s="129"/>
      <c r="AC142" s="129"/>
      <c r="AD142" s="129"/>
    </row>
    <row r="143" spans="1:30" x14ac:dyDescent="0.25">
      <c r="C143" s="298"/>
      <c r="D143" s="689" t="str">
        <f>Translations!$B$1527</f>
        <v>Memo-item: Total emissions from zero-rated biofuels</v>
      </c>
      <c r="E143" s="690"/>
      <c r="F143" s="691"/>
      <c r="G143" s="691"/>
      <c r="H143" s="691"/>
      <c r="I143" s="691"/>
      <c r="J143" s="691"/>
      <c r="K143" s="691"/>
      <c r="L143" s="131" t="str">
        <f>IF(SUM(L$117:L$135)=0,"",SUM(L$117:L$135))</f>
        <v/>
      </c>
      <c r="M143" s="694"/>
      <c r="N143" s="694"/>
      <c r="O143" s="694"/>
      <c r="P143" s="694"/>
      <c r="Q143" s="146"/>
      <c r="T143" s="464"/>
      <c r="U143" s="129" t="s">
        <v>164</v>
      </c>
    </row>
    <row r="144" spans="1:30" x14ac:dyDescent="0.25">
      <c r="C144" s="298"/>
      <c r="D144" s="692" t="str">
        <f>Translations!$B$1528</f>
        <v>Memo-item: Total emissions from zero-rated RFNBO / RCF</v>
      </c>
      <c r="E144" s="693"/>
      <c r="F144" s="694"/>
      <c r="G144" s="694"/>
      <c r="H144" s="694"/>
      <c r="I144" s="694"/>
      <c r="J144" s="694"/>
      <c r="K144" s="694"/>
      <c r="L144" s="694"/>
      <c r="M144" s="131" t="str">
        <f t="shared" ref="M144:O146" si="29">IF(SUM(M$117:M$135)=0,"",SUM(M$117:M$135))</f>
        <v/>
      </c>
      <c r="N144" s="694"/>
      <c r="O144" s="694"/>
      <c r="P144" s="694"/>
      <c r="Q144" s="146"/>
      <c r="T144" s="464"/>
      <c r="U144" s="129" t="s">
        <v>166</v>
      </c>
    </row>
    <row r="145" spans="1:30" x14ac:dyDescent="0.25">
      <c r="C145" s="298"/>
      <c r="D145" s="692" t="str">
        <f>Translations!$B$1529</f>
        <v>Memo-item: Total emissions from zero-rated SLCF</v>
      </c>
      <c r="E145" s="693"/>
      <c r="F145" s="694"/>
      <c r="G145" s="694"/>
      <c r="H145" s="694"/>
      <c r="I145" s="694"/>
      <c r="J145" s="694"/>
      <c r="K145" s="694"/>
      <c r="L145" s="694"/>
      <c r="M145" s="694"/>
      <c r="N145" s="131" t="str">
        <f t="shared" si="29"/>
        <v/>
      </c>
      <c r="O145" s="694"/>
      <c r="P145" s="694"/>
      <c r="Q145" s="146"/>
      <c r="T145" s="464"/>
      <c r="U145" s="129" t="s">
        <v>168</v>
      </c>
    </row>
    <row r="146" spans="1:30" x14ac:dyDescent="0.25">
      <c r="C146" s="298"/>
      <c r="D146" s="692" t="str">
        <f>Translations!$B$1530</f>
        <v>Memo-item: Total emissions from non-zero-rated biofuels</v>
      </c>
      <c r="E146" s="693"/>
      <c r="F146" s="694"/>
      <c r="G146" s="694"/>
      <c r="H146" s="694"/>
      <c r="I146" s="694"/>
      <c r="J146" s="694"/>
      <c r="K146" s="694"/>
      <c r="L146" s="694"/>
      <c r="M146" s="694"/>
      <c r="N146" s="694"/>
      <c r="O146" s="131" t="str">
        <f t="shared" si="29"/>
        <v/>
      </c>
      <c r="P146" s="694"/>
      <c r="Q146" s="146"/>
      <c r="T146" s="464"/>
      <c r="U146" s="129" t="s">
        <v>170</v>
      </c>
    </row>
    <row r="147" spans="1:30" x14ac:dyDescent="0.25">
      <c r="C147" s="298"/>
      <c r="D147" s="692" t="str">
        <f>Translations!$B$1531</f>
        <v>Memo-item: Total emissions from non-zero-rated RFNBO / RCF</v>
      </c>
      <c r="E147" s="693"/>
      <c r="F147" s="694"/>
      <c r="G147" s="694"/>
      <c r="H147" s="694"/>
      <c r="I147" s="694"/>
      <c r="J147" s="694"/>
      <c r="K147" s="694"/>
      <c r="L147" s="694"/>
      <c r="M147" s="694"/>
      <c r="N147" s="694"/>
      <c r="O147" s="694"/>
      <c r="P147" s="131" t="str">
        <f>IF(SUM(P$117:P$135)=0,"",SUM(P$117:P$135))</f>
        <v/>
      </c>
      <c r="Q147" s="146"/>
      <c r="T147" s="464"/>
      <c r="U147" s="129" t="s">
        <v>172</v>
      </c>
    </row>
    <row r="148" spans="1:30" x14ac:dyDescent="0.25">
      <c r="C148" s="298"/>
      <c r="D148" s="692" t="str">
        <f>Translations!$B$1532</f>
        <v>Memo-item: Total emissions from non-zero-rated SLCF</v>
      </c>
      <c r="E148" s="693"/>
      <c r="F148" s="694"/>
      <c r="G148" s="694"/>
      <c r="H148" s="694"/>
      <c r="I148" s="694"/>
      <c r="J148" s="694"/>
      <c r="K148" s="694"/>
      <c r="L148" s="694"/>
      <c r="M148" s="694"/>
      <c r="N148" s="694"/>
      <c r="O148" s="694"/>
      <c r="P148" s="694"/>
      <c r="Q148" s="131" t="str">
        <f>IF(SUM(Q$117:Q$135)=0,"",SUM(Q$117:Q$135))</f>
        <v/>
      </c>
      <c r="R148" s="781"/>
      <c r="T148" s="464"/>
      <c r="U148" s="129" t="s">
        <v>174</v>
      </c>
    </row>
    <row r="150" spans="1:30" x14ac:dyDescent="0.25">
      <c r="B150" s="457"/>
      <c r="C150" s="457"/>
      <c r="D150" s="457"/>
      <c r="E150" s="457"/>
      <c r="F150" s="457"/>
      <c r="G150" s="457"/>
      <c r="H150" s="457"/>
      <c r="I150" s="457"/>
      <c r="J150" s="457"/>
      <c r="K150" s="457"/>
      <c r="L150" s="457"/>
      <c r="M150" s="457"/>
      <c r="N150" s="457"/>
      <c r="O150" s="457"/>
      <c r="P150" s="457"/>
      <c r="Q150" s="457"/>
      <c r="R150" s="457"/>
      <c r="S150" s="457"/>
    </row>
    <row r="151" spans="1:30" ht="13" x14ac:dyDescent="0.25">
      <c r="B151" s="457"/>
      <c r="C151" s="57" t="s">
        <v>39</v>
      </c>
      <c r="D151" s="57" t="str">
        <f>Translations!$B$1270</f>
        <v>Fuel consumption and emissions in the CH ETS</v>
      </c>
      <c r="S151" s="457"/>
    </row>
    <row r="152" spans="1:30" s="51" customFormat="1" ht="12.75" customHeight="1" x14ac:dyDescent="0.25">
      <c r="A152" s="123"/>
      <c r="B152" s="459"/>
      <c r="D152" s="1153" t="str">
        <f>Translations!$B$1271</f>
        <v xml:space="preserve">For instructions on filling this section see above under section (c). </v>
      </c>
      <c r="E152" s="1153"/>
      <c r="F152" s="1153"/>
      <c r="G152" s="1153"/>
      <c r="H152" s="1153"/>
      <c r="I152" s="1153"/>
      <c r="J152" s="1153"/>
      <c r="K152" s="1153"/>
      <c r="L152" s="75"/>
      <c r="M152" s="75"/>
      <c r="S152" s="461"/>
      <c r="U152" s="124"/>
      <c r="V152" s="123"/>
      <c r="W152" s="123"/>
      <c r="X152" s="123"/>
      <c r="Y152" s="123"/>
      <c r="Z152" s="123"/>
      <c r="AA152" s="123"/>
      <c r="AB152" s="123"/>
      <c r="AC152" s="123"/>
      <c r="AD152" s="123"/>
    </row>
    <row r="153" spans="1:30" s="51" customFormat="1" ht="13.4" customHeight="1" x14ac:dyDescent="0.25">
      <c r="A153" s="123"/>
      <c r="B153" s="459"/>
      <c r="D153" s="1197" t="str">
        <f>Translations!$B$1533</f>
        <v>Use of alternative aviation fuels can be reported without proportional attribution (i.e. see section 10a in sheet "Annex Aerodromes" IS NOT APPLICABLE to flights falling under the CH ETS).</v>
      </c>
      <c r="E153" s="1197"/>
      <c r="F153" s="1197"/>
      <c r="G153" s="1197"/>
      <c r="H153" s="1197"/>
      <c r="I153" s="1197"/>
      <c r="J153" s="1197"/>
      <c r="K153" s="1197"/>
      <c r="L153" s="1198"/>
      <c r="M153" s="1198"/>
      <c r="N153" s="1198"/>
      <c r="O153" s="1198"/>
      <c r="P153" s="1198"/>
      <c r="Q153" s="1198"/>
      <c r="R153" s="776"/>
      <c r="S153" s="461"/>
      <c r="U153" s="124"/>
      <c r="V153" s="123"/>
      <c r="W153" s="123"/>
      <c r="X153" s="123"/>
      <c r="Y153" s="123"/>
      <c r="Z153" s="123"/>
      <c r="AA153" s="123"/>
      <c r="AB153" s="123"/>
      <c r="AC153" s="123"/>
      <c r="AD153" s="123"/>
    </row>
    <row r="154" spans="1:30" s="51" customFormat="1" ht="5.15" customHeight="1" x14ac:dyDescent="0.25">
      <c r="A154" s="123"/>
      <c r="B154" s="459"/>
      <c r="D154" s="125"/>
      <c r="E154" s="125"/>
      <c r="F154" s="125"/>
      <c r="G154" s="125"/>
      <c r="H154" s="125"/>
      <c r="I154" s="125"/>
      <c r="J154" s="125"/>
      <c r="K154" s="125"/>
      <c r="L154" s="125"/>
      <c r="M154" s="125"/>
      <c r="S154" s="461"/>
      <c r="U154" s="124"/>
      <c r="V154" s="123"/>
      <c r="W154" s="123"/>
      <c r="X154" s="123"/>
      <c r="Y154" s="123"/>
      <c r="Z154" s="123"/>
      <c r="AA154" s="123"/>
      <c r="AB154" s="123"/>
      <c r="AC154" s="123"/>
      <c r="AD154" s="123"/>
    </row>
    <row r="155" spans="1:30" ht="38.25" customHeight="1" x14ac:dyDescent="0.25">
      <c r="B155" s="459"/>
      <c r="C155" s="57"/>
      <c r="D155" s="50" t="str">
        <f>Translations!$B$914</f>
        <v>Fuel No.</v>
      </c>
      <c r="E155" s="1229" t="str">
        <f>Translations!$B$915</f>
        <v>Name of fuel</v>
      </c>
      <c r="F155" s="1230"/>
      <c r="G155" s="50" t="str">
        <f>Translations!$B$916</f>
        <v>preliminary EF 
[t CO2 / t fuel]</v>
      </c>
      <c r="H155" s="50" t="str">
        <f>Translations!$B$934</f>
        <v>(final) EF 
[t CO2 / t fuel]</v>
      </c>
      <c r="I155" s="50" t="str">
        <f>Translations!$B$935</f>
        <v>fuel consumption [tonnes]</v>
      </c>
      <c r="J155" s="50" t="str">
        <f>Translations!$B$1506</f>
        <v>CO2 emissions [t CO2]</v>
      </c>
      <c r="K155" s="128" t="str">
        <f>Translations!$B$1517</f>
        <v>Total zero-rated emissions [t CO2]</v>
      </c>
      <c r="L155" s="128" t="str">
        <f>Translations!$B$1518</f>
        <v>Zero-rated biomass</v>
      </c>
      <c r="M155" s="128" t="str">
        <f>Translations!$B$1519</f>
        <v>Zero-rated RFNBO / RCF</v>
      </c>
      <c r="N155" s="128" t="str">
        <f>Translations!$B$1520</f>
        <v>Zero-rated SLCF</v>
      </c>
      <c r="O155" s="128" t="str">
        <f>Translations!$B$1521</f>
        <v>Non-zero-rated biomass</v>
      </c>
      <c r="P155" s="128" t="str">
        <f>Translations!$B$1522</f>
        <v>Non-zero-rated RFNBO / RCF</v>
      </c>
      <c r="Q155" s="128" t="str">
        <f>Translations!$B$1523</f>
        <v>Non-zero-rated SLCF</v>
      </c>
      <c r="R155" s="95"/>
      <c r="S155" s="461"/>
      <c r="T155" s="298"/>
    </row>
    <row r="156" spans="1:30" ht="13" x14ac:dyDescent="0.25">
      <c r="B156" s="459"/>
      <c r="C156" s="57"/>
      <c r="D156" s="117">
        <v>1</v>
      </c>
      <c r="E156" s="1231" t="str">
        <f>Translations!$B$273</f>
        <v>Jet kerosene (Jet A1 or Jet A)</v>
      </c>
      <c r="F156" s="1231"/>
      <c r="G156" s="153">
        <f t="shared" ref="G156:G173" si="30">IF(ISNUMBER(L57),L57,"")</f>
        <v>3.16</v>
      </c>
      <c r="H156" s="153">
        <f t="shared" ref="H156:H173" si="31">IF(ISNUMBER(G156),G156*IF(N57=TRUE,0,1),"")</f>
        <v>3.16</v>
      </c>
      <c r="I156" s="462"/>
      <c r="J156" s="633" t="str">
        <f>IF(I156="","",H156*I156)</f>
        <v/>
      </c>
      <c r="K156" s="634" t="str">
        <f>IF(I156="","",IF(H156="","",IF(H156=0,G156*I156,"")))</f>
        <v/>
      </c>
      <c r="L156" s="635"/>
      <c r="M156" s="635"/>
      <c r="N156" s="636"/>
      <c r="O156" s="636"/>
      <c r="P156" s="636"/>
      <c r="Q156" s="636"/>
      <c r="R156" s="778"/>
      <c r="S156" s="461"/>
      <c r="T156" s="298"/>
    </row>
    <row r="157" spans="1:30" ht="13.4" customHeight="1" x14ac:dyDescent="0.25">
      <c r="B157" s="459"/>
      <c r="C157" s="57"/>
      <c r="D157" s="117">
        <f>D156+1</f>
        <v>2</v>
      </c>
      <c r="E157" s="1231" t="str">
        <f>Translations!$B$274</f>
        <v>Jet gasoline (Jet B)</v>
      </c>
      <c r="F157" s="1231"/>
      <c r="G157" s="153">
        <f t="shared" si="30"/>
        <v>3.1</v>
      </c>
      <c r="H157" s="153">
        <f t="shared" si="31"/>
        <v>3.1</v>
      </c>
      <c r="I157" s="462"/>
      <c r="J157" s="633" t="str">
        <f t="shared" ref="J157:J173" si="32">IF(I157="","",H157*I157)</f>
        <v/>
      </c>
      <c r="K157" s="634" t="str">
        <f t="shared" ref="K157:K160" si="33">IF(I157="","",IF(H157="","",IF(H157=0,G157*I157,"")))</f>
        <v/>
      </c>
      <c r="L157" s="635"/>
      <c r="M157" s="635"/>
      <c r="N157" s="636"/>
      <c r="O157" s="636"/>
      <c r="P157" s="636"/>
      <c r="Q157" s="636"/>
      <c r="R157" s="778"/>
      <c r="S157" s="461"/>
      <c r="T157" s="298"/>
    </row>
    <row r="158" spans="1:30" ht="12.75" customHeight="1" x14ac:dyDescent="0.25">
      <c r="B158" s="459"/>
      <c r="C158" s="57"/>
      <c r="D158" s="117">
        <f t="shared" ref="D158:D173" si="34">D157+1</f>
        <v>3</v>
      </c>
      <c r="E158" s="1251" t="str">
        <f>Translations!$B$275</f>
        <v>Aviation gasoline (AvGas)</v>
      </c>
      <c r="F158" s="1252"/>
      <c r="G158" s="153">
        <f t="shared" si="30"/>
        <v>3.1</v>
      </c>
      <c r="H158" s="153">
        <f t="shared" si="31"/>
        <v>3.1</v>
      </c>
      <c r="I158" s="462"/>
      <c r="J158" s="633" t="str">
        <f t="shared" si="32"/>
        <v/>
      </c>
      <c r="K158" s="634" t="str">
        <f t="shared" si="33"/>
        <v/>
      </c>
      <c r="L158" s="635"/>
      <c r="M158" s="635"/>
      <c r="N158" s="636"/>
      <c r="O158" s="636"/>
      <c r="P158" s="636"/>
      <c r="Q158" s="636"/>
      <c r="R158" s="778"/>
      <c r="S158" s="461"/>
      <c r="T158" s="298"/>
    </row>
    <row r="159" spans="1:30" ht="13.4" customHeight="1" x14ac:dyDescent="0.25">
      <c r="B159" s="459"/>
      <c r="C159" s="57"/>
      <c r="D159" s="117">
        <f t="shared" si="34"/>
        <v>4</v>
      </c>
      <c r="E159" s="1192" t="str">
        <f t="shared" ref="E159:E173" si="35">INDEX(CNTR_FuelListNames,D159-3)</f>
        <v/>
      </c>
      <c r="F159" s="1193"/>
      <c r="G159" s="153" t="str">
        <f t="shared" si="30"/>
        <v/>
      </c>
      <c r="H159" s="153" t="str">
        <f t="shared" si="31"/>
        <v/>
      </c>
      <c r="I159" s="462"/>
      <c r="J159" s="633" t="str">
        <f t="shared" si="32"/>
        <v/>
      </c>
      <c r="K159" s="634" t="str">
        <f t="shared" si="33"/>
        <v/>
      </c>
      <c r="L159" s="634" t="str">
        <f t="shared" ref="L159:L173" si="36">IF(AND($E159&lt;&gt;"",ISNUMBER($I159),INDEX(CNTR_FuelListIsBioFuel,MATCH($E159,CNTR_FuelListNames,0))=TRUE,$H159=0),$K159,"")</f>
        <v/>
      </c>
      <c r="M159" s="634" t="str">
        <f t="shared" ref="M159:M173" si="37">IF(AND($E159&lt;&gt;"",ISNUMBER($I159),INDEX(CNTR_FuelListIsRF,MATCH($E159,CNTR_FuelListNames,0))=TRUE,$H159=0),$K159,"")</f>
        <v/>
      </c>
      <c r="N159" s="634" t="str">
        <f t="shared" ref="N159:N173" si="38">IF(AND($E159&lt;&gt;"",ISNUMBER($I159),INDEX(CNTR_FuelListIsSLCF,MATCH($E159,CNTR_FuelListNames,0))=TRUE,$H159=0),$K159,"")</f>
        <v/>
      </c>
      <c r="O159" s="634" t="str">
        <f t="shared" ref="O159:O173" si="39">IF(AND($E159&lt;&gt;"",ISNUMBER($I159),INDEX(CNTR_FuelListIsBioFuel,MATCH($E159,CNTR_FuelListNames,0))=TRUE,$H159&lt;&gt;0),$J159,"")</f>
        <v/>
      </c>
      <c r="P159" s="634" t="str">
        <f t="shared" ref="P159:P173" si="40">IF(AND($E159&lt;&gt;"",ISNUMBER($I159),INDEX(CNTR_FuelListIsRF,MATCH($E159,CNTR_FuelListNames,0))=TRUE,$H159&lt;&gt;0),$J159,"")</f>
        <v/>
      </c>
      <c r="Q159" s="634" t="str">
        <f t="shared" ref="Q159:Q173" si="41">IF(AND($E159&lt;&gt;"",ISNUMBER($I159),INDEX(CNTR_FuelListIsSLCF,MATCH($E159,CNTR_FuelListNames,0))=TRUE,$H159&lt;&gt;0),$J159,"")</f>
        <v/>
      </c>
      <c r="R159" s="779"/>
      <c r="S159" s="461"/>
      <c r="T159" s="298"/>
    </row>
    <row r="160" spans="1:30" ht="13.4" customHeight="1" x14ac:dyDescent="0.25">
      <c r="B160" s="459"/>
      <c r="C160" s="57"/>
      <c r="D160" s="117">
        <f t="shared" si="34"/>
        <v>5</v>
      </c>
      <c r="E160" s="1192" t="str">
        <f t="shared" si="35"/>
        <v/>
      </c>
      <c r="F160" s="1193"/>
      <c r="G160" s="153" t="str">
        <f t="shared" si="30"/>
        <v/>
      </c>
      <c r="H160" s="153" t="str">
        <f t="shared" si="31"/>
        <v/>
      </c>
      <c r="I160" s="462"/>
      <c r="J160" s="633" t="str">
        <f t="shared" si="32"/>
        <v/>
      </c>
      <c r="K160" s="634" t="str">
        <f t="shared" si="33"/>
        <v/>
      </c>
      <c r="L160" s="634" t="str">
        <f t="shared" si="36"/>
        <v/>
      </c>
      <c r="M160" s="634" t="str">
        <f t="shared" si="37"/>
        <v/>
      </c>
      <c r="N160" s="634" t="str">
        <f t="shared" si="38"/>
        <v/>
      </c>
      <c r="O160" s="634" t="str">
        <f t="shared" si="39"/>
        <v/>
      </c>
      <c r="P160" s="634" t="str">
        <f t="shared" si="40"/>
        <v/>
      </c>
      <c r="Q160" s="634" t="str">
        <f t="shared" si="41"/>
        <v/>
      </c>
      <c r="R160" s="779"/>
      <c r="S160" s="461"/>
      <c r="T160" s="298"/>
    </row>
    <row r="161" spans="1:30" ht="12.75" customHeight="1" x14ac:dyDescent="0.25">
      <c r="B161" s="459"/>
      <c r="C161" s="57"/>
      <c r="D161" s="117">
        <f t="shared" si="34"/>
        <v>6</v>
      </c>
      <c r="E161" s="1192" t="str">
        <f t="shared" si="35"/>
        <v/>
      </c>
      <c r="F161" s="1193"/>
      <c r="G161" s="153" t="str">
        <f t="shared" si="30"/>
        <v/>
      </c>
      <c r="H161" s="153" t="str">
        <f t="shared" si="31"/>
        <v/>
      </c>
      <c r="I161" s="462"/>
      <c r="J161" s="633" t="str">
        <f t="shared" si="32"/>
        <v/>
      </c>
      <c r="K161" s="634" t="str">
        <f>IF(I161="","",IF(H161="","",IF(H161=0,G161*I161,"")))</f>
        <v/>
      </c>
      <c r="L161" s="634" t="str">
        <f t="shared" si="36"/>
        <v/>
      </c>
      <c r="M161" s="634" t="str">
        <f t="shared" si="37"/>
        <v/>
      </c>
      <c r="N161" s="634" t="str">
        <f t="shared" si="38"/>
        <v/>
      </c>
      <c r="O161" s="634" t="str">
        <f t="shared" si="39"/>
        <v/>
      </c>
      <c r="P161" s="634" t="str">
        <f t="shared" si="40"/>
        <v/>
      </c>
      <c r="Q161" s="634" t="str">
        <f t="shared" si="41"/>
        <v/>
      </c>
      <c r="R161" s="779"/>
      <c r="S161" s="461"/>
      <c r="T161" s="298"/>
    </row>
    <row r="162" spans="1:30" ht="13.4" customHeight="1" x14ac:dyDescent="0.25">
      <c r="B162" s="459"/>
      <c r="C162" s="57"/>
      <c r="D162" s="117">
        <f t="shared" si="34"/>
        <v>7</v>
      </c>
      <c r="E162" s="1192" t="str">
        <f t="shared" si="35"/>
        <v/>
      </c>
      <c r="F162" s="1193"/>
      <c r="G162" s="153" t="str">
        <f t="shared" si="30"/>
        <v/>
      </c>
      <c r="H162" s="153" t="str">
        <f t="shared" si="31"/>
        <v/>
      </c>
      <c r="I162" s="462"/>
      <c r="J162" s="633" t="str">
        <f t="shared" si="32"/>
        <v/>
      </c>
      <c r="K162" s="634" t="str">
        <f t="shared" ref="K162:K173" si="42">IF(I162="","",IF(H162="","",IF(H162=0,G162*I162,"")))</f>
        <v/>
      </c>
      <c r="L162" s="634" t="str">
        <f t="shared" si="36"/>
        <v/>
      </c>
      <c r="M162" s="634" t="str">
        <f t="shared" si="37"/>
        <v/>
      </c>
      <c r="N162" s="634" t="str">
        <f t="shared" si="38"/>
        <v/>
      </c>
      <c r="O162" s="634" t="str">
        <f t="shared" si="39"/>
        <v/>
      </c>
      <c r="P162" s="634" t="str">
        <f t="shared" si="40"/>
        <v/>
      </c>
      <c r="Q162" s="634" t="str">
        <f t="shared" si="41"/>
        <v/>
      </c>
      <c r="R162" s="779"/>
      <c r="S162" s="461"/>
      <c r="T162" s="298"/>
    </row>
    <row r="163" spans="1:30" ht="13.4" customHeight="1" x14ac:dyDescent="0.25">
      <c r="B163" s="459"/>
      <c r="C163" s="57"/>
      <c r="D163" s="117">
        <f t="shared" si="34"/>
        <v>8</v>
      </c>
      <c r="E163" s="1192" t="str">
        <f t="shared" si="35"/>
        <v/>
      </c>
      <c r="F163" s="1193"/>
      <c r="G163" s="153" t="str">
        <f t="shared" si="30"/>
        <v/>
      </c>
      <c r="H163" s="153" t="str">
        <f t="shared" si="31"/>
        <v/>
      </c>
      <c r="I163" s="462"/>
      <c r="J163" s="633" t="str">
        <f t="shared" si="32"/>
        <v/>
      </c>
      <c r="K163" s="634" t="str">
        <f t="shared" si="42"/>
        <v/>
      </c>
      <c r="L163" s="634" t="str">
        <f t="shared" si="36"/>
        <v/>
      </c>
      <c r="M163" s="634" t="str">
        <f t="shared" si="37"/>
        <v/>
      </c>
      <c r="N163" s="634" t="str">
        <f t="shared" si="38"/>
        <v/>
      </c>
      <c r="O163" s="634" t="str">
        <f t="shared" si="39"/>
        <v/>
      </c>
      <c r="P163" s="634" t="str">
        <f t="shared" si="40"/>
        <v/>
      </c>
      <c r="Q163" s="634" t="str">
        <f t="shared" si="41"/>
        <v/>
      </c>
      <c r="R163" s="779"/>
      <c r="S163" s="461"/>
      <c r="T163" s="298"/>
    </row>
    <row r="164" spans="1:30" ht="13.4" customHeight="1" x14ac:dyDescent="0.25">
      <c r="B164" s="459"/>
      <c r="C164" s="57"/>
      <c r="D164" s="117">
        <f t="shared" si="34"/>
        <v>9</v>
      </c>
      <c r="E164" s="1192" t="str">
        <f t="shared" si="35"/>
        <v/>
      </c>
      <c r="F164" s="1193"/>
      <c r="G164" s="153" t="str">
        <f t="shared" si="30"/>
        <v/>
      </c>
      <c r="H164" s="153" t="str">
        <f t="shared" si="31"/>
        <v/>
      </c>
      <c r="I164" s="462"/>
      <c r="J164" s="633" t="str">
        <f t="shared" si="32"/>
        <v/>
      </c>
      <c r="K164" s="634" t="str">
        <f t="shared" si="42"/>
        <v/>
      </c>
      <c r="L164" s="634" t="str">
        <f t="shared" si="36"/>
        <v/>
      </c>
      <c r="M164" s="634" t="str">
        <f t="shared" si="37"/>
        <v/>
      </c>
      <c r="N164" s="634" t="str">
        <f t="shared" si="38"/>
        <v/>
      </c>
      <c r="O164" s="634" t="str">
        <f t="shared" si="39"/>
        <v/>
      </c>
      <c r="P164" s="634" t="str">
        <f t="shared" si="40"/>
        <v/>
      </c>
      <c r="Q164" s="634" t="str">
        <f t="shared" si="41"/>
        <v/>
      </c>
      <c r="R164" s="779"/>
      <c r="S164" s="461"/>
      <c r="T164" s="298"/>
    </row>
    <row r="165" spans="1:30" ht="13.4" customHeight="1" x14ac:dyDescent="0.25">
      <c r="B165" s="459"/>
      <c r="C165" s="57"/>
      <c r="D165" s="117">
        <f t="shared" si="34"/>
        <v>10</v>
      </c>
      <c r="E165" s="1192" t="str">
        <f t="shared" si="35"/>
        <v/>
      </c>
      <c r="F165" s="1193"/>
      <c r="G165" s="153" t="str">
        <f t="shared" si="30"/>
        <v/>
      </c>
      <c r="H165" s="153" t="str">
        <f t="shared" si="31"/>
        <v/>
      </c>
      <c r="I165" s="462"/>
      <c r="J165" s="633" t="str">
        <f t="shared" si="32"/>
        <v/>
      </c>
      <c r="K165" s="634" t="str">
        <f t="shared" si="42"/>
        <v/>
      </c>
      <c r="L165" s="634" t="str">
        <f t="shared" si="36"/>
        <v/>
      </c>
      <c r="M165" s="634" t="str">
        <f t="shared" si="37"/>
        <v/>
      </c>
      <c r="N165" s="634" t="str">
        <f t="shared" si="38"/>
        <v/>
      </c>
      <c r="O165" s="634" t="str">
        <f t="shared" si="39"/>
        <v/>
      </c>
      <c r="P165" s="634" t="str">
        <f t="shared" si="40"/>
        <v/>
      </c>
      <c r="Q165" s="634" t="str">
        <f t="shared" si="41"/>
        <v/>
      </c>
      <c r="R165" s="779"/>
      <c r="S165" s="461"/>
      <c r="T165" s="298"/>
    </row>
    <row r="166" spans="1:30" ht="13.4" customHeight="1" x14ac:dyDescent="0.25">
      <c r="B166" s="459"/>
      <c r="C166" s="57"/>
      <c r="D166" s="117">
        <f t="shared" si="34"/>
        <v>11</v>
      </c>
      <c r="E166" s="1192" t="str">
        <f t="shared" si="35"/>
        <v/>
      </c>
      <c r="F166" s="1193"/>
      <c r="G166" s="153" t="str">
        <f t="shared" si="30"/>
        <v/>
      </c>
      <c r="H166" s="153" t="str">
        <f t="shared" si="31"/>
        <v/>
      </c>
      <c r="I166" s="462"/>
      <c r="J166" s="633" t="str">
        <f t="shared" si="32"/>
        <v/>
      </c>
      <c r="K166" s="634" t="str">
        <f t="shared" si="42"/>
        <v/>
      </c>
      <c r="L166" s="634" t="str">
        <f t="shared" si="36"/>
        <v/>
      </c>
      <c r="M166" s="634" t="str">
        <f t="shared" si="37"/>
        <v/>
      </c>
      <c r="N166" s="634" t="str">
        <f t="shared" si="38"/>
        <v/>
      </c>
      <c r="O166" s="634" t="str">
        <f t="shared" si="39"/>
        <v/>
      </c>
      <c r="P166" s="634" t="str">
        <f t="shared" si="40"/>
        <v/>
      </c>
      <c r="Q166" s="634" t="str">
        <f t="shared" si="41"/>
        <v/>
      </c>
      <c r="R166" s="779"/>
      <c r="S166" s="461"/>
      <c r="T166" s="298"/>
    </row>
    <row r="167" spans="1:30" ht="13.4" customHeight="1" x14ac:dyDescent="0.25">
      <c r="B167" s="459"/>
      <c r="C167" s="57"/>
      <c r="D167" s="117">
        <f t="shared" si="34"/>
        <v>12</v>
      </c>
      <c r="E167" s="1192" t="str">
        <f t="shared" si="35"/>
        <v/>
      </c>
      <c r="F167" s="1193"/>
      <c r="G167" s="153" t="str">
        <f t="shared" si="30"/>
        <v/>
      </c>
      <c r="H167" s="153" t="str">
        <f t="shared" si="31"/>
        <v/>
      </c>
      <c r="I167" s="462"/>
      <c r="J167" s="633" t="str">
        <f t="shared" si="32"/>
        <v/>
      </c>
      <c r="K167" s="634" t="str">
        <f t="shared" si="42"/>
        <v/>
      </c>
      <c r="L167" s="634" t="str">
        <f t="shared" si="36"/>
        <v/>
      </c>
      <c r="M167" s="634" t="str">
        <f t="shared" si="37"/>
        <v/>
      </c>
      <c r="N167" s="634" t="str">
        <f t="shared" si="38"/>
        <v/>
      </c>
      <c r="O167" s="634" t="str">
        <f t="shared" si="39"/>
        <v/>
      </c>
      <c r="P167" s="634" t="str">
        <f t="shared" si="40"/>
        <v/>
      </c>
      <c r="Q167" s="634" t="str">
        <f t="shared" si="41"/>
        <v/>
      </c>
      <c r="R167" s="779"/>
      <c r="S167" s="461"/>
      <c r="T167" s="298"/>
    </row>
    <row r="168" spans="1:30" ht="13.4" customHeight="1" x14ac:dyDescent="0.25">
      <c r="B168" s="459"/>
      <c r="C168" s="57"/>
      <c r="D168" s="117">
        <f t="shared" si="34"/>
        <v>13</v>
      </c>
      <c r="E168" s="1192" t="str">
        <f t="shared" si="35"/>
        <v/>
      </c>
      <c r="F168" s="1193"/>
      <c r="G168" s="153" t="str">
        <f t="shared" si="30"/>
        <v/>
      </c>
      <c r="H168" s="153" t="str">
        <f t="shared" si="31"/>
        <v/>
      </c>
      <c r="I168" s="462"/>
      <c r="J168" s="633" t="str">
        <f t="shared" si="32"/>
        <v/>
      </c>
      <c r="K168" s="634" t="str">
        <f t="shared" si="42"/>
        <v/>
      </c>
      <c r="L168" s="634" t="str">
        <f t="shared" si="36"/>
        <v/>
      </c>
      <c r="M168" s="634" t="str">
        <f t="shared" si="37"/>
        <v/>
      </c>
      <c r="N168" s="634" t="str">
        <f t="shared" si="38"/>
        <v/>
      </c>
      <c r="O168" s="634" t="str">
        <f t="shared" si="39"/>
        <v/>
      </c>
      <c r="P168" s="634" t="str">
        <f t="shared" si="40"/>
        <v/>
      </c>
      <c r="Q168" s="634" t="str">
        <f t="shared" si="41"/>
        <v/>
      </c>
      <c r="R168" s="779"/>
      <c r="S168" s="461"/>
      <c r="T168" s="298"/>
    </row>
    <row r="169" spans="1:30" ht="13.4" customHeight="1" x14ac:dyDescent="0.25">
      <c r="B169" s="459"/>
      <c r="C169" s="57"/>
      <c r="D169" s="117">
        <f t="shared" si="34"/>
        <v>14</v>
      </c>
      <c r="E169" s="1192" t="str">
        <f t="shared" si="35"/>
        <v/>
      </c>
      <c r="F169" s="1193"/>
      <c r="G169" s="153" t="str">
        <f t="shared" si="30"/>
        <v/>
      </c>
      <c r="H169" s="153" t="str">
        <f t="shared" si="31"/>
        <v/>
      </c>
      <c r="I169" s="462"/>
      <c r="J169" s="633" t="str">
        <f t="shared" si="32"/>
        <v/>
      </c>
      <c r="K169" s="634" t="str">
        <f t="shared" si="42"/>
        <v/>
      </c>
      <c r="L169" s="634" t="str">
        <f t="shared" si="36"/>
        <v/>
      </c>
      <c r="M169" s="634" t="str">
        <f t="shared" si="37"/>
        <v/>
      </c>
      <c r="N169" s="634" t="str">
        <f t="shared" si="38"/>
        <v/>
      </c>
      <c r="O169" s="634" t="str">
        <f t="shared" si="39"/>
        <v/>
      </c>
      <c r="P169" s="634" t="str">
        <f t="shared" si="40"/>
        <v/>
      </c>
      <c r="Q169" s="634" t="str">
        <f t="shared" si="41"/>
        <v/>
      </c>
      <c r="R169" s="779"/>
      <c r="S169" s="461"/>
      <c r="T169" s="298"/>
    </row>
    <row r="170" spans="1:30" ht="13.4" customHeight="1" x14ac:dyDescent="0.25">
      <c r="B170" s="459"/>
      <c r="C170" s="57"/>
      <c r="D170" s="117">
        <f t="shared" si="34"/>
        <v>15</v>
      </c>
      <c r="E170" s="1192" t="str">
        <f t="shared" si="35"/>
        <v/>
      </c>
      <c r="F170" s="1193"/>
      <c r="G170" s="153" t="str">
        <f t="shared" si="30"/>
        <v/>
      </c>
      <c r="H170" s="153" t="str">
        <f t="shared" si="31"/>
        <v/>
      </c>
      <c r="I170" s="462"/>
      <c r="J170" s="633" t="str">
        <f t="shared" si="32"/>
        <v/>
      </c>
      <c r="K170" s="634" t="str">
        <f t="shared" si="42"/>
        <v/>
      </c>
      <c r="L170" s="634" t="str">
        <f t="shared" si="36"/>
        <v/>
      </c>
      <c r="M170" s="634" t="str">
        <f t="shared" si="37"/>
        <v/>
      </c>
      <c r="N170" s="634" t="str">
        <f t="shared" si="38"/>
        <v/>
      </c>
      <c r="O170" s="634" t="str">
        <f t="shared" si="39"/>
        <v/>
      </c>
      <c r="P170" s="634" t="str">
        <f t="shared" si="40"/>
        <v/>
      </c>
      <c r="Q170" s="634" t="str">
        <f t="shared" si="41"/>
        <v/>
      </c>
      <c r="R170" s="779"/>
      <c r="S170" s="461"/>
      <c r="T170" s="298"/>
    </row>
    <row r="171" spans="1:30" ht="13.4" customHeight="1" x14ac:dyDescent="0.25">
      <c r="B171" s="459"/>
      <c r="C171" s="57"/>
      <c r="D171" s="117">
        <f t="shared" si="34"/>
        <v>16</v>
      </c>
      <c r="E171" s="1192" t="str">
        <f t="shared" si="35"/>
        <v/>
      </c>
      <c r="F171" s="1193"/>
      <c r="G171" s="153" t="str">
        <f t="shared" si="30"/>
        <v/>
      </c>
      <c r="H171" s="153" t="str">
        <f t="shared" si="31"/>
        <v/>
      </c>
      <c r="I171" s="462"/>
      <c r="J171" s="633" t="str">
        <f t="shared" si="32"/>
        <v/>
      </c>
      <c r="K171" s="634" t="str">
        <f t="shared" si="42"/>
        <v/>
      </c>
      <c r="L171" s="634" t="str">
        <f t="shared" si="36"/>
        <v/>
      </c>
      <c r="M171" s="634" t="str">
        <f t="shared" si="37"/>
        <v/>
      </c>
      <c r="N171" s="634" t="str">
        <f t="shared" si="38"/>
        <v/>
      </c>
      <c r="O171" s="634" t="str">
        <f t="shared" si="39"/>
        <v/>
      </c>
      <c r="P171" s="634" t="str">
        <f t="shared" si="40"/>
        <v/>
      </c>
      <c r="Q171" s="634" t="str">
        <f t="shared" si="41"/>
        <v/>
      </c>
      <c r="R171" s="779"/>
      <c r="S171" s="461"/>
      <c r="T171" s="298"/>
    </row>
    <row r="172" spans="1:30" ht="13.4" customHeight="1" x14ac:dyDescent="0.25">
      <c r="B172" s="459"/>
      <c r="C172" s="57"/>
      <c r="D172" s="117">
        <f t="shared" si="34"/>
        <v>17</v>
      </c>
      <c r="E172" s="1192" t="str">
        <f t="shared" si="35"/>
        <v/>
      </c>
      <c r="F172" s="1193"/>
      <c r="G172" s="153" t="str">
        <f t="shared" si="30"/>
        <v/>
      </c>
      <c r="H172" s="153" t="str">
        <f t="shared" si="31"/>
        <v/>
      </c>
      <c r="I172" s="462"/>
      <c r="J172" s="633" t="str">
        <f t="shared" si="32"/>
        <v/>
      </c>
      <c r="K172" s="634" t="str">
        <f t="shared" si="42"/>
        <v/>
      </c>
      <c r="L172" s="634" t="str">
        <f t="shared" si="36"/>
        <v/>
      </c>
      <c r="M172" s="634" t="str">
        <f t="shared" si="37"/>
        <v/>
      </c>
      <c r="N172" s="634" t="str">
        <f t="shared" si="38"/>
        <v/>
      </c>
      <c r="O172" s="634" t="str">
        <f t="shared" si="39"/>
        <v/>
      </c>
      <c r="P172" s="634" t="str">
        <f t="shared" si="40"/>
        <v/>
      </c>
      <c r="Q172" s="634" t="str">
        <f t="shared" si="41"/>
        <v/>
      </c>
      <c r="R172" s="779"/>
      <c r="S172" s="461"/>
      <c r="T172" s="298"/>
    </row>
    <row r="173" spans="1:30" ht="13.4" customHeight="1" x14ac:dyDescent="0.25">
      <c r="B173" s="459"/>
      <c r="C173" s="57"/>
      <c r="D173" s="117">
        <f t="shared" si="34"/>
        <v>18</v>
      </c>
      <c r="E173" s="1192" t="str">
        <f t="shared" si="35"/>
        <v/>
      </c>
      <c r="F173" s="1193"/>
      <c r="G173" s="153" t="str">
        <f t="shared" si="30"/>
        <v/>
      </c>
      <c r="H173" s="153" t="str">
        <f t="shared" si="31"/>
        <v/>
      </c>
      <c r="I173" s="462"/>
      <c r="J173" s="633" t="str">
        <f t="shared" si="32"/>
        <v/>
      </c>
      <c r="K173" s="634" t="str">
        <f t="shared" si="42"/>
        <v/>
      </c>
      <c r="L173" s="634" t="str">
        <f t="shared" si="36"/>
        <v/>
      </c>
      <c r="M173" s="634" t="str">
        <f t="shared" si="37"/>
        <v/>
      </c>
      <c r="N173" s="634" t="str">
        <f t="shared" si="38"/>
        <v/>
      </c>
      <c r="O173" s="634" t="str">
        <f t="shared" si="39"/>
        <v/>
      </c>
      <c r="P173" s="634" t="str">
        <f t="shared" si="40"/>
        <v/>
      </c>
      <c r="Q173" s="634" t="str">
        <f t="shared" si="41"/>
        <v/>
      </c>
      <c r="R173" s="779"/>
      <c r="S173" s="461"/>
      <c r="T173" s="298"/>
    </row>
    <row r="174" spans="1:30" ht="13" hidden="1" x14ac:dyDescent="0.25">
      <c r="A174" s="118" t="s">
        <v>30</v>
      </c>
      <c r="B174" s="459"/>
      <c r="C174" s="57"/>
      <c r="D174" s="117" t="s">
        <v>73</v>
      </c>
      <c r="E174" s="1195" t="s">
        <v>73</v>
      </c>
      <c r="F174" s="1195"/>
      <c r="G174" s="376" t="s">
        <v>73</v>
      </c>
      <c r="H174" s="376" t="s">
        <v>73</v>
      </c>
      <c r="I174" s="376" t="s">
        <v>73</v>
      </c>
      <c r="J174" s="376" t="s">
        <v>73</v>
      </c>
      <c r="K174" s="376" t="s">
        <v>73</v>
      </c>
      <c r="L174" s="376" t="s">
        <v>73</v>
      </c>
      <c r="M174" s="376" t="s">
        <v>73</v>
      </c>
      <c r="N174" s="376" t="s">
        <v>73</v>
      </c>
      <c r="O174" s="376" t="s">
        <v>73</v>
      </c>
      <c r="P174" s="376" t="s">
        <v>73</v>
      </c>
      <c r="Q174" s="376" t="s">
        <v>73</v>
      </c>
      <c r="R174" s="780"/>
      <c r="S174" s="461"/>
      <c r="T174" s="298"/>
    </row>
    <row r="175" spans="1:30" ht="13.4" customHeight="1" x14ac:dyDescent="0.25">
      <c r="B175" s="459"/>
      <c r="C175" s="57"/>
      <c r="D175" s="57"/>
      <c r="E175" s="57"/>
      <c r="F175" s="57"/>
      <c r="G175" s="57"/>
      <c r="H175" s="57"/>
      <c r="I175" s="57"/>
      <c r="J175" s="57"/>
      <c r="K175" s="57"/>
      <c r="L175" s="57"/>
      <c r="M175" s="57"/>
      <c r="N175" s="57"/>
      <c r="O175" s="57"/>
      <c r="P175" s="57"/>
      <c r="Q175" s="57"/>
      <c r="R175" s="57"/>
      <c r="S175" s="461"/>
      <c r="T175" s="298"/>
    </row>
    <row r="176" spans="1:30" s="51" customFormat="1" ht="5.15" customHeight="1" thickBot="1" x14ac:dyDescent="0.3">
      <c r="A176" s="123"/>
      <c r="B176" s="459"/>
      <c r="D176" s="125"/>
      <c r="E176" s="125"/>
      <c r="F176" s="125"/>
      <c r="G176" s="125"/>
      <c r="H176" s="125"/>
      <c r="I176" s="125"/>
      <c r="J176" s="125"/>
      <c r="K176" s="125"/>
      <c r="L176" s="125"/>
      <c r="M176" s="125"/>
      <c r="S176" s="461"/>
      <c r="U176" s="124"/>
      <c r="V176" s="123"/>
      <c r="W176" s="123"/>
      <c r="X176" s="123"/>
      <c r="Y176" s="123"/>
      <c r="Z176" s="123"/>
      <c r="AA176" s="123"/>
      <c r="AB176" s="123"/>
      <c r="AC176" s="123"/>
      <c r="AD176" s="123"/>
    </row>
    <row r="177" spans="1:30" s="112" customFormat="1" ht="12.75" customHeight="1" thickBot="1" x14ac:dyDescent="0.3">
      <c r="A177" s="129"/>
      <c r="B177" s="460"/>
      <c r="D177" s="1259" t="str">
        <f>Translations!$B$1272</f>
        <v>Total CO2 emissions (CH ETS) in the reporting year:</v>
      </c>
      <c r="E177" s="1260"/>
      <c r="F177" s="1260"/>
      <c r="G177" s="1260"/>
      <c r="H177" s="1260"/>
      <c r="I177" s="1261"/>
      <c r="J177" s="130">
        <f>ROUND(SUM(J156:J173),0)</f>
        <v>0</v>
      </c>
      <c r="K177" s="809"/>
      <c r="S177" s="460"/>
      <c r="U177" s="129"/>
      <c r="V177" s="129"/>
      <c r="W177" s="129"/>
      <c r="X177" s="129"/>
      <c r="Y177" s="129"/>
      <c r="Z177" s="129"/>
      <c r="AA177" s="129"/>
      <c r="AB177" s="129"/>
      <c r="AC177" s="129"/>
      <c r="AD177" s="129"/>
    </row>
    <row r="178" spans="1:30" s="51" customFormat="1" ht="63.75" customHeight="1" x14ac:dyDescent="0.25">
      <c r="A178" s="123"/>
      <c r="B178" s="459"/>
      <c r="D178" s="1256"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78" s="1257"/>
      <c r="F178" s="1257"/>
      <c r="G178" s="1257"/>
      <c r="H178" s="1257"/>
      <c r="I178" s="1257"/>
      <c r="J178" s="1257"/>
      <c r="K178" s="1258"/>
      <c r="L178" s="540"/>
      <c r="M178" s="540"/>
      <c r="S178" s="461"/>
      <c r="U178" s="124"/>
      <c r="V178" s="123"/>
      <c r="W178" s="123"/>
      <c r="X178" s="123"/>
      <c r="Y178" s="123"/>
      <c r="Z178" s="123"/>
      <c r="AA178" s="123"/>
      <c r="AB178" s="123"/>
      <c r="AC178" s="123"/>
      <c r="AD178" s="123"/>
    </row>
    <row r="179" spans="1:30" s="51" customFormat="1" ht="5.15" customHeight="1" x14ac:dyDescent="0.25">
      <c r="A179" s="123"/>
      <c r="B179" s="459"/>
      <c r="D179" s="125"/>
      <c r="E179" s="125"/>
      <c r="F179" s="125"/>
      <c r="G179" s="125"/>
      <c r="H179" s="125"/>
      <c r="I179" s="125"/>
      <c r="J179" s="125"/>
      <c r="K179" s="125"/>
      <c r="L179" s="125"/>
      <c r="M179" s="125"/>
      <c r="S179" s="461"/>
      <c r="U179" s="124"/>
      <c r="V179" s="123"/>
      <c r="W179" s="123"/>
      <c r="X179" s="123"/>
      <c r="Y179" s="123"/>
      <c r="Z179" s="123"/>
      <c r="AA179" s="123"/>
      <c r="AB179" s="123"/>
      <c r="AC179" s="123"/>
      <c r="AD179" s="123"/>
    </row>
    <row r="180" spans="1:30" s="112" customFormat="1" ht="12.75" customHeight="1" x14ac:dyDescent="0.25">
      <c r="A180" s="129"/>
      <c r="B180" s="460"/>
      <c r="D180" s="1238" t="str">
        <f>Translations!$B$1525</f>
        <v>Memo Item: total zero-rated emissions</v>
      </c>
      <c r="E180" s="1239"/>
      <c r="F180" s="1239"/>
      <c r="G180" s="1239"/>
      <c r="H180" s="1239"/>
      <c r="I180" s="1239"/>
      <c r="J180" s="1240"/>
      <c r="K180" s="131">
        <f>ROUND(SUM(K156:K173),0)</f>
        <v>0</v>
      </c>
      <c r="L180" s="695"/>
      <c r="M180" s="695"/>
      <c r="N180" s="695"/>
      <c r="O180" s="695"/>
      <c r="P180" s="695"/>
      <c r="Q180" s="152"/>
      <c r="S180" s="460"/>
      <c r="T180" s="464"/>
      <c r="U180" s="129" t="s">
        <v>175</v>
      </c>
      <c r="V180" s="129"/>
      <c r="W180" s="129"/>
      <c r="X180" s="129"/>
      <c r="Y180" s="129"/>
      <c r="Z180" s="129"/>
      <c r="AA180" s="129"/>
      <c r="AB180" s="129"/>
      <c r="AC180" s="129"/>
      <c r="AD180" s="129"/>
    </row>
    <row r="181" spans="1:30" s="112" customFormat="1" ht="12.75" customHeight="1" x14ac:dyDescent="0.25">
      <c r="A181" s="129"/>
      <c r="B181" s="460"/>
      <c r="D181" s="1188" t="str">
        <f>Translations!$B$1526</f>
        <v>Memo Item: Total emissions using the preliminary emissions factor</v>
      </c>
      <c r="E181" s="1189"/>
      <c r="F181" s="1189"/>
      <c r="G181" s="1189"/>
      <c r="H181" s="1189"/>
      <c r="I181" s="111"/>
      <c r="J181" s="110"/>
      <c r="K181" s="131">
        <f>ROUND(SUM(J156:K173),0)</f>
        <v>0</v>
      </c>
      <c r="L181" s="695"/>
      <c r="M181" s="695"/>
      <c r="N181" s="695"/>
      <c r="O181" s="695"/>
      <c r="P181" s="695"/>
      <c r="Q181" s="152"/>
      <c r="S181" s="460"/>
      <c r="T181" s="464"/>
      <c r="U181" s="129" t="s">
        <v>176</v>
      </c>
      <c r="V181" s="129"/>
      <c r="W181" s="129"/>
      <c r="X181" s="129"/>
      <c r="Y181" s="129"/>
      <c r="Z181" s="129"/>
      <c r="AA181" s="129"/>
      <c r="AB181" s="129"/>
      <c r="AC181" s="129"/>
      <c r="AD181" s="129"/>
    </row>
    <row r="182" spans="1:30" s="112" customFormat="1" ht="12.75" customHeight="1" x14ac:dyDescent="0.25">
      <c r="A182" s="129"/>
      <c r="B182" s="460"/>
      <c r="D182" s="689" t="str">
        <f>Translations!$B$1527</f>
        <v>Memo-item: Total emissions from zero-rated biofuels</v>
      </c>
      <c r="E182" s="690"/>
      <c r="F182" s="691"/>
      <c r="G182" s="691"/>
      <c r="H182" s="691"/>
      <c r="I182" s="691"/>
      <c r="J182" s="691"/>
      <c r="K182" s="691"/>
      <c r="L182" s="131" t="str">
        <f>IF(SUM(L$156:L$173)=0,"",SUM(L$156:L$173))</f>
        <v/>
      </c>
      <c r="M182" s="695"/>
      <c r="N182" s="695"/>
      <c r="O182" s="695"/>
      <c r="P182" s="695"/>
      <c r="Q182" s="152"/>
      <c r="S182" s="460"/>
      <c r="T182" s="464"/>
      <c r="U182" s="129" t="s">
        <v>177</v>
      </c>
      <c r="V182" s="129"/>
      <c r="W182" s="129"/>
      <c r="X182" s="129"/>
      <c r="Y182" s="129"/>
      <c r="Z182" s="129"/>
      <c r="AA182" s="129"/>
      <c r="AB182" s="129"/>
      <c r="AC182" s="129"/>
      <c r="AD182" s="129"/>
    </row>
    <row r="183" spans="1:30" s="112" customFormat="1" ht="12.75" customHeight="1" x14ac:dyDescent="0.25">
      <c r="A183" s="129"/>
      <c r="B183" s="460"/>
      <c r="D183" s="692" t="str">
        <f>Translations!$B$1528</f>
        <v>Memo-item: Total emissions from zero-rated RFNBO / RCF</v>
      </c>
      <c r="E183" s="693"/>
      <c r="F183" s="694"/>
      <c r="G183" s="694"/>
      <c r="H183" s="694"/>
      <c r="I183" s="694"/>
      <c r="J183" s="694"/>
      <c r="K183" s="694"/>
      <c r="L183" s="694"/>
      <c r="M183" s="131" t="str">
        <f t="shared" ref="M183:Q187" si="43">IF(SUM(M$156:M$173)=0,"",SUM(M$156:M$173))</f>
        <v/>
      </c>
      <c r="N183" s="694"/>
      <c r="O183" s="694"/>
      <c r="P183" s="694"/>
      <c r="Q183" s="146"/>
      <c r="R183" s="65"/>
      <c r="S183" s="460"/>
      <c r="T183" s="464"/>
      <c r="U183" s="129" t="s">
        <v>178</v>
      </c>
      <c r="V183" s="129"/>
      <c r="W183" s="129"/>
      <c r="X183" s="129"/>
      <c r="Y183" s="129"/>
      <c r="Z183" s="129"/>
      <c r="AA183" s="129"/>
      <c r="AB183" s="129"/>
      <c r="AC183" s="129"/>
      <c r="AD183" s="129"/>
    </row>
    <row r="184" spans="1:30" s="112" customFormat="1" ht="12.75" customHeight="1" x14ac:dyDescent="0.25">
      <c r="A184" s="129"/>
      <c r="B184" s="460"/>
      <c r="D184" s="692" t="str">
        <f>Translations!$B$1529</f>
        <v>Memo-item: Total emissions from zero-rated SLCF</v>
      </c>
      <c r="E184" s="693"/>
      <c r="F184" s="694"/>
      <c r="G184" s="694"/>
      <c r="H184" s="694"/>
      <c r="I184" s="694"/>
      <c r="J184" s="694"/>
      <c r="K184" s="694"/>
      <c r="L184" s="694"/>
      <c r="M184" s="694"/>
      <c r="N184" s="131" t="str">
        <f t="shared" si="43"/>
        <v/>
      </c>
      <c r="O184" s="694"/>
      <c r="P184" s="694"/>
      <c r="Q184" s="146"/>
      <c r="R184" s="65"/>
      <c r="S184" s="460"/>
      <c r="T184" s="464"/>
      <c r="U184" s="129" t="s">
        <v>179</v>
      </c>
      <c r="V184" s="129"/>
      <c r="W184" s="129"/>
      <c r="X184" s="129"/>
      <c r="Y184" s="129"/>
      <c r="Z184" s="129"/>
      <c r="AA184" s="129"/>
      <c r="AB184" s="129"/>
      <c r="AC184" s="129"/>
      <c r="AD184" s="129"/>
    </row>
    <row r="185" spans="1:30" s="112" customFormat="1" ht="12.75" customHeight="1" x14ac:dyDescent="0.25">
      <c r="A185" s="129"/>
      <c r="B185" s="460"/>
      <c r="D185" s="692" t="str">
        <f>Translations!$B$1530</f>
        <v>Memo-item: Total emissions from non-zero-rated biofuels</v>
      </c>
      <c r="E185" s="693"/>
      <c r="F185" s="694"/>
      <c r="G185" s="694"/>
      <c r="H185" s="694"/>
      <c r="I185" s="694"/>
      <c r="J185" s="694"/>
      <c r="K185" s="694"/>
      <c r="L185" s="694"/>
      <c r="M185" s="694"/>
      <c r="N185" s="694"/>
      <c r="O185" s="131" t="str">
        <f t="shared" si="43"/>
        <v/>
      </c>
      <c r="P185" s="694"/>
      <c r="Q185" s="146"/>
      <c r="R185" s="65"/>
      <c r="S185" s="460"/>
      <c r="T185" s="464"/>
      <c r="U185" s="129" t="s">
        <v>180</v>
      </c>
      <c r="V185" s="129"/>
      <c r="W185" s="129"/>
      <c r="X185" s="129"/>
      <c r="Y185" s="129"/>
      <c r="Z185" s="129"/>
      <c r="AA185" s="129"/>
      <c r="AB185" s="129"/>
      <c r="AC185" s="129"/>
      <c r="AD185" s="129"/>
    </row>
    <row r="186" spans="1:30" s="112" customFormat="1" ht="12.75" customHeight="1" x14ac:dyDescent="0.25">
      <c r="A186" s="129"/>
      <c r="B186" s="460"/>
      <c r="D186" s="692" t="str">
        <f>Translations!$B$1531</f>
        <v>Memo-item: Total emissions from non-zero-rated RFNBO / RCF</v>
      </c>
      <c r="E186" s="693"/>
      <c r="F186" s="694"/>
      <c r="G186" s="694"/>
      <c r="H186" s="694"/>
      <c r="I186" s="694"/>
      <c r="J186" s="694"/>
      <c r="K186" s="694"/>
      <c r="L186" s="694"/>
      <c r="M186" s="694"/>
      <c r="N186" s="694"/>
      <c r="O186" s="694"/>
      <c r="P186" s="131" t="str">
        <f t="shared" si="43"/>
        <v/>
      </c>
      <c r="Q186" s="146"/>
      <c r="R186" s="65"/>
      <c r="S186" s="460"/>
      <c r="T186" s="464"/>
      <c r="U186" s="129" t="s">
        <v>181</v>
      </c>
      <c r="V186" s="129"/>
      <c r="W186" s="129"/>
      <c r="X186" s="129"/>
      <c r="Y186" s="129"/>
      <c r="Z186" s="129"/>
      <c r="AA186" s="129"/>
      <c r="AB186" s="129"/>
      <c r="AC186" s="129"/>
      <c r="AD186" s="129"/>
    </row>
    <row r="187" spans="1:30" s="112" customFormat="1" ht="12.75" customHeight="1" x14ac:dyDescent="0.25">
      <c r="A187" s="129"/>
      <c r="B187" s="460"/>
      <c r="D187" s="692" t="str">
        <f>Translations!$B$1532</f>
        <v>Memo-item: Total emissions from non-zero-rated SLCF</v>
      </c>
      <c r="E187" s="693"/>
      <c r="F187" s="694"/>
      <c r="G187" s="694"/>
      <c r="H187" s="694"/>
      <c r="I187" s="694"/>
      <c r="J187" s="694"/>
      <c r="K187" s="694"/>
      <c r="L187" s="694"/>
      <c r="M187" s="694"/>
      <c r="N187" s="694"/>
      <c r="O187" s="694"/>
      <c r="P187" s="694"/>
      <c r="Q187" s="131" t="str">
        <f t="shared" si="43"/>
        <v/>
      </c>
      <c r="R187" s="781"/>
      <c r="S187" s="460"/>
      <c r="T187" s="464"/>
      <c r="U187" s="129" t="s">
        <v>182</v>
      </c>
      <c r="V187" s="129"/>
      <c r="W187" s="129"/>
      <c r="X187" s="129"/>
      <c r="Y187" s="129"/>
      <c r="Z187" s="129"/>
      <c r="AA187" s="129"/>
      <c r="AB187" s="129"/>
      <c r="AC187" s="129"/>
      <c r="AD187" s="129"/>
    </row>
    <row r="188" spans="1:30" s="112" customFormat="1" ht="5.15" customHeight="1" x14ac:dyDescent="0.25">
      <c r="A188" s="129"/>
      <c r="B188" s="460"/>
      <c r="D188" s="696"/>
      <c r="E188" s="1"/>
      <c r="F188" s="1"/>
      <c r="G188" s="1"/>
      <c r="H188" s="1"/>
      <c r="I188" s="56"/>
      <c r="J188" s="56"/>
      <c r="K188" s="56"/>
      <c r="L188" s="56"/>
      <c r="M188" s="56"/>
      <c r="N188" s="56"/>
      <c r="O188" s="56"/>
      <c r="S188" s="460"/>
      <c r="U188" s="129"/>
      <c r="V188" s="129"/>
      <c r="W188" s="129"/>
      <c r="X188" s="129"/>
      <c r="Y188" s="129"/>
      <c r="Z188" s="129"/>
      <c r="AA188" s="129"/>
      <c r="AB188" s="129"/>
      <c r="AC188" s="129"/>
      <c r="AD188" s="129"/>
    </row>
    <row r="189" spans="1:30" x14ac:dyDescent="0.25">
      <c r="B189" s="457"/>
      <c r="C189" s="457"/>
      <c r="D189" s="457"/>
      <c r="E189" s="457"/>
      <c r="F189" s="457"/>
      <c r="G189" s="457"/>
      <c r="H189" s="457"/>
      <c r="I189" s="457"/>
      <c r="J189" s="457"/>
      <c r="K189" s="457"/>
      <c r="L189" s="457"/>
      <c r="M189" s="457"/>
      <c r="N189" s="457"/>
      <c r="O189" s="457"/>
      <c r="P189" s="457"/>
      <c r="Q189" s="457"/>
      <c r="R189" s="457"/>
      <c r="S189" s="457"/>
    </row>
    <row r="191" spans="1:30" ht="15" customHeight="1" x14ac:dyDescent="0.25">
      <c r="C191" s="1015">
        <v>6</v>
      </c>
      <c r="D191" s="1262" t="str">
        <f>Translations!$B$845</f>
        <v>Use of simplified procedures</v>
      </c>
      <c r="E191" s="1263"/>
      <c r="F191" s="1263"/>
      <c r="G191" s="1263"/>
      <c r="H191" s="1263"/>
      <c r="I191" s="1263"/>
      <c r="J191" s="1263"/>
      <c r="K191" s="1263"/>
      <c r="L191" s="1263"/>
      <c r="M191" s="1263"/>
      <c r="N191" s="1263"/>
      <c r="O191" s="1263"/>
      <c r="P191" s="1263"/>
      <c r="Q191" s="1263"/>
      <c r="R191" s="1263"/>
      <c r="S191" s="1016"/>
    </row>
    <row r="192" spans="1:30" ht="25.5" customHeight="1" x14ac:dyDescent="0.25">
      <c r="C192" s="64"/>
      <c r="D192" s="1154" t="str">
        <f>Translations!$B$1534</f>
        <v>For limiting administrative burden, sections (a) to (f) apply to both systems, EU ETS and CH ETS.</v>
      </c>
      <c r="E192" s="1154"/>
      <c r="F192" s="1154"/>
      <c r="G192" s="1154"/>
      <c r="H192" s="1154"/>
      <c r="I192" s="1154"/>
      <c r="J192" s="1154"/>
      <c r="K192" s="1154"/>
      <c r="L192" s="1155"/>
      <c r="M192" s="1155"/>
      <c r="N192" s="1155"/>
      <c r="O192" s="1155"/>
      <c r="P192" s="1155"/>
      <c r="Q192" s="1155"/>
      <c r="R192" s="773"/>
    </row>
    <row r="193" spans="2:30" ht="12.75" customHeight="1" x14ac:dyDescent="0.25">
      <c r="B193" s="458"/>
      <c r="C193" s="53" t="s">
        <v>25</v>
      </c>
      <c r="D193" s="1156" t="str">
        <f>Translations!$B$1353</f>
        <v>Have you been using the simplified approach allowed for small emitters pursuant to Article 55(2) of the MRR?</v>
      </c>
      <c r="E193" s="1156"/>
      <c r="F193" s="1156"/>
      <c r="G193" s="1156"/>
      <c r="H193" s="1156"/>
      <c r="I193" s="1156"/>
      <c r="J193" s="1156"/>
      <c r="K193" s="1156"/>
      <c r="L193" s="1034"/>
      <c r="M193" s="1034"/>
      <c r="N193" s="1034"/>
      <c r="O193" s="1034"/>
      <c r="P193" s="1034"/>
      <c r="Q193" s="1034"/>
      <c r="R193" s="299"/>
      <c r="S193" s="458"/>
      <c r="U193" s="118" t="s">
        <v>41</v>
      </c>
      <c r="W193" s="582"/>
      <c r="X193" s="582"/>
      <c r="Y193" s="582"/>
      <c r="Z193" s="582"/>
      <c r="AA193" s="582"/>
      <c r="AB193" s="582"/>
      <c r="AC193" s="582"/>
      <c r="AD193" s="582"/>
    </row>
    <row r="194" spans="2:30" ht="13.4" customHeight="1" x14ac:dyDescent="0.25">
      <c r="B194" s="458"/>
      <c r="C194" s="57"/>
      <c r="D194" s="1153" t="str">
        <f>Translations!$B$945</f>
        <v>Small emitters are aircraft operators which operate fewer than 243 flights per period for three consecutive four-month periods and aircraft operators with total annual emissions lower than 25,000 t CO2 per year, related to the EU ETS full scope.</v>
      </c>
      <c r="E194" s="1153"/>
      <c r="F194" s="1153"/>
      <c r="G194" s="1153"/>
      <c r="H194" s="1153"/>
      <c r="I194" s="1153"/>
      <c r="J194" s="1153"/>
      <c r="K194" s="1153"/>
      <c r="L194" s="1034"/>
      <c r="M194" s="1034"/>
      <c r="N194" s="1034"/>
      <c r="O194" s="1034"/>
      <c r="P194" s="1034"/>
      <c r="Q194" s="1034"/>
      <c r="R194" s="299"/>
      <c r="S194" s="458"/>
      <c r="W194" s="582"/>
    </row>
    <row r="195" spans="2:30" ht="13.4" customHeight="1" x14ac:dyDescent="0.25">
      <c r="B195" s="458"/>
      <c r="C195" s="57"/>
      <c r="D195" s="1153" t="str">
        <f>Translations!$B$1535</f>
        <v>Note that for the purposes of the EU ETS, the threshold applies to the sum of all flights within EEA, outgoing from EEA and incoming to EEA, excluding those incoming from Switzerland and the UK.</v>
      </c>
      <c r="E195" s="1034"/>
      <c r="F195" s="1034"/>
      <c r="G195" s="1034"/>
      <c r="H195" s="1034"/>
      <c r="I195" s="1034"/>
      <c r="J195" s="1034"/>
      <c r="K195" s="1034"/>
      <c r="L195" s="1034"/>
      <c r="M195" s="1034"/>
      <c r="N195" s="1034"/>
      <c r="O195" s="1034"/>
      <c r="P195" s="1034"/>
      <c r="Q195" s="1034"/>
      <c r="R195" s="299"/>
      <c r="S195" s="458"/>
    </row>
    <row r="196" spans="2:30" ht="13.4" customHeight="1" x14ac:dyDescent="0.25">
      <c r="B196" s="458"/>
      <c r="C196" s="57"/>
      <c r="D196" s="1153" t="str">
        <f>Translations!$B$1536</f>
        <v>The small emitter tool may furthermore be used by aircraft operators with total annual emissions lower than 3,000 t CO2 per year, related to the reduced scope.</v>
      </c>
      <c r="E196" s="1034"/>
      <c r="F196" s="1034"/>
      <c r="G196" s="1034"/>
      <c r="H196" s="1034"/>
      <c r="I196" s="1034"/>
      <c r="J196" s="1034"/>
      <c r="K196" s="1034"/>
      <c r="L196" s="1034"/>
      <c r="M196" s="1034"/>
      <c r="N196" s="1034"/>
      <c r="O196" s="1034"/>
      <c r="P196" s="1034"/>
      <c r="Q196" s="1034"/>
      <c r="R196" s="299"/>
      <c r="S196" s="458"/>
      <c r="T196" s="298"/>
      <c r="U196" s="118" t="s">
        <v>1892</v>
      </c>
    </row>
    <row r="197" spans="2:30" ht="13" x14ac:dyDescent="0.25">
      <c r="B197" s="458"/>
      <c r="C197" s="58"/>
      <c r="H197" s="108"/>
      <c r="I197" s="1118"/>
      <c r="J197" s="1119"/>
      <c r="K197" s="1120"/>
      <c r="L197" s="299"/>
      <c r="M197" s="299"/>
      <c r="S197" s="458"/>
      <c r="U197" s="116" t="str">
        <f>IF(ISBLANK(I197),"",I197=FALSE)</f>
        <v/>
      </c>
    </row>
    <row r="198" spans="2:30" ht="5.15" customHeight="1" x14ac:dyDescent="0.25">
      <c r="B198" s="458"/>
      <c r="L198" s="299"/>
      <c r="M198" s="299"/>
      <c r="S198" s="458"/>
    </row>
    <row r="199" spans="2:30" ht="13.4" customHeight="1" x14ac:dyDescent="0.25">
      <c r="B199" s="458"/>
      <c r="C199" s="57" t="s">
        <v>26</v>
      </c>
      <c r="D199" s="1156" t="str">
        <f>Translations!$B$946</f>
        <v>Please report the total number of full scope flights covered by the EU ETS in each four-month period during the reporting year for which you are the aircraft operator:</v>
      </c>
      <c r="E199" s="1156"/>
      <c r="F199" s="1156"/>
      <c r="G199" s="1156"/>
      <c r="H199" s="1156"/>
      <c r="I199" s="1156"/>
      <c r="J199" s="1156"/>
      <c r="K199" s="1156"/>
      <c r="L199" s="1034"/>
      <c r="M199" s="1034"/>
      <c r="N199" s="1034"/>
      <c r="O199" s="1034"/>
      <c r="P199" s="1034"/>
      <c r="Q199" s="1034"/>
      <c r="R199" s="299"/>
      <c r="S199" s="458"/>
    </row>
    <row r="200" spans="2:30" ht="15.75" customHeight="1" x14ac:dyDescent="0.25">
      <c r="B200" s="458"/>
      <c r="C200" s="57"/>
      <c r="D200" s="1153" t="str">
        <f>Translations!$B$947</f>
        <v>The local time of departure of the flight determines in which four-month period that flight shall be taken into account.</v>
      </c>
      <c r="E200" s="1153"/>
      <c r="F200" s="1153"/>
      <c r="G200" s="1153"/>
      <c r="H200" s="1153"/>
      <c r="I200" s="1153"/>
      <c r="J200" s="1153"/>
      <c r="K200" s="1153"/>
      <c r="L200" s="1034"/>
      <c r="M200" s="1034"/>
      <c r="N200" s="1034"/>
      <c r="O200" s="1034"/>
      <c r="P200" s="1034"/>
      <c r="Q200" s="1034"/>
      <c r="R200" s="299"/>
      <c r="S200" s="458"/>
    </row>
    <row r="201" spans="2:30" ht="13" x14ac:dyDescent="0.25">
      <c r="B201" s="458"/>
      <c r="C201" s="57"/>
      <c r="D201" s="132" t="str">
        <f>Translations!$B$948</f>
        <v>Four-month period</v>
      </c>
      <c r="E201" s="133"/>
      <c r="F201" s="133"/>
      <c r="G201" s="134" t="str">
        <f>Translations!$B$949</f>
        <v>Number of flights</v>
      </c>
      <c r="H201" s="135"/>
      <c r="L201" s="299"/>
      <c r="M201" s="299"/>
      <c r="S201" s="458"/>
      <c r="U201" s="156" t="s">
        <v>185</v>
      </c>
    </row>
    <row r="202" spans="2:30" ht="13" x14ac:dyDescent="0.25">
      <c r="B202" s="458"/>
      <c r="C202" s="57"/>
      <c r="D202" s="136" t="str">
        <f>Translations!$B$950</f>
        <v>January to April</v>
      </c>
      <c r="E202" s="133"/>
      <c r="F202" s="133"/>
      <c r="G202" s="80"/>
      <c r="H202" s="158" t="str">
        <f>IF(ISBLANK(G202),"",IF(G202&gt;=243,"&gt;=243",""))</f>
        <v/>
      </c>
      <c r="L202" s="299"/>
      <c r="M202" s="299"/>
      <c r="S202" s="458"/>
      <c r="U202" s="116" t="str">
        <f>IF(ISNUMBER(G202),G202&lt;243,"")</f>
        <v/>
      </c>
    </row>
    <row r="203" spans="2:30" ht="13" x14ac:dyDescent="0.25">
      <c r="B203" s="458"/>
      <c r="C203" s="57"/>
      <c r="D203" s="136" t="str">
        <f>Translations!$B$951</f>
        <v>May to August</v>
      </c>
      <c r="E203" s="133"/>
      <c r="F203" s="133"/>
      <c r="G203" s="80"/>
      <c r="H203" s="158" t="str">
        <f>IF(ISBLANK(G203),"",IF(G203&gt;=243,"&gt;=243",""))</f>
        <v/>
      </c>
      <c r="L203" s="299"/>
      <c r="M203" s="299"/>
      <c r="S203" s="458"/>
      <c r="U203" s="116" t="str">
        <f>IF(ISNUMBER(G203),G203&lt;243,"")</f>
        <v/>
      </c>
    </row>
    <row r="204" spans="2:30" ht="13.5" thickBot="1" x14ac:dyDescent="0.3">
      <c r="B204" s="458"/>
      <c r="C204" s="57"/>
      <c r="D204" s="136" t="str">
        <f>Translations!$B$952</f>
        <v>September to December</v>
      </c>
      <c r="E204" s="133"/>
      <c r="F204" s="133"/>
      <c r="G204" s="80"/>
      <c r="H204" s="158" t="str">
        <f>IF(ISBLANK(G204),"",IF(G204&gt;=243,"&gt;=243",""))</f>
        <v/>
      </c>
      <c r="L204" s="299"/>
      <c r="M204" s="299"/>
      <c r="S204" s="458"/>
      <c r="U204" s="116" t="str">
        <f>IF(ISNUMBER(G204),G204&lt;243,"")</f>
        <v/>
      </c>
    </row>
    <row r="205" spans="2:30" ht="13.5" thickBot="1" x14ac:dyDescent="0.3">
      <c r="B205" s="458"/>
      <c r="C205" s="57"/>
      <c r="D205" s="132" t="str">
        <f>Translations!$B$953</f>
        <v>Total:</v>
      </c>
      <c r="E205" s="133"/>
      <c r="F205" s="133"/>
      <c r="G205" s="155">
        <f>IF(ISNUMBER(SUM(G202:G204)),SUM(G202:G204),0)</f>
        <v>0</v>
      </c>
      <c r="H205" s="1255"/>
      <c r="I205" s="1255"/>
      <c r="J205" s="1255"/>
      <c r="K205" s="1255"/>
      <c r="L205" s="299"/>
      <c r="M205" s="299"/>
      <c r="S205" s="458"/>
      <c r="U205" s="157" t="str">
        <f>IF(COUNT(G202:G204)&gt;0,AND(U202,U203,U204),"")</f>
        <v/>
      </c>
    </row>
    <row r="206" spans="2:30" ht="15" customHeight="1" x14ac:dyDescent="0.25">
      <c r="B206" s="458"/>
      <c r="L206" s="299"/>
      <c r="M206" s="299"/>
      <c r="S206" s="458"/>
    </row>
    <row r="207" spans="2:30" ht="13" x14ac:dyDescent="0.25">
      <c r="B207" s="458"/>
      <c r="C207" s="57" t="s">
        <v>27</v>
      </c>
      <c r="D207" s="1156" t="str">
        <f>Translations!$B$954</f>
        <v>Total emissions in the reporting year:</v>
      </c>
      <c r="E207" s="1156"/>
      <c r="F207" s="1156"/>
      <c r="G207" s="1156"/>
      <c r="H207" s="1156"/>
      <c r="I207" s="1156"/>
      <c r="J207" s="1156"/>
      <c r="K207" s="1156"/>
      <c r="L207" s="299"/>
      <c r="M207" s="299"/>
      <c r="S207" s="458"/>
      <c r="U207" s="118" t="s">
        <v>186</v>
      </c>
    </row>
    <row r="208" spans="2:30" ht="13.4" customHeight="1" x14ac:dyDescent="0.25">
      <c r="B208" s="458"/>
      <c r="C208" s="57"/>
      <c r="D208" s="1153" t="str">
        <f>Translations!$B$1537</f>
        <v>Please note that here total emissions using the preliminary emission factor need to be entered (i.e. without zero-rating).</v>
      </c>
      <c r="E208" s="1034"/>
      <c r="F208" s="1034"/>
      <c r="G208" s="1034"/>
      <c r="H208" s="1034"/>
      <c r="I208" s="1034"/>
      <c r="J208" s="1034"/>
      <c r="K208" s="1034"/>
      <c r="L208" s="1034"/>
      <c r="M208" s="1034"/>
      <c r="N208" s="1034"/>
      <c r="O208" s="1034"/>
      <c r="P208" s="1034"/>
      <c r="Q208" s="1034"/>
      <c r="R208" s="299"/>
      <c r="S208" s="458"/>
    </row>
    <row r="209" spans="2:21" ht="13.4" customHeight="1" x14ac:dyDescent="0.25">
      <c r="B209" s="458"/>
      <c r="D209" s="1142" t="str">
        <f>Translations!$B$1538</f>
        <v>Please enter here the total emissions related to the full scope, if relevant.</v>
      </c>
      <c r="E209" s="1034"/>
      <c r="F209" s="1034"/>
      <c r="G209" s="1034"/>
      <c r="H209" s="1034"/>
      <c r="I209" s="1220"/>
      <c r="J209" s="276"/>
      <c r="K209" s="137" t="s">
        <v>188</v>
      </c>
      <c r="L209" s="299"/>
      <c r="M209" s="299"/>
      <c r="S209" s="458"/>
      <c r="T209" s="298"/>
      <c r="U209" s="116" t="str">
        <f>IF(ISNUMBER(J209),J209&lt;25000,"")</f>
        <v/>
      </c>
    </row>
    <row r="210" spans="2:21" ht="13.4" customHeight="1" x14ac:dyDescent="0.25">
      <c r="B210" s="458"/>
      <c r="D210" s="1142" t="str">
        <f>Translations!$B$1539</f>
        <v>Total emissions related to the reduced scope (taken from section 5(c) automatically)</v>
      </c>
      <c r="E210" s="1034"/>
      <c r="F210" s="1034"/>
      <c r="G210" s="1034"/>
      <c r="H210" s="1034"/>
      <c r="I210" s="1220"/>
      <c r="J210" s="589">
        <f>K142</f>
        <v>0</v>
      </c>
      <c r="K210" s="137" t="s">
        <v>188</v>
      </c>
      <c r="L210" s="299"/>
      <c r="M210" s="299"/>
      <c r="S210" s="458"/>
      <c r="T210" s="298"/>
      <c r="U210" s="116" t="b">
        <f>IF(ISNUMBER(J210),J210&lt;3000,"")</f>
        <v>1</v>
      </c>
    </row>
    <row r="211" spans="2:21" ht="12.75" customHeight="1" x14ac:dyDescent="0.25">
      <c r="B211" s="458"/>
      <c r="L211" s="299"/>
      <c r="M211" s="299"/>
      <c r="S211" s="458"/>
      <c r="T211" s="298"/>
    </row>
    <row r="212" spans="2:21" ht="13" x14ac:dyDescent="0.25">
      <c r="B212" s="458"/>
      <c r="C212" s="57" t="s">
        <v>28</v>
      </c>
      <c r="D212" s="71" t="str">
        <f>Translations!$B$1540</f>
        <v>Confirmation of eligibility for simplified approach pursuant to Article 55(2) of the MRR:</v>
      </c>
      <c r="E212" s="71"/>
      <c r="F212" s="71"/>
      <c r="G212" s="71"/>
      <c r="H212" s="71"/>
      <c r="I212" s="71"/>
      <c r="J212" s="1253" t="str">
        <f>IF(AND(COUNT(G202:G204,J209,J210)&gt;0,I197=TRUE),IF(OR(U209,U205,U210),EUconst_Eligible,EUconst_NotEligible),"")</f>
        <v/>
      </c>
      <c r="K212" s="1254"/>
      <c r="L212" s="299"/>
      <c r="M212" s="299"/>
      <c r="S212" s="458"/>
    </row>
    <row r="213" spans="2:21" ht="13.4" customHeight="1" x14ac:dyDescent="0.25">
      <c r="B213" s="458"/>
      <c r="D213" s="1152" t="str">
        <f>Translations!$B$1317</f>
        <v>Note: If you are using the simplified approach for small emitters, but have exceeded the applicable threshold (which is indicated here by the message "not eligible"), the following consequences apply in accordance with Article 55(4) of the MRR:</v>
      </c>
      <c r="E213" s="1152"/>
      <c r="F213" s="1152"/>
      <c r="G213" s="1152"/>
      <c r="H213" s="1152"/>
      <c r="I213" s="1152"/>
      <c r="J213" s="1152"/>
      <c r="K213" s="1152"/>
      <c r="L213" s="1034"/>
      <c r="M213" s="1034"/>
      <c r="N213" s="1034"/>
      <c r="O213" s="1034"/>
      <c r="P213" s="1034"/>
      <c r="Q213" s="1034"/>
      <c r="R213" s="299"/>
      <c r="S213" s="458"/>
    </row>
    <row r="214" spans="2:21" ht="13.4" customHeight="1" x14ac:dyDescent="0.25">
      <c r="B214" s="458"/>
      <c r="D214" s="1153" t="str">
        <f>Translations!$B$958</f>
        <v>The aircraft operator shall notify the competent authority thereof without undue delay and submit a significant modification of the monitoring plan within the meaning of point (vi) of Article 15(4)(a) to the competent authority for approval.</v>
      </c>
      <c r="E214" s="1153"/>
      <c r="F214" s="1153"/>
      <c r="G214" s="1153"/>
      <c r="H214" s="1153"/>
      <c r="I214" s="1153"/>
      <c r="J214" s="1153"/>
      <c r="K214" s="1153"/>
      <c r="L214" s="1034"/>
      <c r="M214" s="1034"/>
      <c r="N214" s="1034"/>
      <c r="O214" s="1034"/>
      <c r="P214" s="1034"/>
      <c r="Q214" s="1034"/>
      <c r="R214" s="299"/>
      <c r="S214" s="458"/>
    </row>
    <row r="215" spans="2:21" ht="26.5" customHeight="1" x14ac:dyDescent="0.25">
      <c r="B215" s="458"/>
      <c r="D215" s="1153"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215" s="1153"/>
      <c r="F215" s="1153"/>
      <c r="G215" s="1153"/>
      <c r="H215" s="1153"/>
      <c r="I215" s="1153"/>
      <c r="J215" s="1153"/>
      <c r="K215" s="1153"/>
      <c r="L215" s="1034"/>
      <c r="M215" s="1034"/>
      <c r="N215" s="1034"/>
      <c r="O215" s="1034"/>
      <c r="P215" s="1034"/>
      <c r="Q215" s="1034"/>
      <c r="R215" s="299"/>
      <c r="S215" s="458"/>
      <c r="U215" s="118" t="s">
        <v>41</v>
      </c>
    </row>
    <row r="216" spans="2:21" ht="5.15" customHeight="1" x14ac:dyDescent="0.25">
      <c r="B216" s="458"/>
      <c r="D216" s="64"/>
      <c r="E216" s="64"/>
      <c r="F216" s="64"/>
      <c r="G216" s="64"/>
      <c r="H216" s="64"/>
      <c r="I216" s="64"/>
      <c r="J216" s="64"/>
      <c r="K216" s="64"/>
      <c r="L216" s="64"/>
      <c r="M216" s="64"/>
      <c r="S216" s="458"/>
    </row>
    <row r="217" spans="2:21" ht="13.4" customHeight="1" x14ac:dyDescent="0.25">
      <c r="B217" s="458"/>
      <c r="C217" s="57" t="s">
        <v>40</v>
      </c>
      <c r="D217" s="71" t="str">
        <f>Translations!$B$1125</f>
        <v>Please specify which fuel consumption estimation tool you have used:</v>
      </c>
      <c r="E217" s="64"/>
      <c r="F217" s="64"/>
      <c r="G217" s="64"/>
      <c r="H217" s="64"/>
      <c r="I217" s="64"/>
      <c r="J217" s="1159" t="s">
        <v>732</v>
      </c>
      <c r="K217" s="1160"/>
      <c r="L217" s="64"/>
      <c r="M217" s="64"/>
      <c r="S217" s="458"/>
      <c r="T217" s="298"/>
      <c r="U217" s="116" t="b">
        <f>OR(INDICATOR_WhichToolUsed=INDEX(CommissionApprovedTools,2),INDICATOR_WhichToolUsed=INDEX(CommissionApprovedTools,3))</f>
        <v>0</v>
      </c>
    </row>
    <row r="218" spans="2:21" ht="5.15" customHeight="1" x14ac:dyDescent="0.25">
      <c r="B218" s="458"/>
      <c r="D218" s="64"/>
      <c r="E218" s="64"/>
      <c r="F218" s="64"/>
      <c r="G218" s="64"/>
      <c r="H218" s="64"/>
      <c r="I218" s="64"/>
      <c r="J218" s="64"/>
      <c r="K218" s="64"/>
      <c r="L218" s="64"/>
      <c r="M218" s="64"/>
      <c r="S218" s="458"/>
    </row>
    <row r="219" spans="2:21" ht="13.4" customHeight="1" x14ac:dyDescent="0.25">
      <c r="B219" s="458"/>
      <c r="C219" s="57" t="s">
        <v>189</v>
      </c>
      <c r="D219" s="71" t="str">
        <f>Translations!$B$1126</f>
        <v>If you have chosen "Other" under point (e) above, which one?</v>
      </c>
      <c r="E219" s="64"/>
      <c r="F219" s="64"/>
      <c r="G219" s="64"/>
      <c r="H219" s="64"/>
      <c r="I219" s="64"/>
      <c r="J219" s="1159"/>
      <c r="K219" s="1160"/>
      <c r="L219" s="64"/>
      <c r="M219" s="64"/>
      <c r="S219" s="458"/>
    </row>
    <row r="220" spans="2:21" ht="15" customHeight="1" x14ac:dyDescent="0.25"/>
    <row r="221" spans="2:21" ht="5.15" hidden="1" customHeight="1" x14ac:dyDescent="0.25">
      <c r="B221" s="340"/>
      <c r="C221" s="340"/>
      <c r="D221" s="340"/>
      <c r="E221" s="340"/>
      <c r="F221" s="340"/>
      <c r="G221" s="340"/>
      <c r="H221" s="340"/>
      <c r="I221" s="340"/>
      <c r="J221" s="340"/>
      <c r="K221" s="340"/>
      <c r="L221" s="340"/>
      <c r="M221" s="340"/>
      <c r="N221" s="340"/>
      <c r="O221" s="340"/>
      <c r="P221" s="340"/>
      <c r="Q221" s="340"/>
      <c r="R221" s="340"/>
      <c r="S221" s="340"/>
    </row>
    <row r="222" spans="2:21" ht="13.4" hidden="1" customHeight="1" x14ac:dyDescent="0.25">
      <c r="B222" s="340"/>
      <c r="C222" s="373"/>
      <c r="D222" s="1117" t="str">
        <f>Translations!$B$1127</f>
        <v>If you use this report for CORSIA purposes, please confirm here if you are using an applicable emission estimation tool:</v>
      </c>
      <c r="E222" s="1068"/>
      <c r="F222" s="1068"/>
      <c r="G222" s="1068"/>
      <c r="H222" s="1068"/>
      <c r="I222" s="1068"/>
      <c r="J222" s="1068"/>
      <c r="K222" s="1068"/>
      <c r="L222" s="1034"/>
      <c r="M222" s="1034"/>
      <c r="N222" s="1034"/>
      <c r="O222" s="1034"/>
      <c r="P222" s="1034"/>
      <c r="Q222" s="1034"/>
      <c r="R222" s="299"/>
      <c r="S222" s="340"/>
    </row>
    <row r="223" spans="2:21" ht="5.15" hidden="1" customHeight="1" x14ac:dyDescent="0.25">
      <c r="B223" s="340"/>
      <c r="C223" s="372"/>
      <c r="L223" s="524"/>
      <c r="M223" s="524"/>
      <c r="S223" s="340"/>
    </row>
    <row r="224" spans="2:21" ht="15" hidden="1" customHeight="1" x14ac:dyDescent="0.25">
      <c r="B224" s="340"/>
      <c r="C224" s="373" t="s">
        <v>35</v>
      </c>
      <c r="D224" s="1134" t="str">
        <f>Translations!$B$1128</f>
        <v>An emission estimation tool was used for all emissions under CORSIA:</v>
      </c>
      <c r="E224" s="1054"/>
      <c r="F224" s="1054"/>
      <c r="G224" s="1054"/>
      <c r="H224" s="1054"/>
      <c r="I224" s="1054"/>
      <c r="J224" s="1161"/>
      <c r="K224" s="722"/>
      <c r="L224" s="524"/>
      <c r="M224" s="524"/>
      <c r="S224" s="340"/>
      <c r="U224" s="116" t="b">
        <f>AND(INDICATOR_ToolUsedForAllCORSIAemissions&lt;&gt;"",INDICATOR_ToolUsedForAllCORSIAemissions=FALSE)</f>
        <v>0</v>
      </c>
    </row>
    <row r="225" spans="1:30" ht="5.15" hidden="1" customHeight="1" x14ac:dyDescent="0.25">
      <c r="B225" s="340"/>
      <c r="D225" s="64"/>
      <c r="E225" s="64"/>
      <c r="F225" s="64"/>
      <c r="G225" s="64"/>
      <c r="H225" s="64"/>
      <c r="I225" s="64"/>
      <c r="J225" s="64"/>
      <c r="K225" s="64"/>
      <c r="L225" s="64"/>
      <c r="M225" s="64"/>
      <c r="S225" s="340"/>
    </row>
    <row r="226" spans="1:30" ht="13.4" hidden="1" customHeight="1" x14ac:dyDescent="0.25">
      <c r="B226" s="340"/>
      <c r="C226" s="57" t="s">
        <v>1878</v>
      </c>
      <c r="D226" s="71" t="str">
        <f>Translations!$B$1125</f>
        <v>Please specify which fuel consumption estimation tool you have used:</v>
      </c>
      <c r="E226" s="709"/>
      <c r="F226" s="709"/>
      <c r="G226" s="709"/>
      <c r="H226" s="709"/>
      <c r="I226" s="64"/>
      <c r="J226" s="1159" t="s">
        <v>732</v>
      </c>
      <c r="K226" s="1160"/>
      <c r="L226" s="64"/>
      <c r="M226" s="64"/>
      <c r="S226" s="340"/>
      <c r="T226" s="298"/>
      <c r="U226" s="116" t="b">
        <f>OR(J226=INDEX(CommissionApprovedTools,2),J226=INDEX(CommissionApprovedTools,3))</f>
        <v>0</v>
      </c>
    </row>
    <row r="227" spans="1:30" ht="5.15" hidden="1" customHeight="1" x14ac:dyDescent="0.25">
      <c r="B227" s="340"/>
      <c r="D227" s="709"/>
      <c r="E227" s="709"/>
      <c r="F227" s="709"/>
      <c r="G227" s="709"/>
      <c r="H227" s="709"/>
      <c r="I227" s="64"/>
      <c r="J227" s="64"/>
      <c r="K227" s="64"/>
      <c r="L227" s="64"/>
      <c r="M227" s="64"/>
      <c r="S227" s="340"/>
    </row>
    <row r="228" spans="1:30" ht="13.4" hidden="1" customHeight="1" x14ac:dyDescent="0.25">
      <c r="B228" s="340"/>
      <c r="C228" s="57" t="s">
        <v>1879</v>
      </c>
      <c r="D228" s="71" t="str">
        <f>Translations!$B$1541</f>
        <v>If you have chosen "Other" under point (h) above, which one?</v>
      </c>
      <c r="E228" s="709"/>
      <c r="F228" s="709"/>
      <c r="G228" s="709"/>
      <c r="H228" s="709"/>
      <c r="I228" s="64"/>
      <c r="J228" s="1159"/>
      <c r="K228" s="1160"/>
      <c r="L228" s="64"/>
      <c r="M228" s="64"/>
      <c r="S228" s="340"/>
      <c r="T228" s="298"/>
    </row>
    <row r="229" spans="1:30" ht="5.15" hidden="1" customHeight="1" x14ac:dyDescent="0.25">
      <c r="B229" s="340"/>
      <c r="C229" s="372"/>
      <c r="L229" s="524"/>
      <c r="M229" s="524"/>
      <c r="S229" s="340"/>
    </row>
    <row r="230" spans="1:30" ht="5.15" hidden="1" customHeight="1" x14ac:dyDescent="0.25">
      <c r="B230" s="340"/>
      <c r="C230" s="340"/>
      <c r="D230" s="340"/>
      <c r="E230" s="340"/>
      <c r="F230" s="340"/>
      <c r="G230" s="340"/>
      <c r="H230" s="340"/>
      <c r="I230" s="340"/>
      <c r="J230" s="340"/>
      <c r="K230" s="340"/>
      <c r="L230" s="340"/>
      <c r="M230" s="340"/>
      <c r="N230" s="340"/>
      <c r="O230" s="340"/>
      <c r="P230" s="340"/>
      <c r="Q230" s="340"/>
      <c r="R230" s="340"/>
      <c r="S230" s="340"/>
    </row>
    <row r="231" spans="1:30" ht="15" customHeight="1" x14ac:dyDescent="0.25"/>
    <row r="232" spans="1:30" ht="15" customHeight="1" x14ac:dyDescent="0.25">
      <c r="C232" s="1015">
        <v>7</v>
      </c>
      <c r="D232" s="1262" t="str">
        <f>Translations!$B$846</f>
        <v>Approach for data gaps</v>
      </c>
      <c r="E232" s="1263"/>
      <c r="F232" s="1263"/>
      <c r="G232" s="1263"/>
      <c r="H232" s="1263"/>
      <c r="I232" s="1263"/>
      <c r="J232" s="1263"/>
      <c r="K232" s="1263"/>
      <c r="L232" s="1263"/>
      <c r="M232" s="1263"/>
      <c r="N232" s="1263"/>
      <c r="O232" s="1263"/>
      <c r="P232" s="1263"/>
      <c r="Q232" s="1263"/>
      <c r="R232" s="1263"/>
      <c r="S232" s="1016"/>
    </row>
    <row r="233" spans="1:30" ht="26.5" customHeight="1" x14ac:dyDescent="0.25">
      <c r="C233" s="64"/>
      <c r="D233" s="1154" t="str">
        <f>Translations!$B$1275</f>
        <v>For limiting administrative burden, this sections (a) and (b) should cover emissions of both systems, EU ETS and CH ETS. Data gaps relevant for CORSIA can be included, too.</v>
      </c>
      <c r="E233" s="1154"/>
      <c r="F233" s="1154"/>
      <c r="G233" s="1154"/>
      <c r="H233" s="1154"/>
      <c r="I233" s="1154"/>
      <c r="J233" s="1154"/>
      <c r="K233" s="1154"/>
      <c r="L233" s="1155"/>
      <c r="M233" s="1155"/>
      <c r="N233" s="1155"/>
      <c r="O233" s="1155"/>
      <c r="P233" s="1155"/>
      <c r="Q233" s="1155"/>
      <c r="R233" s="773"/>
    </row>
    <row r="234" spans="1:30" ht="15" customHeight="1" x14ac:dyDescent="0.25">
      <c r="C234" s="57" t="s">
        <v>25</v>
      </c>
      <c r="D234" s="1156" t="str">
        <f>Translations!$B$960</f>
        <v>List of data gaps occurred and method of determining surrogate data</v>
      </c>
      <c r="E234" s="1156"/>
      <c r="F234" s="1156"/>
      <c r="G234" s="1156"/>
      <c r="H234" s="1156"/>
      <c r="I234" s="1156"/>
      <c r="J234" s="1156"/>
      <c r="K234" s="1156"/>
      <c r="L234" s="1034"/>
      <c r="M234" s="1034"/>
      <c r="N234" s="1034"/>
      <c r="O234" s="1034"/>
      <c r="P234" s="1034"/>
      <c r="Q234" s="1034"/>
      <c r="R234" s="299"/>
    </row>
    <row r="235" spans="1:30" ht="13.4" customHeight="1" x14ac:dyDescent="0.25">
      <c r="C235" s="64"/>
      <c r="D235" s="1116" t="str">
        <f>Translations!$B$1354</f>
        <v>In accordance with Article 66(2) of the MRR data gaps must be closed by a method defined in the monitoring plan, or if this is not possible, by using a tool which may be used for the small emitters approach.</v>
      </c>
      <c r="E235" s="1157"/>
      <c r="F235" s="1157"/>
      <c r="G235" s="1157"/>
      <c r="H235" s="1157"/>
      <c r="I235" s="1157"/>
      <c r="J235" s="1157"/>
      <c r="K235" s="1157"/>
      <c r="L235" s="1034"/>
      <c r="M235" s="1034"/>
      <c r="N235" s="1034"/>
      <c r="O235" s="1034"/>
      <c r="P235" s="1034"/>
      <c r="Q235" s="1034"/>
      <c r="R235" s="299"/>
    </row>
    <row r="236" spans="1:30" ht="26.5" customHeight="1" x14ac:dyDescent="0.25">
      <c r="C236" s="64"/>
      <c r="D236" s="1131"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236" s="1158"/>
      <c r="F236" s="1158"/>
      <c r="G236" s="1158"/>
      <c r="H236" s="1158"/>
      <c r="I236" s="1158"/>
      <c r="J236" s="1158"/>
      <c r="K236" s="1158"/>
      <c r="L236" s="1034"/>
      <c r="M236" s="1034"/>
      <c r="N236" s="1034"/>
      <c r="O236" s="1034"/>
      <c r="P236" s="1034"/>
      <c r="Q236" s="1034"/>
      <c r="R236" s="299"/>
    </row>
    <row r="237" spans="1:30" ht="5.15" customHeight="1" x14ac:dyDescent="0.25">
      <c r="C237" s="64"/>
      <c r="D237" s="1153"/>
      <c r="E237" s="1034"/>
      <c r="F237" s="1034"/>
      <c r="G237" s="1034"/>
      <c r="H237" s="1034"/>
      <c r="I237" s="1034"/>
      <c r="J237" s="1034"/>
      <c r="K237" s="1034"/>
      <c r="L237" s="1034"/>
      <c r="M237" s="1034"/>
      <c r="N237" s="1034"/>
      <c r="O237" s="1034"/>
      <c r="P237" s="1034"/>
      <c r="Q237" s="1034"/>
      <c r="R237" s="299"/>
    </row>
    <row r="238" spans="1:30" s="51" customFormat="1" ht="12.75" customHeight="1" x14ac:dyDescent="0.25">
      <c r="A238" s="123"/>
      <c r="D238" s="1153" t="str">
        <f>Translations!$B$963</f>
        <v>The table should be filled as follows:</v>
      </c>
      <c r="E238" s="1153"/>
      <c r="F238" s="1153"/>
      <c r="G238" s="1153"/>
      <c r="H238" s="1153"/>
      <c r="I238" s="1153"/>
      <c r="J238" s="1153"/>
      <c r="K238" s="1153"/>
      <c r="L238" s="1034"/>
      <c r="M238" s="1034"/>
      <c r="N238" s="1034"/>
      <c r="O238" s="1034"/>
      <c r="P238" s="1034"/>
      <c r="Q238" s="1034"/>
      <c r="R238" s="299"/>
      <c r="U238" s="124"/>
      <c r="V238" s="123"/>
      <c r="W238" s="123"/>
      <c r="X238" s="123"/>
      <c r="Y238" s="123"/>
      <c r="Z238" s="123"/>
      <c r="AA238" s="123"/>
      <c r="AB238" s="123"/>
      <c r="AC238" s="123"/>
      <c r="AD238" s="123"/>
    </row>
    <row r="239" spans="1:30" s="51" customFormat="1" ht="13.4" customHeight="1" x14ac:dyDescent="0.25">
      <c r="A239" s="123"/>
      <c r="D239" s="1165" t="str">
        <f>Translations!$B$964</f>
        <v>Reference</v>
      </c>
      <c r="E239" s="1166"/>
      <c r="F239" s="1167" t="str">
        <f>Translations!$B$965</f>
        <v>Here the data gap should be specified, either by referencing the aircraft, aerodrome, flight numbers etc. for which the data gap occurred, and/or the start and end date of the period where the gap occurred.</v>
      </c>
      <c r="G239" s="1167"/>
      <c r="H239" s="1167"/>
      <c r="I239" s="1167"/>
      <c r="J239" s="1167"/>
      <c r="K239" s="1167"/>
      <c r="L239" s="1167"/>
      <c r="M239" s="1166"/>
      <c r="N239" s="1166"/>
      <c r="O239" s="1166"/>
      <c r="P239" s="1166"/>
      <c r="Q239" s="1168"/>
      <c r="R239" s="299"/>
      <c r="U239" s="124"/>
      <c r="V239" s="123"/>
      <c r="W239" s="123"/>
      <c r="X239" s="123"/>
      <c r="Y239" s="123"/>
      <c r="Z239" s="123"/>
      <c r="AA239" s="123"/>
      <c r="AB239" s="123"/>
      <c r="AC239" s="123"/>
      <c r="AD239" s="123"/>
    </row>
    <row r="240" spans="1:30" s="51" customFormat="1" ht="13.4" customHeight="1" x14ac:dyDescent="0.25">
      <c r="A240" s="123"/>
      <c r="D240" s="1165" t="str">
        <f>Translations!$B$966</f>
        <v>Reason</v>
      </c>
      <c r="E240" s="1166"/>
      <c r="F240" s="1167" t="str">
        <f>Translations!$B$967</f>
        <v>Please describe here the reason why the data gap occurred.</v>
      </c>
      <c r="G240" s="1167"/>
      <c r="H240" s="1167"/>
      <c r="I240" s="1167"/>
      <c r="J240" s="1167"/>
      <c r="K240" s="1167"/>
      <c r="L240" s="1167"/>
      <c r="M240" s="1166"/>
      <c r="N240" s="1166"/>
      <c r="O240" s="1166"/>
      <c r="P240" s="1166"/>
      <c r="Q240" s="1168"/>
      <c r="R240" s="299"/>
      <c r="U240" s="124"/>
      <c r="V240" s="123"/>
      <c r="W240" s="123"/>
      <c r="X240" s="123"/>
      <c r="Y240" s="123"/>
      <c r="Z240" s="123"/>
      <c r="AA240" s="123"/>
      <c r="AB240" s="123"/>
      <c r="AC240" s="123"/>
      <c r="AD240" s="123"/>
    </row>
    <row r="241" spans="1:30" s="51" customFormat="1" ht="13.4" customHeight="1" x14ac:dyDescent="0.25">
      <c r="A241" s="123"/>
      <c r="D241" s="1165" t="str">
        <f>Translations!$B$968</f>
        <v>Type</v>
      </c>
      <c r="E241" s="1166"/>
      <c r="F241" s="1167" t="str">
        <f>Translations!$B$969</f>
        <v>Please describe here the type of data gap, such as "density measurement not available", "fuel uplift not available", "flights missing activity list", etc.</v>
      </c>
      <c r="G241" s="1167"/>
      <c r="H241" s="1167"/>
      <c r="I241" s="1167"/>
      <c r="J241" s="1167"/>
      <c r="K241" s="1167"/>
      <c r="L241" s="1167"/>
      <c r="M241" s="1166"/>
      <c r="N241" s="1166"/>
      <c r="O241" s="1166"/>
      <c r="P241" s="1166"/>
      <c r="Q241" s="1168"/>
      <c r="R241" s="299"/>
      <c r="U241" s="124"/>
      <c r="V241" s="123"/>
      <c r="W241" s="123"/>
      <c r="X241" s="123"/>
      <c r="Y241" s="123"/>
      <c r="Z241" s="123"/>
      <c r="AA241" s="123"/>
      <c r="AB241" s="123"/>
      <c r="AC241" s="123"/>
      <c r="AD241" s="123"/>
    </row>
    <row r="242" spans="1:30" s="51" customFormat="1" ht="13.4" customHeight="1" x14ac:dyDescent="0.25">
      <c r="A242" s="123"/>
      <c r="D242" s="1165" t="str">
        <f>Translations!$B$970</f>
        <v>Replacement method</v>
      </c>
      <c r="E242" s="1166"/>
      <c r="F242" s="1167" t="str">
        <f>Translations!$B$971</f>
        <v>please indicate the method of determining surrogate data, by referencing the procedure in your monitoring plan, or by "small emitter tool" etc.</v>
      </c>
      <c r="G242" s="1167"/>
      <c r="H242" s="1167"/>
      <c r="I242" s="1167"/>
      <c r="J242" s="1167"/>
      <c r="K242" s="1167"/>
      <c r="L242" s="1167"/>
      <c r="M242" s="1166"/>
      <c r="N242" s="1166"/>
      <c r="O242" s="1166"/>
      <c r="P242" s="1166"/>
      <c r="Q242" s="1168"/>
      <c r="R242" s="299"/>
      <c r="U242" s="124"/>
      <c r="V242" s="123"/>
      <c r="W242" s="123"/>
      <c r="X242" s="123"/>
      <c r="Y242" s="123"/>
      <c r="Z242" s="123"/>
      <c r="AA242" s="123"/>
      <c r="AB242" s="123"/>
      <c r="AC242" s="123"/>
      <c r="AD242" s="123"/>
    </row>
    <row r="243" spans="1:30" s="51" customFormat="1" ht="13.4" customHeight="1" x14ac:dyDescent="0.25">
      <c r="A243" s="123"/>
      <c r="D243" s="1165" t="str">
        <f>Translations!$B$972</f>
        <v>Emissions</v>
      </c>
      <c r="E243" s="1166"/>
      <c r="F243" s="1167" t="str">
        <f>Translations!$B$1542</f>
        <v>Please give here the amount of emissions (in tonnes CO2) which are affected by the data gap. This figure must be INCLUDED in section 5 and/or section 12 depending on the type.</v>
      </c>
      <c r="G243" s="1167"/>
      <c r="H243" s="1167"/>
      <c r="I243" s="1167"/>
      <c r="J243" s="1167"/>
      <c r="K243" s="1167"/>
      <c r="L243" s="1167"/>
      <c r="M243" s="1166"/>
      <c r="N243" s="1166"/>
      <c r="O243" s="1166"/>
      <c r="P243" s="1166"/>
      <c r="Q243" s="1168"/>
      <c r="R243" s="299"/>
      <c r="T243" s="688"/>
      <c r="U243" s="124"/>
      <c r="V243" s="123"/>
      <c r="W243" s="123"/>
      <c r="X243" s="123"/>
      <c r="Y243" s="123"/>
      <c r="Z243" s="123"/>
      <c r="AA243" s="123"/>
      <c r="AB243" s="123"/>
      <c r="AC243" s="123"/>
      <c r="AD243" s="123"/>
    </row>
    <row r="244" spans="1:30" ht="13.4" customHeight="1" x14ac:dyDescent="0.25">
      <c r="C244" s="64"/>
      <c r="D244" s="64"/>
      <c r="E244" s="64"/>
      <c r="F244" s="64"/>
      <c r="G244" s="64"/>
      <c r="H244" s="64"/>
      <c r="I244" s="64"/>
      <c r="J244" s="64"/>
      <c r="K244" s="64"/>
      <c r="L244" s="64"/>
      <c r="M244" s="64"/>
    </row>
    <row r="245" spans="1:30" ht="26.5" customHeight="1" x14ac:dyDescent="0.25">
      <c r="B245" s="458"/>
      <c r="C245" s="64"/>
      <c r="D245" s="1164" t="str">
        <f>Translations!$B$964</f>
        <v>Reference</v>
      </c>
      <c r="E245" s="1049"/>
      <c r="F245" s="1170" t="str">
        <f>Translations!$B$966</f>
        <v>Reason</v>
      </c>
      <c r="G245" s="1049"/>
      <c r="H245" s="1049"/>
      <c r="I245" s="1164" t="str">
        <f>Translations!$B$968</f>
        <v>Type</v>
      </c>
      <c r="J245" s="1049"/>
      <c r="K245" s="1049"/>
      <c r="L245" s="1164" t="str">
        <f>Translations!$B$970</f>
        <v>Replacement method</v>
      </c>
      <c r="M245" s="1049"/>
      <c r="N245" s="1049"/>
      <c r="O245" s="1049"/>
      <c r="P245" s="1049"/>
      <c r="Q245" s="715" t="str">
        <f>Translations!$B$1543</f>
        <v>Emissions
[t CO2]</v>
      </c>
      <c r="R245" s="782"/>
      <c r="S245" s="458"/>
      <c r="T245" s="298"/>
    </row>
    <row r="246" spans="1:30" ht="15" customHeight="1" x14ac:dyDescent="0.25">
      <c r="B246" s="458"/>
      <c r="C246" s="64"/>
      <c r="D246" s="1169"/>
      <c r="E246" s="1049"/>
      <c r="F246" s="1162"/>
      <c r="G246" s="1049"/>
      <c r="H246" s="1049"/>
      <c r="I246" s="1162"/>
      <c r="J246" s="1049"/>
      <c r="K246" s="1049"/>
      <c r="L246" s="1162"/>
      <c r="M246" s="1049"/>
      <c r="N246" s="1049"/>
      <c r="O246" s="1049"/>
      <c r="P246" s="1049"/>
      <c r="Q246" s="716"/>
      <c r="R246" s="782"/>
      <c r="S246" s="458"/>
    </row>
    <row r="247" spans="1:30" ht="15" customHeight="1" x14ac:dyDescent="0.25">
      <c r="B247" s="458"/>
      <c r="C247" s="64"/>
      <c r="D247" s="1169"/>
      <c r="E247" s="1049"/>
      <c r="F247" s="1162"/>
      <c r="G247" s="1049"/>
      <c r="H247" s="1049"/>
      <c r="I247" s="1162"/>
      <c r="J247" s="1049"/>
      <c r="K247" s="1049"/>
      <c r="L247" s="1162"/>
      <c r="M247" s="1049"/>
      <c r="N247" s="1049"/>
      <c r="O247" s="1049"/>
      <c r="P247" s="1049"/>
      <c r="Q247" s="716"/>
      <c r="R247" s="782"/>
      <c r="S247" s="458"/>
    </row>
    <row r="248" spans="1:30" ht="15" customHeight="1" x14ac:dyDescent="0.25">
      <c r="B248" s="458"/>
      <c r="C248" s="64"/>
      <c r="D248" s="1169"/>
      <c r="E248" s="1049"/>
      <c r="F248" s="1162"/>
      <c r="G248" s="1049"/>
      <c r="H248" s="1049"/>
      <c r="I248" s="1162"/>
      <c r="J248" s="1049"/>
      <c r="K248" s="1049"/>
      <c r="L248" s="1162"/>
      <c r="M248" s="1049"/>
      <c r="N248" s="1049"/>
      <c r="O248" s="1049"/>
      <c r="P248" s="1049"/>
      <c r="Q248" s="716"/>
      <c r="R248" s="782"/>
      <c r="S248" s="458"/>
    </row>
    <row r="249" spans="1:30" ht="15" customHeight="1" x14ac:dyDescent="0.25">
      <c r="B249" s="458"/>
      <c r="C249" s="64"/>
      <c r="D249" s="1169"/>
      <c r="E249" s="1049"/>
      <c r="F249" s="1162"/>
      <c r="G249" s="1049"/>
      <c r="H249" s="1049"/>
      <c r="I249" s="1162"/>
      <c r="J249" s="1049"/>
      <c r="K249" s="1049"/>
      <c r="L249" s="1162"/>
      <c r="M249" s="1049"/>
      <c r="N249" s="1049"/>
      <c r="O249" s="1049"/>
      <c r="P249" s="1049"/>
      <c r="Q249" s="716"/>
      <c r="R249" s="782"/>
      <c r="S249" s="458"/>
    </row>
    <row r="250" spans="1:30" ht="15" customHeight="1" x14ac:dyDescent="0.25">
      <c r="B250" s="458"/>
      <c r="C250" s="64"/>
      <c r="D250" s="1169"/>
      <c r="E250" s="1049"/>
      <c r="F250" s="1162"/>
      <c r="G250" s="1049"/>
      <c r="H250" s="1049"/>
      <c r="I250" s="1162"/>
      <c r="J250" s="1049"/>
      <c r="K250" s="1049"/>
      <c r="L250" s="1162"/>
      <c r="M250" s="1049"/>
      <c r="N250" s="1049"/>
      <c r="O250" s="1049"/>
      <c r="P250" s="1049"/>
      <c r="Q250" s="716"/>
      <c r="R250" s="782"/>
      <c r="S250" s="458"/>
    </row>
    <row r="251" spans="1:30" ht="15" customHeight="1" x14ac:dyDescent="0.25">
      <c r="B251" s="458"/>
      <c r="C251" s="64"/>
      <c r="D251" s="1169"/>
      <c r="E251" s="1049"/>
      <c r="F251" s="1162"/>
      <c r="G251" s="1049"/>
      <c r="H251" s="1049"/>
      <c r="I251" s="1162"/>
      <c r="J251" s="1049"/>
      <c r="K251" s="1049"/>
      <c r="L251" s="1162"/>
      <c r="M251" s="1049"/>
      <c r="N251" s="1049"/>
      <c r="O251" s="1049"/>
      <c r="P251" s="1049"/>
      <c r="Q251" s="716"/>
      <c r="R251" s="782"/>
      <c r="S251" s="458"/>
    </row>
    <row r="252" spans="1:30" ht="15" customHeight="1" x14ac:dyDescent="0.25">
      <c r="B252" s="458"/>
      <c r="C252" s="64"/>
      <c r="D252" s="1169"/>
      <c r="E252" s="1049"/>
      <c r="F252" s="1162"/>
      <c r="G252" s="1049"/>
      <c r="H252" s="1049"/>
      <c r="I252" s="1162"/>
      <c r="J252" s="1049"/>
      <c r="K252" s="1049"/>
      <c r="L252" s="1162"/>
      <c r="M252" s="1049"/>
      <c r="N252" s="1049"/>
      <c r="O252" s="1049"/>
      <c r="P252" s="1049"/>
      <c r="Q252" s="716"/>
      <c r="R252" s="782"/>
      <c r="S252" s="458"/>
    </row>
    <row r="253" spans="1:30" ht="15" customHeight="1" x14ac:dyDescent="0.25">
      <c r="B253" s="458"/>
      <c r="C253" s="64"/>
      <c r="D253" s="1169"/>
      <c r="E253" s="1049"/>
      <c r="F253" s="1162"/>
      <c r="G253" s="1049"/>
      <c r="H253" s="1049"/>
      <c r="I253" s="1162"/>
      <c r="J253" s="1049"/>
      <c r="K253" s="1049"/>
      <c r="L253" s="1162"/>
      <c r="M253" s="1049"/>
      <c r="N253" s="1049"/>
      <c r="O253" s="1049"/>
      <c r="P253" s="1049"/>
      <c r="Q253" s="716"/>
      <c r="R253" s="782"/>
      <c r="S253" s="458"/>
    </row>
    <row r="254" spans="1:30" ht="15" customHeight="1" x14ac:dyDescent="0.25">
      <c r="B254" s="458"/>
      <c r="C254" s="64"/>
      <c r="D254" s="1169"/>
      <c r="E254" s="1049"/>
      <c r="F254" s="1162"/>
      <c r="G254" s="1049"/>
      <c r="H254" s="1049"/>
      <c r="I254" s="1162"/>
      <c r="J254" s="1049"/>
      <c r="K254" s="1049"/>
      <c r="L254" s="1162"/>
      <c r="M254" s="1049"/>
      <c r="N254" s="1049"/>
      <c r="O254" s="1049"/>
      <c r="P254" s="1049"/>
      <c r="Q254" s="716"/>
      <c r="R254" s="782"/>
      <c r="S254" s="458"/>
    </row>
    <row r="255" spans="1:30" ht="15" customHeight="1" x14ac:dyDescent="0.25">
      <c r="B255" s="458"/>
      <c r="C255" s="64"/>
      <c r="D255" s="1169"/>
      <c r="E255" s="1049"/>
      <c r="F255" s="1162"/>
      <c r="G255" s="1049"/>
      <c r="H255" s="1049"/>
      <c r="I255" s="1162"/>
      <c r="J255" s="1049"/>
      <c r="K255" s="1049"/>
      <c r="L255" s="1162"/>
      <c r="M255" s="1049"/>
      <c r="N255" s="1049"/>
      <c r="O255" s="1049"/>
      <c r="P255" s="1049"/>
      <c r="Q255" s="716"/>
      <c r="R255" s="782"/>
      <c r="S255" s="458"/>
    </row>
    <row r="256" spans="1:30" ht="15" customHeight="1" x14ac:dyDescent="0.25">
      <c r="B256" s="458"/>
      <c r="C256" s="64"/>
      <c r="D256" s="1169"/>
      <c r="E256" s="1049"/>
      <c r="F256" s="1162"/>
      <c r="G256" s="1049"/>
      <c r="H256" s="1049"/>
      <c r="I256" s="1162"/>
      <c r="J256" s="1049"/>
      <c r="K256" s="1049"/>
      <c r="L256" s="1162"/>
      <c r="M256" s="1049"/>
      <c r="N256" s="1049"/>
      <c r="O256" s="1049"/>
      <c r="P256" s="1049"/>
      <c r="Q256" s="716"/>
      <c r="R256" s="782"/>
      <c r="S256" s="458"/>
    </row>
    <row r="257" spans="1:30" ht="15" customHeight="1" x14ac:dyDescent="0.25">
      <c r="B257" s="458"/>
      <c r="C257" s="64"/>
      <c r="D257" s="1250" t="s">
        <v>73</v>
      </c>
      <c r="E257" s="1049"/>
      <c r="F257" s="1163" t="s">
        <v>73</v>
      </c>
      <c r="G257" s="1049"/>
      <c r="H257" s="1049"/>
      <c r="I257" s="1163" t="s">
        <v>73</v>
      </c>
      <c r="J257" s="1049"/>
      <c r="K257" s="1049"/>
      <c r="L257" s="1163" t="s">
        <v>73</v>
      </c>
      <c r="M257" s="1049"/>
      <c r="N257" s="1049"/>
      <c r="O257" s="1049"/>
      <c r="P257" s="1049"/>
      <c r="Q257" s="698" t="s">
        <v>73</v>
      </c>
      <c r="R257" s="782"/>
      <c r="S257" s="458"/>
    </row>
    <row r="258" spans="1:30" s="51" customFormat="1" ht="12.75" customHeight="1" x14ac:dyDescent="0.25">
      <c r="A258" s="123"/>
      <c r="B258" s="458"/>
      <c r="D258" s="1153" t="str">
        <f>Translations!$B$1139</f>
        <v>If required, you may add further rows above the "end" markers by inserting rows above this one. This is best done by inserting a copied row.</v>
      </c>
      <c r="E258" s="1153"/>
      <c r="F258" s="1153"/>
      <c r="G258" s="1153"/>
      <c r="H258" s="1153"/>
      <c r="I258" s="1153"/>
      <c r="J258" s="1153"/>
      <c r="K258" s="1153"/>
      <c r="L258" s="75"/>
      <c r="M258" s="75"/>
      <c r="N258" s="65"/>
      <c r="S258" s="458"/>
      <c r="U258" s="124"/>
      <c r="V258" s="123"/>
      <c r="W258" s="123"/>
      <c r="X258" s="123"/>
      <c r="Y258" s="123"/>
      <c r="Z258" s="123"/>
      <c r="AA258" s="123"/>
      <c r="AB258" s="123"/>
      <c r="AC258" s="123"/>
      <c r="AD258" s="123"/>
    </row>
    <row r="259" spans="1:30" s="51" customFormat="1" ht="12.75" customHeight="1" x14ac:dyDescent="0.25">
      <c r="A259" s="123"/>
      <c r="B259" s="458"/>
      <c r="D259" s="75"/>
      <c r="E259" s="75"/>
      <c r="F259" s="75"/>
      <c r="G259" s="75"/>
      <c r="H259" s="75"/>
      <c r="I259" s="75"/>
      <c r="J259" s="75"/>
      <c r="K259" s="75"/>
      <c r="L259" s="75"/>
      <c r="M259" s="75"/>
      <c r="N259" s="65"/>
      <c r="S259" s="458"/>
      <c r="U259" s="124"/>
      <c r="V259" s="123"/>
      <c r="W259" s="123"/>
      <c r="X259" s="123"/>
      <c r="Y259" s="123"/>
      <c r="Z259" s="123"/>
      <c r="AA259" s="123"/>
      <c r="AB259" s="123"/>
      <c r="AC259" s="123"/>
      <c r="AD259" s="123"/>
    </row>
    <row r="260" spans="1:30" s="51" customFormat="1" ht="12.75" customHeight="1" x14ac:dyDescent="0.25">
      <c r="A260" s="123"/>
      <c r="B260" s="458"/>
      <c r="C260" s="57" t="s">
        <v>26</v>
      </c>
      <c r="D260" s="1134" t="str">
        <f>Translations!$B$1276</f>
        <v>Percentage of EU/CH ETS flights for which data gaps occurred (rounded to nearest 0.1%)</v>
      </c>
      <c r="E260" s="1054"/>
      <c r="F260" s="1054"/>
      <c r="G260" s="1054"/>
      <c r="H260" s="1054"/>
      <c r="I260" s="1054"/>
      <c r="J260" s="1054"/>
      <c r="K260" s="341"/>
      <c r="L260" s="75"/>
      <c r="M260" s="75"/>
      <c r="N260" s="65"/>
      <c r="S260" s="458"/>
      <c r="U260" s="124"/>
      <c r="V260" s="123"/>
      <c r="W260" s="123"/>
      <c r="X260" s="123"/>
      <c r="Y260" s="123"/>
      <c r="Z260" s="123"/>
      <c r="AA260" s="123"/>
      <c r="AB260" s="123"/>
      <c r="AC260" s="123"/>
      <c r="AD260" s="123"/>
    </row>
    <row r="261" spans="1:30" s="51" customFormat="1" ht="12.75" customHeight="1" x14ac:dyDescent="0.25">
      <c r="A261" s="123"/>
      <c r="D261" s="75"/>
      <c r="E261" s="75"/>
      <c r="F261" s="75"/>
      <c r="G261" s="75"/>
      <c r="H261" s="75"/>
      <c r="I261" s="75"/>
      <c r="J261" s="75"/>
      <c r="K261" s="75"/>
      <c r="L261" s="75"/>
      <c r="M261" s="75"/>
      <c r="N261" s="65"/>
      <c r="S261" s="75"/>
      <c r="U261" s="124"/>
      <c r="V261" s="123"/>
      <c r="W261" s="123"/>
      <c r="X261" s="123"/>
      <c r="Y261" s="123"/>
      <c r="Z261" s="123"/>
      <c r="AA261" s="123"/>
      <c r="AB261" s="123"/>
      <c r="AC261" s="123"/>
      <c r="AD261" s="123"/>
    </row>
    <row r="262" spans="1:30" s="51" customFormat="1" ht="5.15" hidden="1" customHeight="1" x14ac:dyDescent="0.25">
      <c r="A262" s="123"/>
      <c r="B262" s="342"/>
      <c r="C262" s="342"/>
      <c r="D262" s="343"/>
      <c r="E262" s="344"/>
      <c r="F262" s="344"/>
      <c r="G262" s="344"/>
      <c r="H262" s="344"/>
      <c r="I262" s="344"/>
      <c r="J262" s="344"/>
      <c r="K262" s="344"/>
      <c r="L262" s="344"/>
      <c r="M262" s="344"/>
      <c r="N262" s="344"/>
      <c r="O262" s="344"/>
      <c r="P262" s="344"/>
      <c r="Q262" s="344"/>
      <c r="R262" s="344"/>
      <c r="S262" s="343"/>
      <c r="U262" s="124"/>
      <c r="V262" s="123"/>
      <c r="W262" s="123"/>
      <c r="X262" s="123"/>
      <c r="Y262" s="123"/>
      <c r="Z262" s="123"/>
      <c r="AA262" s="123"/>
      <c r="AB262" s="123"/>
      <c r="AC262" s="123"/>
      <c r="AD262" s="123"/>
    </row>
    <row r="263" spans="1:30" s="51" customFormat="1" ht="25.5" hidden="1" customHeight="1" x14ac:dyDescent="0.25">
      <c r="A263" s="123"/>
      <c r="B263" s="342"/>
      <c r="C263" s="57" t="s">
        <v>27</v>
      </c>
      <c r="D263" s="1134" t="str">
        <f>Translations!$B$1141</f>
        <v>Percentage of international (CORSIA) flights for which data gaps occurred (rounded to nearest 0.1%)</v>
      </c>
      <c r="E263" s="1054"/>
      <c r="F263" s="1054"/>
      <c r="G263" s="1054"/>
      <c r="H263" s="1054"/>
      <c r="I263" s="1054"/>
      <c r="J263" s="1054"/>
      <c r="K263" s="341"/>
      <c r="L263" s="299"/>
      <c r="M263" s="299"/>
      <c r="N263" s="299"/>
      <c r="O263" s="299"/>
      <c r="P263" s="299"/>
      <c r="Q263" s="299"/>
      <c r="R263" s="299"/>
      <c r="S263" s="343"/>
      <c r="U263" s="124"/>
      <c r="V263" s="123"/>
      <c r="W263" s="123"/>
      <c r="X263" s="123"/>
      <c r="Y263" s="123"/>
      <c r="Z263" s="123"/>
      <c r="AA263" s="123"/>
      <c r="AB263" s="123"/>
      <c r="AC263" s="123"/>
      <c r="AD263" s="123"/>
    </row>
    <row r="264" spans="1:30" s="51" customFormat="1" ht="26.15" hidden="1" customHeight="1" x14ac:dyDescent="0.25">
      <c r="A264" s="123"/>
      <c r="B264" s="342"/>
      <c r="D264" s="1153" t="str">
        <f>Translations!$B$1277</f>
        <v>Note: If unclear in the table above, whether data gaps apply to EU ETS, CH ETS, CORSIA, or more than one data set, please add relevant information in the table, e.g. by specifying it in the "type" column.</v>
      </c>
      <c r="E264" s="1034"/>
      <c r="F264" s="1034"/>
      <c r="G264" s="1034"/>
      <c r="H264" s="1034"/>
      <c r="I264" s="1034"/>
      <c r="J264" s="1034"/>
      <c r="K264" s="1034"/>
      <c r="L264" s="299"/>
      <c r="M264" s="299"/>
      <c r="N264" s="299"/>
      <c r="O264" s="299"/>
      <c r="P264" s="299"/>
      <c r="Q264" s="299"/>
      <c r="R264" s="299"/>
      <c r="S264" s="343"/>
      <c r="U264" s="124"/>
      <c r="V264" s="123"/>
      <c r="W264" s="123"/>
      <c r="X264" s="123"/>
      <c r="Y264" s="123"/>
      <c r="Z264" s="123"/>
      <c r="AA264" s="123"/>
      <c r="AB264" s="123"/>
      <c r="AC264" s="123"/>
      <c r="AD264" s="123"/>
    </row>
    <row r="265" spans="1:30" s="51" customFormat="1" ht="5.15" hidden="1" customHeight="1" x14ac:dyDescent="0.25">
      <c r="A265" s="123"/>
      <c r="B265" s="342"/>
      <c r="C265" s="342"/>
      <c r="D265" s="343"/>
      <c r="E265" s="344"/>
      <c r="F265" s="344"/>
      <c r="G265" s="344"/>
      <c r="H265" s="344"/>
      <c r="I265" s="344"/>
      <c r="J265" s="344"/>
      <c r="K265" s="344"/>
      <c r="L265" s="344"/>
      <c r="M265" s="344"/>
      <c r="N265" s="344"/>
      <c r="O265" s="344"/>
      <c r="P265" s="344"/>
      <c r="Q265" s="344"/>
      <c r="R265" s="344"/>
      <c r="S265" s="343"/>
      <c r="U265" s="124"/>
      <c r="V265" s="123"/>
      <c r="W265" s="123"/>
      <c r="X265" s="123"/>
      <c r="Y265" s="123"/>
      <c r="Z265" s="123"/>
      <c r="AA265" s="123"/>
      <c r="AB265" s="123"/>
      <c r="AC265" s="123"/>
      <c r="AD265" s="123"/>
    </row>
    <row r="266" spans="1:30" s="51" customFormat="1" ht="12.75" customHeight="1" x14ac:dyDescent="0.25">
      <c r="A266" s="123"/>
      <c r="D266" s="75"/>
      <c r="E266" s="75"/>
      <c r="F266" s="75"/>
      <c r="G266" s="75"/>
      <c r="H266" s="75"/>
      <c r="I266" s="75"/>
      <c r="J266" s="75"/>
      <c r="K266" s="75"/>
      <c r="L266" s="75"/>
      <c r="M266" s="75"/>
      <c r="N266" s="65"/>
      <c r="U266" s="124"/>
      <c r="V266" s="123"/>
      <c r="W266" s="123"/>
      <c r="X266" s="123"/>
      <c r="Y266" s="123"/>
      <c r="Z266" s="123"/>
      <c r="AA266" s="123"/>
      <c r="AB266" s="123"/>
      <c r="AC266" s="123"/>
      <c r="AD266" s="123"/>
    </row>
    <row r="268" spans="1:30" x14ac:dyDescent="0.25">
      <c r="D268" s="1249" t="str">
        <f>Translations!$B$974</f>
        <v>&lt;&lt;&lt; Click here to proceed to section 8 "Detailed emission data" &gt;&gt;&gt;</v>
      </c>
      <c r="E268" s="1249"/>
      <c r="F268" s="1249"/>
      <c r="G268" s="1249"/>
      <c r="H268" s="1249"/>
    </row>
  </sheetData>
  <sheetProtection sheet="1" formatCells="0" formatColumns="0" formatRows="0" insertColumns="0" insertRows="0"/>
  <mergeCells count="344">
    <mergeCell ref="D5:R5"/>
    <mergeCell ref="D19:R19"/>
    <mergeCell ref="D191:R191"/>
    <mergeCell ref="D232:R232"/>
    <mergeCell ref="D113:Q113"/>
    <mergeCell ref="D114:Q114"/>
    <mergeCell ref="G41:O41"/>
    <mergeCell ref="G42:O42"/>
    <mergeCell ref="G43:O43"/>
    <mergeCell ref="G44:O44"/>
    <mergeCell ref="G45:O45"/>
    <mergeCell ref="D42:E42"/>
    <mergeCell ref="D43:E43"/>
    <mergeCell ref="E119:F119"/>
    <mergeCell ref="E121:F121"/>
    <mergeCell ref="E116:F116"/>
    <mergeCell ref="E117:F117"/>
    <mergeCell ref="E120:F120"/>
    <mergeCell ref="E69:F69"/>
    <mergeCell ref="D48:E48"/>
    <mergeCell ref="D50:E50"/>
    <mergeCell ref="E99:F99"/>
    <mergeCell ref="E163:F163"/>
    <mergeCell ref="D153:Q153"/>
    <mergeCell ref="J212:K212"/>
    <mergeCell ref="D207:K207"/>
    <mergeCell ref="H205:K205"/>
    <mergeCell ref="E174:F174"/>
    <mergeCell ref="D178:K178"/>
    <mergeCell ref="D208:Q208"/>
    <mergeCell ref="I197:K197"/>
    <mergeCell ref="D177:I177"/>
    <mergeCell ref="D180:J180"/>
    <mergeCell ref="D209:I209"/>
    <mergeCell ref="D210:I210"/>
    <mergeCell ref="E164:F164"/>
    <mergeCell ref="E165:F165"/>
    <mergeCell ref="E166:F166"/>
    <mergeCell ref="E167:F167"/>
    <mergeCell ref="E168:F168"/>
    <mergeCell ref="E169:F169"/>
    <mergeCell ref="F256:H256"/>
    <mergeCell ref="F257:H257"/>
    <mergeCell ref="I250:K250"/>
    <mergeCell ref="I251:K251"/>
    <mergeCell ref="E156:F156"/>
    <mergeCell ref="E157:F157"/>
    <mergeCell ref="E158:F158"/>
    <mergeCell ref="E159:F159"/>
    <mergeCell ref="E160:F160"/>
    <mergeCell ref="E161:F161"/>
    <mergeCell ref="E162:F162"/>
    <mergeCell ref="E84:F84"/>
    <mergeCell ref="E85:F85"/>
    <mergeCell ref="E83:F83"/>
    <mergeCell ref="G90:I90"/>
    <mergeCell ref="D268:H268"/>
    <mergeCell ref="D247:E247"/>
    <mergeCell ref="D248:E248"/>
    <mergeCell ref="D249:E249"/>
    <mergeCell ref="D264:K264"/>
    <mergeCell ref="D260:J260"/>
    <mergeCell ref="D258:K258"/>
    <mergeCell ref="D263:J263"/>
    <mergeCell ref="D250:E250"/>
    <mergeCell ref="D251:E251"/>
    <mergeCell ref="D252:E252"/>
    <mergeCell ref="D253:E253"/>
    <mergeCell ref="I252:K252"/>
    <mergeCell ref="I253:K253"/>
    <mergeCell ref="D254:E254"/>
    <mergeCell ref="D255:E255"/>
    <mergeCell ref="D256:E256"/>
    <mergeCell ref="D257:E257"/>
    <mergeCell ref="F254:H254"/>
    <mergeCell ref="F255:H255"/>
    <mergeCell ref="H72:I72"/>
    <mergeCell ref="H73:I73"/>
    <mergeCell ref="H74:I74"/>
    <mergeCell ref="D22:J22"/>
    <mergeCell ref="D24:J24"/>
    <mergeCell ref="D26:J26"/>
    <mergeCell ref="D37:E37"/>
    <mergeCell ref="G37:O37"/>
    <mergeCell ref="F32:Q32"/>
    <mergeCell ref="D30:Q30"/>
    <mergeCell ref="D38:E38"/>
    <mergeCell ref="D44:E44"/>
    <mergeCell ref="E71:F71"/>
    <mergeCell ref="E72:F72"/>
    <mergeCell ref="E73:F73"/>
    <mergeCell ref="E74:F74"/>
    <mergeCell ref="C3:S3"/>
    <mergeCell ref="E131:F131"/>
    <mergeCell ref="E132:F132"/>
    <mergeCell ref="E134:F134"/>
    <mergeCell ref="E155:F155"/>
    <mergeCell ref="E86:F86"/>
    <mergeCell ref="E87:F87"/>
    <mergeCell ref="E95:F95"/>
    <mergeCell ref="D152:K152"/>
    <mergeCell ref="E118:F118"/>
    <mergeCell ref="E123:F123"/>
    <mergeCell ref="E124:F124"/>
    <mergeCell ref="E133:F133"/>
    <mergeCell ref="D109:E109"/>
    <mergeCell ref="G98:I98"/>
    <mergeCell ref="E96:F96"/>
    <mergeCell ref="E125:F125"/>
    <mergeCell ref="E126:F126"/>
    <mergeCell ref="D139:K139"/>
    <mergeCell ref="D138:I138"/>
    <mergeCell ref="D141:J141"/>
    <mergeCell ref="E127:F127"/>
    <mergeCell ref="E128:F128"/>
    <mergeCell ref="E129:F129"/>
    <mergeCell ref="D79:Q79"/>
    <mergeCell ref="J71:K71"/>
    <mergeCell ref="J72:K72"/>
    <mergeCell ref="J73:K73"/>
    <mergeCell ref="J83:O83"/>
    <mergeCell ref="D7:H7"/>
    <mergeCell ref="D9:H9"/>
    <mergeCell ref="D11:K11"/>
    <mergeCell ref="D6:Q6"/>
    <mergeCell ref="D20:Q20"/>
    <mergeCell ref="D36:E36"/>
    <mergeCell ref="I7:M7"/>
    <mergeCell ref="I9:M9"/>
    <mergeCell ref="I12:M12"/>
    <mergeCell ref="D15:M15"/>
    <mergeCell ref="D16:M16"/>
    <mergeCell ref="D17:M17"/>
    <mergeCell ref="L22:M22"/>
    <mergeCell ref="L24:M24"/>
    <mergeCell ref="L26:M26"/>
    <mergeCell ref="D21:J21"/>
    <mergeCell ref="D14:M14"/>
    <mergeCell ref="D34:Q34"/>
    <mergeCell ref="J69:K69"/>
    <mergeCell ref="D142:H142"/>
    <mergeCell ref="D51:E51"/>
    <mergeCell ref="D39:E39"/>
    <mergeCell ref="D40:E40"/>
    <mergeCell ref="D41:E41"/>
    <mergeCell ref="E70:F70"/>
    <mergeCell ref="D52:E52"/>
    <mergeCell ref="E56:F56"/>
    <mergeCell ref="E61:F61"/>
    <mergeCell ref="E59:F59"/>
    <mergeCell ref="E58:F58"/>
    <mergeCell ref="E57:F57"/>
    <mergeCell ref="E66:F66"/>
    <mergeCell ref="E65:F65"/>
    <mergeCell ref="D76:K76"/>
    <mergeCell ref="E67:F67"/>
    <mergeCell ref="D102:M102"/>
    <mergeCell ref="D106:E106"/>
    <mergeCell ref="G84:I84"/>
    <mergeCell ref="G85:I85"/>
    <mergeCell ref="G86:I86"/>
    <mergeCell ref="G87:I87"/>
    <mergeCell ref="G88:I88"/>
    <mergeCell ref="G89:I89"/>
    <mergeCell ref="E93:F93"/>
    <mergeCell ref="E94:F94"/>
    <mergeCell ref="D110:E110"/>
    <mergeCell ref="E122:F122"/>
    <mergeCell ref="D108:E108"/>
    <mergeCell ref="D100:M100"/>
    <mergeCell ref="E97:F97"/>
    <mergeCell ref="E98:F98"/>
    <mergeCell ref="G91:I91"/>
    <mergeCell ref="G92:I92"/>
    <mergeCell ref="G93:I93"/>
    <mergeCell ref="J92:O92"/>
    <mergeCell ref="G95:I95"/>
    <mergeCell ref="G96:I96"/>
    <mergeCell ref="E91:F91"/>
    <mergeCell ref="J93:O93"/>
    <mergeCell ref="J91:O91"/>
    <mergeCell ref="G94:I94"/>
    <mergeCell ref="E92:F92"/>
    <mergeCell ref="D136:K136"/>
    <mergeCell ref="E135:F135"/>
    <mergeCell ref="J98:O98"/>
    <mergeCell ref="J99:O99"/>
    <mergeCell ref="J94:O94"/>
    <mergeCell ref="J95:O95"/>
    <mergeCell ref="J96:O96"/>
    <mergeCell ref="J97:O97"/>
    <mergeCell ref="D104:Q104"/>
    <mergeCell ref="D105:Q105"/>
    <mergeCell ref="D111:E111"/>
    <mergeCell ref="F111:Q111"/>
    <mergeCell ref="F106:Q106"/>
    <mergeCell ref="F107:Q107"/>
    <mergeCell ref="F108:Q108"/>
    <mergeCell ref="F109:Q109"/>
    <mergeCell ref="F110:Q110"/>
    <mergeCell ref="D103:Q103"/>
    <mergeCell ref="G99:I99"/>
    <mergeCell ref="G97:I97"/>
    <mergeCell ref="D107:E107"/>
    <mergeCell ref="E130:F130"/>
    <mergeCell ref="E170:F170"/>
    <mergeCell ref="E171:F171"/>
    <mergeCell ref="E172:F172"/>
    <mergeCell ref="D192:Q192"/>
    <mergeCell ref="D193:Q193"/>
    <mergeCell ref="D194:Q194"/>
    <mergeCell ref="D195:Q195"/>
    <mergeCell ref="D196:Q196"/>
    <mergeCell ref="D199:Q199"/>
    <mergeCell ref="E173:F173"/>
    <mergeCell ref="D200:Q200"/>
    <mergeCell ref="D181:H181"/>
    <mergeCell ref="J74:K74"/>
    <mergeCell ref="H56:I56"/>
    <mergeCell ref="H57:I57"/>
    <mergeCell ref="H58:I58"/>
    <mergeCell ref="H59:I59"/>
    <mergeCell ref="H60:I60"/>
    <mergeCell ref="E63:F63"/>
    <mergeCell ref="H67:I67"/>
    <mergeCell ref="H68:I68"/>
    <mergeCell ref="H69:I69"/>
    <mergeCell ref="H70:I70"/>
    <mergeCell ref="H71:I71"/>
    <mergeCell ref="J59:K59"/>
    <mergeCell ref="J60:K60"/>
    <mergeCell ref="J61:K61"/>
    <mergeCell ref="J62:K62"/>
    <mergeCell ref="J63:K63"/>
    <mergeCell ref="J64:K64"/>
    <mergeCell ref="J65:K65"/>
    <mergeCell ref="J66:K66"/>
    <mergeCell ref="J67:K67"/>
    <mergeCell ref="J68:K68"/>
    <mergeCell ref="J70:K70"/>
    <mergeCell ref="D28:Q28"/>
    <mergeCell ref="D29:Q29"/>
    <mergeCell ref="D31:E31"/>
    <mergeCell ref="D32:E32"/>
    <mergeCell ref="F31:Q31"/>
    <mergeCell ref="H61:I61"/>
    <mergeCell ref="H62:I62"/>
    <mergeCell ref="H63:I63"/>
    <mergeCell ref="G46:O46"/>
    <mergeCell ref="G47:O47"/>
    <mergeCell ref="G48:O48"/>
    <mergeCell ref="G49:O49"/>
    <mergeCell ref="D49:E49"/>
    <mergeCell ref="G50:O50"/>
    <mergeCell ref="G51:O51"/>
    <mergeCell ref="G52:O52"/>
    <mergeCell ref="G38:O38"/>
    <mergeCell ref="G39:O39"/>
    <mergeCell ref="G40:O40"/>
    <mergeCell ref="E60:F60"/>
    <mergeCell ref="H66:I66"/>
    <mergeCell ref="E68:F68"/>
    <mergeCell ref="E90:F90"/>
    <mergeCell ref="J87:O87"/>
    <mergeCell ref="J88:O88"/>
    <mergeCell ref="J89:O89"/>
    <mergeCell ref="J90:O90"/>
    <mergeCell ref="D54:Q54"/>
    <mergeCell ref="E88:F88"/>
    <mergeCell ref="E89:F89"/>
    <mergeCell ref="D45:E45"/>
    <mergeCell ref="D46:E46"/>
    <mergeCell ref="D47:E47"/>
    <mergeCell ref="E62:F62"/>
    <mergeCell ref="E64:F64"/>
    <mergeCell ref="G83:I83"/>
    <mergeCell ref="J56:K56"/>
    <mergeCell ref="J57:K57"/>
    <mergeCell ref="J58:K58"/>
    <mergeCell ref="D80:Q80"/>
    <mergeCell ref="D81:Q81"/>
    <mergeCell ref="J84:O84"/>
    <mergeCell ref="J85:O85"/>
    <mergeCell ref="J86:O86"/>
    <mergeCell ref="H64:I64"/>
    <mergeCell ref="H65:I65"/>
    <mergeCell ref="F247:H247"/>
    <mergeCell ref="F248:H248"/>
    <mergeCell ref="F249:H249"/>
    <mergeCell ref="F250:H250"/>
    <mergeCell ref="F251:H251"/>
    <mergeCell ref="F252:H252"/>
    <mergeCell ref="F253:H253"/>
    <mergeCell ref="D237:Q237"/>
    <mergeCell ref="D238:Q238"/>
    <mergeCell ref="D239:E239"/>
    <mergeCell ref="D240:E240"/>
    <mergeCell ref="D241:E241"/>
    <mergeCell ref="D242:E242"/>
    <mergeCell ref="D243:E243"/>
    <mergeCell ref="F239:Q239"/>
    <mergeCell ref="F240:Q240"/>
    <mergeCell ref="F241:Q241"/>
    <mergeCell ref="F242:Q242"/>
    <mergeCell ref="F243:Q243"/>
    <mergeCell ref="D245:E245"/>
    <mergeCell ref="D246:E246"/>
    <mergeCell ref="F245:H245"/>
    <mergeCell ref="F246:H246"/>
    <mergeCell ref="I254:K254"/>
    <mergeCell ref="I255:K255"/>
    <mergeCell ref="I256:K256"/>
    <mergeCell ref="I257:K257"/>
    <mergeCell ref="L245:P245"/>
    <mergeCell ref="L246:P246"/>
    <mergeCell ref="L247:P247"/>
    <mergeCell ref="L248:P248"/>
    <mergeCell ref="L249:P249"/>
    <mergeCell ref="L250:P250"/>
    <mergeCell ref="L251:P251"/>
    <mergeCell ref="L252:P252"/>
    <mergeCell ref="L253:P253"/>
    <mergeCell ref="L254:P254"/>
    <mergeCell ref="L255:P255"/>
    <mergeCell ref="L256:P256"/>
    <mergeCell ref="L257:P257"/>
    <mergeCell ref="I245:K245"/>
    <mergeCell ref="I246:K246"/>
    <mergeCell ref="I247:K247"/>
    <mergeCell ref="I248:K248"/>
    <mergeCell ref="I249:K249"/>
    <mergeCell ref="D213:Q213"/>
    <mergeCell ref="D214:Q214"/>
    <mergeCell ref="D215:Q215"/>
    <mergeCell ref="D222:Q222"/>
    <mergeCell ref="D233:Q233"/>
    <mergeCell ref="D234:Q234"/>
    <mergeCell ref="D235:Q235"/>
    <mergeCell ref="D236:Q236"/>
    <mergeCell ref="J226:K226"/>
    <mergeCell ref="J228:K228"/>
    <mergeCell ref="D224:J224"/>
    <mergeCell ref="J219:K219"/>
    <mergeCell ref="J217:K217"/>
  </mergeCells>
  <conditionalFormatting sqref="C28:R148">
    <cfRule type="expression" dxfId="32" priority="2">
      <formula>CONTR_onlyCORSIA=TRUE</formula>
    </cfRule>
  </conditionalFormatting>
  <conditionalFormatting sqref="C151:R187">
    <cfRule type="expression" dxfId="31" priority="7">
      <formula>CONTR_onlyCORSIA=TRUE</formula>
    </cfRule>
  </conditionalFormatting>
  <conditionalFormatting sqref="C222:R229 C263:R264">
    <cfRule type="expression" dxfId="30" priority="15">
      <formula>CONTR_CORSIAapplied=FALSE</formula>
    </cfRule>
  </conditionalFormatting>
  <conditionalFormatting sqref="D219">
    <cfRule type="expression" dxfId="29" priority="20">
      <formula>$U$217=TRUE</formula>
    </cfRule>
  </conditionalFormatting>
  <conditionalFormatting sqref="D226 D228">
    <cfRule type="expression" dxfId="28" priority="16">
      <formula>$U$224=TRUE</formula>
    </cfRule>
  </conditionalFormatting>
  <conditionalFormatting sqref="D228">
    <cfRule type="expression" dxfId="27" priority="19">
      <formula>$U$226=TRUE</formula>
    </cfRule>
  </conditionalFormatting>
  <conditionalFormatting sqref="D14:M14">
    <cfRule type="expression" dxfId="26" priority="24">
      <formula>($U$12=TRUE)</formula>
    </cfRule>
  </conditionalFormatting>
  <conditionalFormatting sqref="D15:M17">
    <cfRule type="expression" dxfId="25" priority="25">
      <formula>($U$12=TRUE)</formula>
    </cfRule>
  </conditionalFormatting>
  <conditionalFormatting sqref="D20:R26 C192:R219 C233:R260">
    <cfRule type="expression" dxfId="24" priority="14">
      <formula>CONTR_onlyCORSIA=TRUE</formula>
    </cfRule>
  </conditionalFormatting>
  <conditionalFormatting sqref="D30:R30">
    <cfRule type="expression" dxfId="23" priority="13">
      <formula>CONTR_onlyCORSIA=TRUE</formula>
    </cfRule>
  </conditionalFormatting>
  <conditionalFormatting sqref="D199:R200 D207:K207 D209:K210 D212 D213:R215 D217 D219">
    <cfRule type="expression" dxfId="22" priority="22">
      <formula>(CNTR_simplified_grey=TRUE)</formula>
    </cfRule>
  </conditionalFormatting>
  <conditionalFormatting sqref="D208:R208">
    <cfRule type="expression" dxfId="21" priority="12">
      <formula>CONTR_onlyCORSIA=TRUE</formula>
    </cfRule>
  </conditionalFormatting>
  <conditionalFormatting sqref="D222:R222 D224:J224 D226 D228">
    <cfRule type="expression" dxfId="20" priority="11">
      <formula>CONTR_CORSIAapplied=FALSE</formula>
    </cfRule>
  </conditionalFormatting>
  <conditionalFormatting sqref="G202:G204 J209:J210 J217:K217 J219:K219">
    <cfRule type="expression" dxfId="19" priority="23">
      <formula>(CNTR_simplified_grey=TRUE)</formula>
    </cfRule>
  </conditionalFormatting>
  <conditionalFormatting sqref="J219:K219">
    <cfRule type="expression" dxfId="18" priority="21">
      <formula>$U$217=TRUE</formula>
    </cfRule>
  </conditionalFormatting>
  <conditionalFormatting sqref="J226:K226 J228:K228">
    <cfRule type="expression" dxfId="17" priority="17">
      <formula>$U$224=TRUE</formula>
    </cfRule>
  </conditionalFormatting>
  <conditionalFormatting sqref="J228:K228">
    <cfRule type="expression" dxfId="16" priority="18">
      <formula>$U$226=TRUE</formula>
    </cfRule>
  </conditionalFormatting>
  <conditionalFormatting sqref="K224 J226:K226 J228:K228">
    <cfRule type="expression" dxfId="15" priority="10">
      <formula>CONTR_CORSIAapplied=FALSE</formula>
    </cfRule>
  </conditionalFormatting>
  <conditionalFormatting sqref="R120:R134">
    <cfRule type="expression" dxfId="14" priority="1">
      <formula>ABS(SUM($I120)-SUM($R120))&gt;=0.1</formula>
    </cfRule>
  </conditionalFormatting>
  <dataValidations count="7">
    <dataValidation type="list" allowBlank="1" showInputMessage="1" showErrorMessage="1" sqref="I12:K12 I197:K197 K224" xr:uid="{00000000-0002-0000-0300-000000000000}">
      <formula1>TrueFalse</formula1>
    </dataValidation>
    <dataValidation type="list" allowBlank="1" showInputMessage="1" showErrorMessage="1" sqref="J217:K217 J226:K226" xr:uid="{00000000-0002-0000-0300-000001000000}">
      <formula1>CommissionApprovedTools</formula1>
    </dataValidation>
    <dataValidation type="list" allowBlank="1" showInputMessage="1" showErrorMessage="1" sqref="H60:H74" xr:uid="{00000000-0002-0000-0300-000002000000}">
      <formula1>CNST_AltMainFuels</formula1>
    </dataValidation>
    <dataValidation type="list" allowBlank="1" showInputMessage="1" showErrorMessage="1" sqref="G60:G74" xr:uid="{00000000-0002-0000-0300-000003000000}">
      <formula1>CNST_MainFuelTypes</formula1>
    </dataValidation>
    <dataValidation type="list" allowBlank="1" showInputMessage="1" showErrorMessage="1" sqref="J60:J72" xr:uid="{00000000-0002-0000-0300-000004000000}">
      <formula1>INDIRECT(INDEX(List_AltFuels,MATCH(H60,AltFuels,0)))</formula1>
    </dataValidation>
    <dataValidation type="list" allowBlank="1" showInputMessage="1" showErrorMessage="1" sqref="N73:N74" xr:uid="{00000000-0002-0000-0300-000005000000}">
      <formula1>YesNo</formula1>
    </dataValidation>
    <dataValidation type="list" allowBlank="1" showInputMessage="1" showErrorMessage="1" sqref="O73:O74" xr:uid="{00000000-0002-0000-0300-000006000000}">
      <formula1>CNST_EligibilityLevels</formula1>
    </dataValidation>
  </dataValidations>
  <hyperlinks>
    <hyperlink ref="D268:H268" location="'Emissions Data'!A1" display="&lt;&lt;&lt; Click here to proceed to section 9 &quot;Detailed emission data&quot; &gt;&gt;&gt;" xr:uid="{00000000-0004-0000-0300-000000000000}"/>
    <hyperlink ref="D105:Q105" location="JUMP_10a" display="In order to first fill section 10a, please click here for going to sheet &quot;Annex Aerodromes&quot;." xr:uid="{00000000-0004-0000-0300-000001000000}"/>
    <hyperlink ref="R116" location="JUMP_10a" display="Attributed quantity in section 10a" xr:uid="{00000000-0004-0000-0300-000002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90"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AD197"/>
  <sheetViews>
    <sheetView showGridLines="0" topLeftCell="A134" zoomScale="110" zoomScaleNormal="110" zoomScaleSheetLayoutView="100" workbookViewId="0">
      <selection activeCell="F140" sqref="F140"/>
    </sheetView>
  </sheetViews>
  <sheetFormatPr baseColWidth="10" defaultColWidth="11.453125" defaultRowHeight="12.5" outlineLevelCol="1" x14ac:dyDescent="0.25"/>
  <cols>
    <col min="1" max="1" width="3.1796875" style="65" customWidth="1"/>
    <col min="2" max="2" width="5.453125" style="65" customWidth="1"/>
    <col min="3" max="4" width="16.54296875" style="65" customWidth="1"/>
    <col min="5" max="7" width="12.54296875" style="65" customWidth="1"/>
    <col min="8" max="22" width="12.54296875" style="65" customWidth="1" outlineLevel="1"/>
    <col min="23" max="25" width="12.54296875" style="65" customWidth="1"/>
    <col min="26" max="26" width="11.453125" style="65"/>
    <col min="27" max="28" width="3.1796875" style="65" customWidth="1"/>
    <col min="29" max="29" width="11.453125" style="65" customWidth="1"/>
    <col min="30" max="16384" width="11.453125" style="65"/>
  </cols>
  <sheetData>
    <row r="2" spans="2:30" ht="30" customHeight="1" x14ac:dyDescent="0.25">
      <c r="B2" s="1288" t="str">
        <f>Translations!$B$1143</f>
        <v>EMISSION DATA PER COUNTRY AND FUEL</v>
      </c>
      <c r="C2" s="1288"/>
      <c r="D2" s="1288"/>
      <c r="E2" s="1288"/>
      <c r="F2" s="1288"/>
      <c r="G2" s="1288"/>
      <c r="H2" s="1288"/>
      <c r="I2" s="1288"/>
      <c r="J2" s="1288"/>
      <c r="K2" s="1288"/>
      <c r="L2" s="1288"/>
      <c r="M2" s="1288"/>
      <c r="N2" s="1288"/>
      <c r="O2" s="1288"/>
      <c r="P2" s="1288"/>
      <c r="Q2" s="1288"/>
      <c r="R2" s="1288"/>
      <c r="S2" s="1288"/>
      <c r="T2" s="1288"/>
      <c r="U2" s="1288"/>
      <c r="V2" s="1288"/>
      <c r="W2" s="1288"/>
      <c r="X2" s="1288"/>
      <c r="Y2" s="1288"/>
      <c r="Z2" s="1288"/>
      <c r="AA2" s="1288"/>
    </row>
    <row r="4" spans="2:30" ht="15.5" x14ac:dyDescent="0.25">
      <c r="B4" s="1017" t="s">
        <v>0</v>
      </c>
      <c r="C4" s="1018" t="str">
        <f>Translations!$B$1039</f>
        <v>Detailed emissions data – EU ETS</v>
      </c>
      <c r="D4" s="1018"/>
      <c r="E4" s="1018"/>
      <c r="F4" s="1018"/>
      <c r="G4" s="1018"/>
      <c r="H4" s="1018"/>
      <c r="I4" s="1018"/>
      <c r="J4" s="1018"/>
      <c r="K4" s="1018"/>
      <c r="L4" s="1018"/>
      <c r="M4" s="1018"/>
      <c r="N4" s="1018"/>
      <c r="O4" s="1018"/>
      <c r="P4" s="1018"/>
      <c r="Q4" s="1018"/>
      <c r="R4" s="1018"/>
      <c r="S4" s="1018"/>
      <c r="T4" s="1018"/>
      <c r="U4" s="1018"/>
      <c r="V4" s="1018"/>
      <c r="W4" s="1018"/>
      <c r="X4" s="1018"/>
      <c r="Y4" s="1018"/>
      <c r="Z4" s="1018"/>
      <c r="AA4" s="1018"/>
      <c r="AC4" s="772"/>
    </row>
    <row r="5" spans="2:30" x14ac:dyDescent="0.25">
      <c r="AC5" s="772"/>
    </row>
    <row r="6" spans="2:30" ht="26.5" customHeight="1" x14ac:dyDescent="0.25">
      <c r="B6" s="57" t="s">
        <v>25</v>
      </c>
      <c r="C6" s="1156" t="str">
        <f>Translations!$B$1544</f>
        <v>The totals in the following table should be consistent with the result of section 5(c). The following sections (b) and (c) should be filled without any double counting of emissions between them.</v>
      </c>
      <c r="D6" s="1142"/>
      <c r="E6" s="1142"/>
      <c r="F6" s="1142"/>
      <c r="G6" s="1142"/>
      <c r="H6" s="1142"/>
      <c r="I6" s="1142"/>
      <c r="J6" s="1142"/>
      <c r="K6" s="1142"/>
      <c r="L6" s="1142"/>
      <c r="M6" s="1142"/>
      <c r="N6" s="1142"/>
      <c r="O6" s="1142"/>
      <c r="P6" s="1142"/>
      <c r="Q6" s="1142"/>
      <c r="R6" s="1142"/>
      <c r="S6" s="1142"/>
      <c r="T6" s="1142"/>
      <c r="U6" s="1142"/>
      <c r="V6" s="1142"/>
      <c r="W6" s="1142"/>
      <c r="X6" s="1142"/>
      <c r="Y6" s="1142"/>
      <c r="Z6" s="1034"/>
      <c r="AA6" s="299"/>
      <c r="AC6" s="772"/>
      <c r="AD6" s="298"/>
    </row>
    <row r="7" spans="2:30" ht="53.15" customHeight="1" x14ac:dyDescent="0.25">
      <c r="B7" s="57"/>
      <c r="C7" s="1156" t="str">
        <f>Translations!$B$1545</f>
        <v>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v>
      </c>
      <c r="D7" s="1142"/>
      <c r="E7" s="1142"/>
      <c r="F7" s="1142"/>
      <c r="G7" s="1142"/>
      <c r="H7" s="1142"/>
      <c r="I7" s="1142"/>
      <c r="J7" s="1142"/>
      <c r="K7" s="1142"/>
      <c r="L7" s="1142"/>
      <c r="M7" s="1142"/>
      <c r="N7" s="1142"/>
      <c r="O7" s="1142"/>
      <c r="P7" s="1142"/>
      <c r="Q7" s="1142"/>
      <c r="R7" s="1142"/>
      <c r="S7" s="1142"/>
      <c r="T7" s="1142"/>
      <c r="U7" s="1142"/>
      <c r="V7" s="1142"/>
      <c r="W7" s="1142"/>
      <c r="X7" s="1142"/>
      <c r="Y7" s="1142"/>
      <c r="Z7" s="1034"/>
      <c r="AA7" s="299"/>
      <c r="AC7" s="772"/>
    </row>
    <row r="8" spans="2:30" ht="13.4" customHeight="1" x14ac:dyDescent="0.25">
      <c r="B8" s="57"/>
      <c r="C8" s="1285" t="str">
        <f>Translations!$B$1546</f>
        <v>Note: Unlike in earler versions of this template, you have to enter tonnes of neat fuel consumed in this sheet, not emissions!</v>
      </c>
      <c r="D8" s="1286"/>
      <c r="E8" s="1286"/>
      <c r="F8" s="1286"/>
      <c r="G8" s="1286"/>
      <c r="H8" s="1286"/>
      <c r="I8" s="1286"/>
      <c r="J8" s="1286"/>
      <c r="K8" s="1286"/>
      <c r="L8" s="1286"/>
      <c r="M8" s="1286"/>
      <c r="N8" s="1286"/>
      <c r="O8" s="1286"/>
      <c r="P8" s="1286"/>
      <c r="Q8" s="1286"/>
      <c r="R8" s="1286"/>
      <c r="S8" s="1286"/>
      <c r="T8" s="1286"/>
      <c r="U8" s="1286"/>
      <c r="V8" s="1286"/>
      <c r="W8" s="1286"/>
      <c r="X8" s="1286"/>
      <c r="Y8" s="1286"/>
      <c r="Z8" s="1287"/>
      <c r="AA8" s="299"/>
      <c r="AC8" s="772"/>
    </row>
    <row r="9" spans="2:30" ht="26.5" customHeight="1" x14ac:dyDescent="0.25">
      <c r="B9" s="57"/>
      <c r="C9" s="1282" t="str">
        <f>Translations!$B$1547</f>
        <v>For convenient use of this sheet, if you use fewer fuels than can be defined in section 5, you may hide (not delete!) columns of undefined fuels accordingly.</v>
      </c>
      <c r="D9" s="1282"/>
      <c r="E9" s="1282"/>
      <c r="F9" s="1282"/>
      <c r="G9" s="1282"/>
      <c r="H9" s="1282"/>
      <c r="I9" s="1282"/>
      <c r="J9" s="1282"/>
      <c r="K9" s="1282"/>
      <c r="L9" s="1282"/>
      <c r="M9" s="1282"/>
      <c r="N9" s="1282"/>
      <c r="O9" s="1282"/>
      <c r="P9" s="1282"/>
      <c r="Q9" s="1282"/>
      <c r="R9" s="1282"/>
      <c r="S9" s="1282"/>
      <c r="T9" s="1282"/>
      <c r="U9" s="1282"/>
      <c r="V9" s="1282"/>
      <c r="W9" s="1282"/>
      <c r="X9" s="1282"/>
      <c r="Y9" s="1282"/>
      <c r="Z9" s="1283"/>
      <c r="AA9" s="299"/>
      <c r="AC9" s="772"/>
    </row>
    <row r="10" spans="2:30" ht="5.15" customHeight="1" thickBot="1" x14ac:dyDescent="0.3">
      <c r="AC10" s="772"/>
    </row>
    <row r="11" spans="2:30" x14ac:dyDescent="0.25">
      <c r="C11" s="138"/>
      <c r="D11" s="139"/>
      <c r="E11" s="1271" t="str">
        <f>Translations!$B$1548</f>
        <v>Used quantity of each neat fuel [tonnes]</v>
      </c>
      <c r="F11" s="1272"/>
      <c r="G11" s="1272"/>
      <c r="H11" s="1272"/>
      <c r="I11" s="1272"/>
      <c r="J11" s="1272"/>
      <c r="K11" s="1272"/>
      <c r="L11" s="1272"/>
      <c r="M11" s="1272"/>
      <c r="N11" s="1272"/>
      <c r="O11" s="1272"/>
      <c r="P11" s="1272"/>
      <c r="Q11" s="1272"/>
      <c r="R11" s="1272"/>
      <c r="S11" s="1272"/>
      <c r="T11" s="1272"/>
      <c r="U11" s="1272"/>
      <c r="V11" s="1272"/>
      <c r="W11" s="1267" t="str">
        <f>Translations!$B$1549</f>
        <v>NON ZERO-RATED EMISSIONS [t CO2]</v>
      </c>
      <c r="X11" s="1267" t="str">
        <f>Translations!$B$1550</f>
        <v>ZERO RATED EMISSIONS [t CO2]</v>
      </c>
      <c r="Y11" s="1267" t="str">
        <f>Translations!$B$1551</f>
        <v>TOTAL EMISSIONS [t CO2]</v>
      </c>
      <c r="Z11" s="1269" t="str">
        <f>Translations!$B$1026</f>
        <v>Total number of flights</v>
      </c>
      <c r="AA11" s="559"/>
      <c r="AB11" s="140"/>
      <c r="AC11" s="772"/>
    </row>
    <row r="12" spans="2:30" ht="32" thickBot="1" x14ac:dyDescent="0.3">
      <c r="C12" s="583"/>
      <c r="D12" s="584"/>
      <c r="E12" s="585" t="str">
        <f>Translations!$B$981</f>
        <v>Jet kerosene (jet A1 or 
jet A)</v>
      </c>
      <c r="F12" s="585" t="str">
        <f>Translations!$B$274</f>
        <v>Jet gasoline (Jet B)</v>
      </c>
      <c r="G12" s="585" t="str">
        <f>Translations!$B$275</f>
        <v>Aviation gasoline (AvGas)</v>
      </c>
      <c r="H12" s="586" t="str">
        <f t="shared" ref="H12:V12" si="0">H$193</f>
        <v>Fuel 4</v>
      </c>
      <c r="I12" s="586" t="str">
        <f t="shared" si="0"/>
        <v>Fuel 5</v>
      </c>
      <c r="J12" s="586" t="str">
        <f t="shared" si="0"/>
        <v>Fuel 6</v>
      </c>
      <c r="K12" s="586" t="str">
        <f t="shared" si="0"/>
        <v>Fuel 7</v>
      </c>
      <c r="L12" s="586" t="str">
        <f t="shared" si="0"/>
        <v>Fuel 8</v>
      </c>
      <c r="M12" s="586" t="str">
        <f t="shared" si="0"/>
        <v>Fuel 9</v>
      </c>
      <c r="N12" s="586" t="str">
        <f t="shared" si="0"/>
        <v>Fuel 10</v>
      </c>
      <c r="O12" s="586" t="str">
        <f t="shared" si="0"/>
        <v>Fuel 11</v>
      </c>
      <c r="P12" s="586" t="str">
        <f t="shared" si="0"/>
        <v>Fuel 12</v>
      </c>
      <c r="Q12" s="586" t="str">
        <f t="shared" si="0"/>
        <v>Fuel 13</v>
      </c>
      <c r="R12" s="586" t="str">
        <f t="shared" si="0"/>
        <v>Fuel 14</v>
      </c>
      <c r="S12" s="586" t="str">
        <f t="shared" si="0"/>
        <v>Fuel 15</v>
      </c>
      <c r="T12" s="586" t="str">
        <f t="shared" si="0"/>
        <v>Fuel 16</v>
      </c>
      <c r="U12" s="586" t="str">
        <f t="shared" si="0"/>
        <v>Fuel 17</v>
      </c>
      <c r="V12" s="586" t="str">
        <f t="shared" si="0"/>
        <v>Fuel 18</v>
      </c>
      <c r="W12" s="1289"/>
      <c r="X12" s="1289"/>
      <c r="Y12" s="1289"/>
      <c r="Z12" s="1290"/>
      <c r="AA12" s="272"/>
      <c r="AB12" s="140"/>
      <c r="AC12" s="772"/>
    </row>
    <row r="13" spans="2:30" ht="40" customHeight="1" x14ac:dyDescent="0.25">
      <c r="B13" s="119" t="s">
        <v>194</v>
      </c>
      <c r="C13" s="1277" t="str">
        <f>Translations!$B$984</f>
        <v>Total aggregated CO2 emissions from all flights relating to the reduced scope of the EU ETS Directive (= B + C)</v>
      </c>
      <c r="D13" s="1278"/>
      <c r="E13" s="593">
        <f>SUM(E14,E15)</f>
        <v>0</v>
      </c>
      <c r="F13" s="593">
        <f t="shared" ref="F13:V13" si="1">SUM(F14,F15)</f>
        <v>0</v>
      </c>
      <c r="G13" s="593">
        <f t="shared" si="1"/>
        <v>0</v>
      </c>
      <c r="H13" s="593">
        <f t="shared" si="1"/>
        <v>0</v>
      </c>
      <c r="I13" s="593">
        <f t="shared" si="1"/>
        <v>0</v>
      </c>
      <c r="J13" s="593">
        <f t="shared" si="1"/>
        <v>0</v>
      </c>
      <c r="K13" s="593">
        <f t="shared" si="1"/>
        <v>0</v>
      </c>
      <c r="L13" s="593">
        <f t="shared" si="1"/>
        <v>0</v>
      </c>
      <c r="M13" s="593">
        <f t="shared" si="1"/>
        <v>0</v>
      </c>
      <c r="N13" s="593">
        <f t="shared" si="1"/>
        <v>0</v>
      </c>
      <c r="O13" s="593">
        <f t="shared" si="1"/>
        <v>0</v>
      </c>
      <c r="P13" s="593">
        <f t="shared" si="1"/>
        <v>0</v>
      </c>
      <c r="Q13" s="593">
        <f t="shared" si="1"/>
        <v>0</v>
      </c>
      <c r="R13" s="593">
        <f t="shared" si="1"/>
        <v>0</v>
      </c>
      <c r="S13" s="593">
        <f t="shared" si="1"/>
        <v>0</v>
      </c>
      <c r="T13" s="593">
        <f t="shared" si="1"/>
        <v>0</v>
      </c>
      <c r="U13" s="593">
        <f t="shared" si="1"/>
        <v>0</v>
      </c>
      <c r="V13" s="593">
        <f t="shared" si="1"/>
        <v>0</v>
      </c>
      <c r="W13" s="587">
        <f t="shared" ref="W13" si="2">SUM(W14,W15)</f>
        <v>0</v>
      </c>
      <c r="X13" s="587">
        <f t="shared" ref="X13" si="3">SUM(X14,X15)</f>
        <v>0</v>
      </c>
      <c r="Y13" s="587">
        <f t="shared" ref="Y13" si="4">SUM(Y14,Y15)</f>
        <v>0</v>
      </c>
      <c r="Z13" s="588">
        <f t="shared" ref="Z13" si="5">SUM(Z14,Z15)</f>
        <v>0</v>
      </c>
      <c r="AA13" s="299"/>
      <c r="AB13" s="140"/>
    </row>
    <row r="14" spans="2:30" ht="40" customHeight="1" x14ac:dyDescent="0.25">
      <c r="B14" s="119" t="s">
        <v>195</v>
      </c>
      <c r="C14" s="1273" t="str">
        <f>Translations!$B$985</f>
        <v>of which departure MS is the same as arrival MS (domestic flights, =sum of section (b))</v>
      </c>
      <c r="D14" s="1274"/>
      <c r="E14" s="594">
        <f>SUM(E58)</f>
        <v>0</v>
      </c>
      <c r="F14" s="594">
        <f t="shared" ref="F14:V14" si="6">SUM(F58)</f>
        <v>0</v>
      </c>
      <c r="G14" s="594">
        <f t="shared" si="6"/>
        <v>0</v>
      </c>
      <c r="H14" s="594">
        <f t="shared" si="6"/>
        <v>0</v>
      </c>
      <c r="I14" s="594">
        <f t="shared" si="6"/>
        <v>0</v>
      </c>
      <c r="J14" s="594">
        <f t="shared" si="6"/>
        <v>0</v>
      </c>
      <c r="K14" s="594">
        <f t="shared" si="6"/>
        <v>0</v>
      </c>
      <c r="L14" s="594">
        <f t="shared" si="6"/>
        <v>0</v>
      </c>
      <c r="M14" s="594">
        <f t="shared" si="6"/>
        <v>0</v>
      </c>
      <c r="N14" s="594">
        <f t="shared" si="6"/>
        <v>0</v>
      </c>
      <c r="O14" s="594">
        <f t="shared" si="6"/>
        <v>0</v>
      </c>
      <c r="P14" s="594">
        <f t="shared" si="6"/>
        <v>0</v>
      </c>
      <c r="Q14" s="594">
        <f t="shared" si="6"/>
        <v>0</v>
      </c>
      <c r="R14" s="594">
        <f t="shared" si="6"/>
        <v>0</v>
      </c>
      <c r="S14" s="594">
        <f t="shared" si="6"/>
        <v>0</v>
      </c>
      <c r="T14" s="594">
        <f t="shared" si="6"/>
        <v>0</v>
      </c>
      <c r="U14" s="594">
        <f t="shared" si="6"/>
        <v>0</v>
      </c>
      <c r="V14" s="594">
        <f t="shared" si="6"/>
        <v>0</v>
      </c>
      <c r="W14" s="590">
        <f t="shared" ref="W14:Z14" si="7">SUM(W58)</f>
        <v>0</v>
      </c>
      <c r="X14" s="590">
        <f t="shared" si="7"/>
        <v>0</v>
      </c>
      <c r="Y14" s="590">
        <f t="shared" si="7"/>
        <v>0</v>
      </c>
      <c r="Z14" s="591">
        <f t="shared" si="7"/>
        <v>0</v>
      </c>
      <c r="AA14" s="299"/>
      <c r="AB14" s="140"/>
    </row>
    <row r="15" spans="2:30" ht="40" customHeight="1" x14ac:dyDescent="0.25">
      <c r="B15" s="119" t="s">
        <v>196</v>
      </c>
      <c r="C15" s="1273" t="str">
        <f>Translations!$B$1313</f>
        <v>of which all other intra EEA flights, and flights from EEA to Switzerland or UK</v>
      </c>
      <c r="D15" s="1274"/>
      <c r="E15" s="595">
        <f>SUM(E16,E17)</f>
        <v>0</v>
      </c>
      <c r="F15" s="595">
        <f t="shared" ref="F15:V15" si="8">SUM(F16,F17)</f>
        <v>0</v>
      </c>
      <c r="G15" s="595">
        <f t="shared" si="8"/>
        <v>0</v>
      </c>
      <c r="H15" s="595">
        <f t="shared" si="8"/>
        <v>0</v>
      </c>
      <c r="I15" s="595">
        <f t="shared" si="8"/>
        <v>0</v>
      </c>
      <c r="J15" s="595">
        <f t="shared" si="8"/>
        <v>0</v>
      </c>
      <c r="K15" s="595">
        <f t="shared" si="8"/>
        <v>0</v>
      </c>
      <c r="L15" s="595">
        <f t="shared" si="8"/>
        <v>0</v>
      </c>
      <c r="M15" s="595">
        <f t="shared" si="8"/>
        <v>0</v>
      </c>
      <c r="N15" s="595">
        <f t="shared" si="8"/>
        <v>0</v>
      </c>
      <c r="O15" s="595">
        <f t="shared" si="8"/>
        <v>0</v>
      </c>
      <c r="P15" s="595">
        <f t="shared" si="8"/>
        <v>0</v>
      </c>
      <c r="Q15" s="595">
        <f t="shared" si="8"/>
        <v>0</v>
      </c>
      <c r="R15" s="595">
        <f t="shared" si="8"/>
        <v>0</v>
      </c>
      <c r="S15" s="595">
        <f t="shared" si="8"/>
        <v>0</v>
      </c>
      <c r="T15" s="595">
        <f t="shared" si="8"/>
        <v>0</v>
      </c>
      <c r="U15" s="595">
        <f t="shared" si="8"/>
        <v>0</v>
      </c>
      <c r="V15" s="595">
        <f t="shared" si="8"/>
        <v>0</v>
      </c>
      <c r="W15" s="590">
        <f t="shared" ref="W15" si="9">SUM(W16,W17)</f>
        <v>0</v>
      </c>
      <c r="X15" s="590">
        <f t="shared" ref="X15" si="10">SUM(X16,X17)</f>
        <v>0</v>
      </c>
      <c r="Y15" s="590">
        <f t="shared" ref="Y15" si="11">SUM(Y16,Y17)</f>
        <v>0</v>
      </c>
      <c r="Z15" s="592">
        <f t="shared" ref="Z15" si="12">SUM(Z16,Z17)</f>
        <v>0</v>
      </c>
      <c r="AA15" s="299"/>
      <c r="AB15" s="140"/>
    </row>
    <row r="16" spans="2:30" ht="54.75" customHeight="1" thickBot="1" x14ac:dyDescent="0.3">
      <c r="B16" s="119" t="s">
        <v>197</v>
      </c>
      <c r="C16" s="1275" t="str">
        <f>Translations!$B$1314</f>
        <v>emissions from all flights departing from a Member State to another Member State, Switzerland or UK (=sum of section 8(c))</v>
      </c>
      <c r="D16" s="1276"/>
      <c r="E16" s="595">
        <f>SUM(E91)</f>
        <v>0</v>
      </c>
      <c r="F16" s="595">
        <f t="shared" ref="F16:V16" si="13">SUM(F91)</f>
        <v>0</v>
      </c>
      <c r="G16" s="595">
        <f t="shared" si="13"/>
        <v>0</v>
      </c>
      <c r="H16" s="595">
        <f t="shared" si="13"/>
        <v>0</v>
      </c>
      <c r="I16" s="595">
        <f t="shared" si="13"/>
        <v>0</v>
      </c>
      <c r="J16" s="595">
        <f t="shared" si="13"/>
        <v>0</v>
      </c>
      <c r="K16" s="595">
        <f t="shared" si="13"/>
        <v>0</v>
      </c>
      <c r="L16" s="595">
        <f t="shared" si="13"/>
        <v>0</v>
      </c>
      <c r="M16" s="595">
        <f t="shared" si="13"/>
        <v>0</v>
      </c>
      <c r="N16" s="595">
        <f t="shared" si="13"/>
        <v>0</v>
      </c>
      <c r="O16" s="595">
        <f t="shared" si="13"/>
        <v>0</v>
      </c>
      <c r="P16" s="595">
        <f t="shared" si="13"/>
        <v>0</v>
      </c>
      <c r="Q16" s="595">
        <f t="shared" si="13"/>
        <v>0</v>
      </c>
      <c r="R16" s="595">
        <f t="shared" si="13"/>
        <v>0</v>
      </c>
      <c r="S16" s="595">
        <f t="shared" si="13"/>
        <v>0</v>
      </c>
      <c r="T16" s="595">
        <f t="shared" si="13"/>
        <v>0</v>
      </c>
      <c r="U16" s="595">
        <f t="shared" si="13"/>
        <v>0</v>
      </c>
      <c r="V16" s="595">
        <f t="shared" si="13"/>
        <v>0</v>
      </c>
      <c r="W16" s="590">
        <f t="shared" ref="W16:Z16" si="14">SUM(W91)</f>
        <v>0</v>
      </c>
      <c r="X16" s="590">
        <f t="shared" si="14"/>
        <v>0</v>
      </c>
      <c r="Y16" s="590">
        <f t="shared" si="14"/>
        <v>0</v>
      </c>
      <c r="Z16" s="592">
        <f t="shared" si="14"/>
        <v>0</v>
      </c>
      <c r="AA16" s="299"/>
      <c r="AB16" s="140"/>
    </row>
    <row r="17" spans="1:29" ht="40" hidden="1" customHeight="1" thickBot="1" x14ac:dyDescent="0.3">
      <c r="A17" s="311"/>
      <c r="B17" s="119" t="s">
        <v>198</v>
      </c>
      <c r="C17" s="1275" t="str">
        <f>Translations!$B$988</f>
        <v>emissions from all flights arriving at a Member State from a third country (=sum of section (d))</v>
      </c>
      <c r="D17" s="1276"/>
      <c r="E17" s="726">
        <f>SUM(E123)</f>
        <v>0</v>
      </c>
      <c r="F17" s="726">
        <f t="shared" ref="F17:V17" si="15">SUM(F123)</f>
        <v>0</v>
      </c>
      <c r="G17" s="726">
        <f t="shared" si="15"/>
        <v>0</v>
      </c>
      <c r="H17" s="726">
        <f t="shared" si="15"/>
        <v>0</v>
      </c>
      <c r="I17" s="726">
        <f t="shared" si="15"/>
        <v>0</v>
      </c>
      <c r="J17" s="726">
        <f t="shared" si="15"/>
        <v>0</v>
      </c>
      <c r="K17" s="726">
        <f t="shared" si="15"/>
        <v>0</v>
      </c>
      <c r="L17" s="726">
        <f t="shared" si="15"/>
        <v>0</v>
      </c>
      <c r="M17" s="726">
        <f t="shared" si="15"/>
        <v>0</v>
      </c>
      <c r="N17" s="726">
        <f t="shared" si="15"/>
        <v>0</v>
      </c>
      <c r="O17" s="726">
        <f t="shared" si="15"/>
        <v>0</v>
      </c>
      <c r="P17" s="726">
        <f t="shared" si="15"/>
        <v>0</v>
      </c>
      <c r="Q17" s="726">
        <f t="shared" si="15"/>
        <v>0</v>
      </c>
      <c r="R17" s="726">
        <f t="shared" si="15"/>
        <v>0</v>
      </c>
      <c r="S17" s="726">
        <f t="shared" si="15"/>
        <v>0</v>
      </c>
      <c r="T17" s="726">
        <f t="shared" si="15"/>
        <v>0</v>
      </c>
      <c r="U17" s="726">
        <f t="shared" si="15"/>
        <v>0</v>
      </c>
      <c r="V17" s="726">
        <f t="shared" si="15"/>
        <v>0</v>
      </c>
      <c r="W17" s="727">
        <f t="shared" ref="W17:Z17" si="16">SUM(W123)</f>
        <v>0</v>
      </c>
      <c r="X17" s="727">
        <f t="shared" si="16"/>
        <v>0</v>
      </c>
      <c r="Y17" s="727">
        <f t="shared" si="16"/>
        <v>0</v>
      </c>
      <c r="Z17" s="728">
        <f t="shared" si="16"/>
        <v>0</v>
      </c>
      <c r="AA17" s="299"/>
      <c r="AB17" s="140"/>
      <c r="AC17" s="118" t="str">
        <f>Translations!$B$1278</f>
        <v>Hide row for reduced scope</v>
      </c>
    </row>
    <row r="18" spans="1:29" x14ac:dyDescent="0.25">
      <c r="C18" s="107" t="str">
        <f>Translations!$B$1552</f>
        <v xml:space="preserve">Please note that all figures should only refer to flights to be reported under the EU ETS, i.e. relate to the reduced scope. </v>
      </c>
      <c r="D18" s="107"/>
      <c r="E18" s="107"/>
      <c r="F18" s="107"/>
      <c r="G18" s="107"/>
      <c r="H18" s="107"/>
      <c r="I18" s="107"/>
      <c r="J18" s="107"/>
      <c r="K18" s="107"/>
      <c r="L18" s="107"/>
      <c r="M18" s="107"/>
      <c r="N18" s="107"/>
      <c r="O18" s="107"/>
      <c r="P18" s="107"/>
      <c r="Q18" s="107"/>
      <c r="R18" s="107"/>
      <c r="S18" s="107"/>
      <c r="T18" s="107"/>
      <c r="U18" s="107"/>
      <c r="V18" s="107"/>
      <c r="W18" s="107"/>
      <c r="X18" s="107"/>
      <c r="Y18" s="107"/>
      <c r="Z18" s="350"/>
      <c r="AC18" s="772"/>
    </row>
    <row r="19" spans="1:29" x14ac:dyDescent="0.25">
      <c r="C19" s="65" t="str">
        <f>Translations!$B$989</f>
        <v>Total emissions entered in section 5(c):</v>
      </c>
      <c r="F19" s="160">
        <f>INDICATOR_ETS_TotalEmissions</f>
        <v>0</v>
      </c>
      <c r="G19" s="162" t="s">
        <v>188</v>
      </c>
      <c r="AC19" s="772"/>
    </row>
    <row r="20" spans="1:29" x14ac:dyDescent="0.25">
      <c r="C20" s="65" t="str">
        <f>Translations!$B$990</f>
        <v>Difference to data given in this sheet:</v>
      </c>
      <c r="F20" s="161">
        <f>F19-ROUND(W13,0)</f>
        <v>0</v>
      </c>
      <c r="G20" s="162" t="s">
        <v>188</v>
      </c>
      <c r="AC20" s="772"/>
    </row>
    <row r="21" spans="1:29" x14ac:dyDescent="0.25">
      <c r="AC21" s="772"/>
    </row>
    <row r="22" spans="1:29" ht="12.75" customHeight="1" x14ac:dyDescent="0.25">
      <c r="B22" s="57" t="s">
        <v>26</v>
      </c>
      <c r="C22" s="1156" t="str">
        <f>Translations!$B$991</f>
        <v>Aggregated CO2 emissions from all flights of which departure Member State is the same as arrival Member State (domestic flights):</v>
      </c>
      <c r="D22" s="1142"/>
      <c r="E22" s="1142"/>
      <c r="F22" s="1142"/>
      <c r="G22" s="1142"/>
      <c r="H22" s="1142"/>
      <c r="I22" s="1142"/>
      <c r="J22" s="1142"/>
      <c r="K22" s="1142"/>
      <c r="L22" s="1142"/>
      <c r="M22" s="1142"/>
      <c r="N22" s="1142"/>
      <c r="O22" s="1142"/>
      <c r="P22" s="1142"/>
      <c r="Q22" s="1142"/>
      <c r="R22" s="1142"/>
      <c r="S22" s="1142"/>
      <c r="T22" s="1142"/>
      <c r="U22" s="1142"/>
      <c r="V22" s="1142"/>
      <c r="W22" s="1142"/>
      <c r="X22" s="1142"/>
      <c r="Y22" s="1142"/>
      <c r="Z22" s="1034"/>
      <c r="AA22" s="299"/>
      <c r="AC22" s="772"/>
    </row>
    <row r="23" spans="1:29" ht="13.4" customHeight="1" x14ac:dyDescent="0.25">
      <c r="C23" s="1152" t="str">
        <f>Translations!$B$1553</f>
        <v>Please complete the following table with the appropriate data for the reporting year. Note that the emission factors presented in section 5(b) are automatically used for calculating these emissions.</v>
      </c>
      <c r="D23" s="1034"/>
      <c r="E23" s="1034"/>
      <c r="F23" s="1034"/>
      <c r="G23" s="1034"/>
      <c r="H23" s="1034"/>
      <c r="I23" s="1034"/>
      <c r="J23" s="1034"/>
      <c r="K23" s="1034"/>
      <c r="L23" s="1034"/>
      <c r="M23" s="1034"/>
      <c r="N23" s="1034"/>
      <c r="O23" s="1034"/>
      <c r="P23" s="1034"/>
      <c r="Q23" s="1034"/>
      <c r="R23" s="1034"/>
      <c r="S23" s="1034"/>
      <c r="T23" s="1034"/>
      <c r="U23" s="1034"/>
      <c r="V23" s="1034"/>
      <c r="W23" s="1034"/>
      <c r="X23" s="1034"/>
      <c r="Y23" s="1034"/>
      <c r="Z23" s="1034"/>
      <c r="AA23" s="299"/>
      <c r="AC23" s="772"/>
    </row>
    <row r="24" spans="1:29" ht="13.4" customHeight="1" thickBot="1" x14ac:dyDescent="0.3">
      <c r="C24" s="215"/>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C24" s="772"/>
    </row>
    <row r="25" spans="1:29" ht="12.75" customHeight="1" x14ac:dyDescent="0.25">
      <c r="C25" s="132"/>
      <c r="D25" s="144"/>
      <c r="E25" s="1271" t="str">
        <f>Translations!$B$1548</f>
        <v>Used quantity of each neat fuel [tonnes]</v>
      </c>
      <c r="F25" s="1272"/>
      <c r="G25" s="1272"/>
      <c r="H25" s="1272"/>
      <c r="I25" s="1272"/>
      <c r="J25" s="1272"/>
      <c r="K25" s="1272"/>
      <c r="L25" s="1272"/>
      <c r="M25" s="1272"/>
      <c r="N25" s="1272"/>
      <c r="O25" s="1272"/>
      <c r="P25" s="1272"/>
      <c r="Q25" s="1272"/>
      <c r="R25" s="1272"/>
      <c r="S25" s="1272"/>
      <c r="T25" s="1272"/>
      <c r="U25" s="1272"/>
      <c r="V25" s="1272"/>
      <c r="W25" s="1267" t="str">
        <f>Translations!$B$1549</f>
        <v>NON ZERO-RATED EMISSIONS [t CO2]</v>
      </c>
      <c r="X25" s="1267" t="str">
        <f>Translations!$B$1550</f>
        <v>ZERO RATED EMISSIONS [t CO2]</v>
      </c>
      <c r="Y25" s="1267" t="str">
        <f>Translations!$B$1551</f>
        <v>TOTAL EMISSIONS [t CO2]</v>
      </c>
      <c r="Z25" s="1269" t="str">
        <f>Translations!$B$1026</f>
        <v>Total number of flights</v>
      </c>
      <c r="AA25" s="559"/>
      <c r="AB25" s="140"/>
      <c r="AC25" s="772"/>
    </row>
    <row r="26" spans="1:29" ht="31.5" x14ac:dyDescent="0.25">
      <c r="C26" s="1279" t="str">
        <f>Translations!$B$993</f>
        <v>Member State of departure and arrival</v>
      </c>
      <c r="D26" s="1280"/>
      <c r="E26" s="50" t="str">
        <f>Translations!$B$981</f>
        <v>Jet kerosene (jet A1 or 
jet A)</v>
      </c>
      <c r="F26" s="50" t="str">
        <f>Translations!$B$274</f>
        <v>Jet gasoline (Jet B)</v>
      </c>
      <c r="G26" s="50" t="str">
        <f>Translations!$B$275</f>
        <v>Aviation gasoline (AvGas)</v>
      </c>
      <c r="H26" s="577" t="str">
        <f t="shared" ref="H26:V26" si="17">H$193</f>
        <v>Fuel 4</v>
      </c>
      <c r="I26" s="577" t="str">
        <f t="shared" si="17"/>
        <v>Fuel 5</v>
      </c>
      <c r="J26" s="577" t="str">
        <f t="shared" si="17"/>
        <v>Fuel 6</v>
      </c>
      <c r="K26" s="577" t="str">
        <f t="shared" si="17"/>
        <v>Fuel 7</v>
      </c>
      <c r="L26" s="577" t="str">
        <f t="shared" si="17"/>
        <v>Fuel 8</v>
      </c>
      <c r="M26" s="577" t="str">
        <f t="shared" si="17"/>
        <v>Fuel 9</v>
      </c>
      <c r="N26" s="577" t="str">
        <f t="shared" si="17"/>
        <v>Fuel 10</v>
      </c>
      <c r="O26" s="577" t="str">
        <f t="shared" si="17"/>
        <v>Fuel 11</v>
      </c>
      <c r="P26" s="577" t="str">
        <f t="shared" si="17"/>
        <v>Fuel 12</v>
      </c>
      <c r="Q26" s="577" t="str">
        <f t="shared" si="17"/>
        <v>Fuel 13</v>
      </c>
      <c r="R26" s="577" t="str">
        <f t="shared" si="17"/>
        <v>Fuel 14</v>
      </c>
      <c r="S26" s="577" t="str">
        <f t="shared" si="17"/>
        <v>Fuel 15</v>
      </c>
      <c r="T26" s="577" t="str">
        <f t="shared" si="17"/>
        <v>Fuel 16</v>
      </c>
      <c r="U26" s="577" t="str">
        <f t="shared" si="17"/>
        <v>Fuel 17</v>
      </c>
      <c r="V26" s="577" t="str">
        <f t="shared" si="17"/>
        <v>Fuel 18</v>
      </c>
      <c r="W26" s="1268"/>
      <c r="X26" s="1268"/>
      <c r="Y26" s="1268"/>
      <c r="Z26" s="1270"/>
      <c r="AA26" s="272"/>
      <c r="AB26" s="140"/>
      <c r="AC26" s="772"/>
    </row>
    <row r="27" spans="1:29" x14ac:dyDescent="0.25">
      <c r="C27" s="145" t="str">
        <f>Translations!$B$369</f>
        <v>Austria</v>
      </c>
      <c r="D27" s="146"/>
      <c r="E27" s="596"/>
      <c r="F27" s="596"/>
      <c r="G27" s="596"/>
      <c r="H27" s="596"/>
      <c r="I27" s="596"/>
      <c r="J27" s="596"/>
      <c r="K27" s="596"/>
      <c r="L27" s="596"/>
      <c r="M27" s="596"/>
      <c r="N27" s="596"/>
      <c r="O27" s="596"/>
      <c r="P27" s="596"/>
      <c r="Q27" s="596"/>
      <c r="R27" s="596"/>
      <c r="S27" s="596"/>
      <c r="T27" s="596"/>
      <c r="U27" s="596"/>
      <c r="V27" s="596"/>
      <c r="W27" s="345">
        <f t="shared" ref="W27:W57" si="18">SUMPRODUCT(E27:V27,$E$196:$V$196)</f>
        <v>0</v>
      </c>
      <c r="X27" s="345">
        <f>Y27-W27</f>
        <v>0</v>
      </c>
      <c r="Y27" s="345">
        <f t="shared" ref="Y27:Y57" si="19">SUMPRODUCT(E27:V27,$E$195:$V$195)</f>
        <v>0</v>
      </c>
      <c r="Z27" s="346"/>
      <c r="AA27" s="559"/>
      <c r="AC27" s="772"/>
    </row>
    <row r="28" spans="1:29" x14ac:dyDescent="0.25">
      <c r="C28" s="145" t="str">
        <f>Translations!$B$370</f>
        <v>Belgium</v>
      </c>
      <c r="D28" s="146"/>
      <c r="E28" s="596"/>
      <c r="F28" s="596"/>
      <c r="G28" s="596"/>
      <c r="H28" s="596"/>
      <c r="I28" s="596"/>
      <c r="J28" s="596"/>
      <c r="K28" s="596"/>
      <c r="L28" s="596"/>
      <c r="M28" s="596"/>
      <c r="N28" s="596"/>
      <c r="O28" s="596"/>
      <c r="P28" s="596"/>
      <c r="Q28" s="596"/>
      <c r="R28" s="596"/>
      <c r="S28" s="596"/>
      <c r="T28" s="596"/>
      <c r="U28" s="596"/>
      <c r="V28" s="596"/>
      <c r="W28" s="345">
        <f t="shared" si="18"/>
        <v>0</v>
      </c>
      <c r="X28" s="345">
        <f t="shared" ref="X28:X57" si="20">Y28-W28</f>
        <v>0</v>
      </c>
      <c r="Y28" s="345">
        <f t="shared" si="19"/>
        <v>0</v>
      </c>
      <c r="Z28" s="346"/>
      <c r="AA28" s="559"/>
      <c r="AC28" s="772"/>
    </row>
    <row r="29" spans="1:29" x14ac:dyDescent="0.25">
      <c r="C29" s="145" t="str">
        <f>Translations!$B$371</f>
        <v>Bulgaria</v>
      </c>
      <c r="D29" s="146"/>
      <c r="E29" s="596"/>
      <c r="F29" s="596"/>
      <c r="G29" s="596"/>
      <c r="H29" s="596"/>
      <c r="I29" s="596"/>
      <c r="J29" s="596"/>
      <c r="K29" s="596"/>
      <c r="L29" s="596"/>
      <c r="M29" s="596"/>
      <c r="N29" s="596"/>
      <c r="O29" s="596"/>
      <c r="P29" s="596"/>
      <c r="Q29" s="596"/>
      <c r="R29" s="596"/>
      <c r="S29" s="596"/>
      <c r="T29" s="596"/>
      <c r="U29" s="596"/>
      <c r="V29" s="596"/>
      <c r="W29" s="345">
        <f t="shared" si="18"/>
        <v>0</v>
      </c>
      <c r="X29" s="345">
        <f t="shared" si="20"/>
        <v>0</v>
      </c>
      <c r="Y29" s="345">
        <f t="shared" si="19"/>
        <v>0</v>
      </c>
      <c r="Z29" s="346"/>
      <c r="AA29" s="559"/>
      <c r="AC29" s="772"/>
    </row>
    <row r="30" spans="1:29" x14ac:dyDescent="0.25">
      <c r="C30" s="145" t="str">
        <f>Translations!$B$372</f>
        <v>Croatia</v>
      </c>
      <c r="D30" s="146"/>
      <c r="E30" s="596"/>
      <c r="F30" s="596"/>
      <c r="G30" s="596"/>
      <c r="H30" s="596"/>
      <c r="I30" s="596"/>
      <c r="J30" s="596"/>
      <c r="K30" s="596"/>
      <c r="L30" s="596"/>
      <c r="M30" s="596"/>
      <c r="N30" s="596"/>
      <c r="O30" s="596"/>
      <c r="P30" s="596"/>
      <c r="Q30" s="596"/>
      <c r="R30" s="596"/>
      <c r="S30" s="596"/>
      <c r="T30" s="596"/>
      <c r="U30" s="596"/>
      <c r="V30" s="596"/>
      <c r="W30" s="345">
        <f t="shared" si="18"/>
        <v>0</v>
      </c>
      <c r="X30" s="345">
        <f t="shared" si="20"/>
        <v>0</v>
      </c>
      <c r="Y30" s="345">
        <f t="shared" si="19"/>
        <v>0</v>
      </c>
      <c r="Z30" s="346"/>
      <c r="AA30" s="559"/>
      <c r="AC30" s="772"/>
    </row>
    <row r="31" spans="1:29" x14ac:dyDescent="0.25">
      <c r="C31" s="145" t="str">
        <f>Translations!$B$373</f>
        <v>Cyprus</v>
      </c>
      <c r="D31" s="146"/>
      <c r="E31" s="596"/>
      <c r="F31" s="596"/>
      <c r="G31" s="596"/>
      <c r="H31" s="596"/>
      <c r="I31" s="596"/>
      <c r="J31" s="596"/>
      <c r="K31" s="596"/>
      <c r="L31" s="596"/>
      <c r="M31" s="596"/>
      <c r="N31" s="596"/>
      <c r="O31" s="596"/>
      <c r="P31" s="596"/>
      <c r="Q31" s="596"/>
      <c r="R31" s="596"/>
      <c r="S31" s="596"/>
      <c r="T31" s="596"/>
      <c r="U31" s="596"/>
      <c r="V31" s="596"/>
      <c r="W31" s="345">
        <f t="shared" si="18"/>
        <v>0</v>
      </c>
      <c r="X31" s="345">
        <f t="shared" si="20"/>
        <v>0</v>
      </c>
      <c r="Y31" s="345">
        <f t="shared" si="19"/>
        <v>0</v>
      </c>
      <c r="Z31" s="346"/>
      <c r="AA31" s="559"/>
    </row>
    <row r="32" spans="1:29" x14ac:dyDescent="0.25">
      <c r="C32" s="145" t="str">
        <f>Translations!$B$374</f>
        <v>Czechia</v>
      </c>
      <c r="D32" s="146"/>
      <c r="E32" s="596"/>
      <c r="F32" s="596"/>
      <c r="G32" s="596"/>
      <c r="H32" s="596"/>
      <c r="I32" s="596"/>
      <c r="J32" s="596"/>
      <c r="K32" s="596"/>
      <c r="L32" s="596"/>
      <c r="M32" s="596"/>
      <c r="N32" s="596"/>
      <c r="O32" s="596"/>
      <c r="P32" s="596"/>
      <c r="Q32" s="596"/>
      <c r="R32" s="596"/>
      <c r="S32" s="596"/>
      <c r="T32" s="596"/>
      <c r="U32" s="596"/>
      <c r="V32" s="596"/>
      <c r="W32" s="345">
        <f t="shared" si="18"/>
        <v>0</v>
      </c>
      <c r="X32" s="345">
        <f t="shared" si="20"/>
        <v>0</v>
      </c>
      <c r="Y32" s="345">
        <f t="shared" si="19"/>
        <v>0</v>
      </c>
      <c r="Z32" s="346"/>
      <c r="AA32" s="559"/>
    </row>
    <row r="33" spans="3:27" x14ac:dyDescent="0.25">
      <c r="C33" s="145" t="str">
        <f>Translations!$B$375</f>
        <v>Denmark</v>
      </c>
      <c r="D33" s="146"/>
      <c r="E33" s="596"/>
      <c r="F33" s="596"/>
      <c r="G33" s="596"/>
      <c r="H33" s="596"/>
      <c r="I33" s="596"/>
      <c r="J33" s="596"/>
      <c r="K33" s="596"/>
      <c r="L33" s="596"/>
      <c r="M33" s="596"/>
      <c r="N33" s="596"/>
      <c r="O33" s="596"/>
      <c r="P33" s="596"/>
      <c r="Q33" s="596"/>
      <c r="R33" s="596"/>
      <c r="S33" s="596"/>
      <c r="T33" s="596"/>
      <c r="U33" s="596"/>
      <c r="V33" s="596"/>
      <c r="W33" s="345">
        <f t="shared" si="18"/>
        <v>0</v>
      </c>
      <c r="X33" s="345">
        <f t="shared" si="20"/>
        <v>0</v>
      </c>
      <c r="Y33" s="345">
        <f t="shared" si="19"/>
        <v>0</v>
      </c>
      <c r="Z33" s="346"/>
      <c r="AA33" s="559"/>
    </row>
    <row r="34" spans="3:27" x14ac:dyDescent="0.25">
      <c r="C34" s="145" t="str">
        <f>Translations!$B$376</f>
        <v>Estonia</v>
      </c>
      <c r="D34" s="146"/>
      <c r="E34" s="596"/>
      <c r="F34" s="596"/>
      <c r="G34" s="596"/>
      <c r="H34" s="596"/>
      <c r="I34" s="596"/>
      <c r="J34" s="596"/>
      <c r="K34" s="596"/>
      <c r="L34" s="596"/>
      <c r="M34" s="596"/>
      <c r="N34" s="596"/>
      <c r="O34" s="596"/>
      <c r="P34" s="596"/>
      <c r="Q34" s="596"/>
      <c r="R34" s="596"/>
      <c r="S34" s="596"/>
      <c r="T34" s="596"/>
      <c r="U34" s="596"/>
      <c r="V34" s="596"/>
      <c r="W34" s="345">
        <f t="shared" si="18"/>
        <v>0</v>
      </c>
      <c r="X34" s="345">
        <f t="shared" si="20"/>
        <v>0</v>
      </c>
      <c r="Y34" s="345">
        <f t="shared" si="19"/>
        <v>0</v>
      </c>
      <c r="Z34" s="346"/>
      <c r="AA34" s="559"/>
    </row>
    <row r="35" spans="3:27" x14ac:dyDescent="0.25">
      <c r="C35" s="145" t="str">
        <f>Translations!$B$377</f>
        <v>Finland</v>
      </c>
      <c r="D35" s="146"/>
      <c r="E35" s="596"/>
      <c r="F35" s="596"/>
      <c r="G35" s="596"/>
      <c r="H35" s="596"/>
      <c r="I35" s="596"/>
      <c r="J35" s="596"/>
      <c r="K35" s="596"/>
      <c r="L35" s="596"/>
      <c r="M35" s="596"/>
      <c r="N35" s="596"/>
      <c r="O35" s="596"/>
      <c r="P35" s="596"/>
      <c r="Q35" s="596"/>
      <c r="R35" s="596"/>
      <c r="S35" s="596"/>
      <c r="T35" s="596"/>
      <c r="U35" s="596"/>
      <c r="V35" s="596"/>
      <c r="W35" s="345">
        <f t="shared" si="18"/>
        <v>0</v>
      </c>
      <c r="X35" s="345">
        <f t="shared" si="20"/>
        <v>0</v>
      </c>
      <c r="Y35" s="345">
        <f t="shared" si="19"/>
        <v>0</v>
      </c>
      <c r="Z35" s="346"/>
      <c r="AA35" s="559"/>
    </row>
    <row r="36" spans="3:27" x14ac:dyDescent="0.25">
      <c r="C36" s="145" t="str">
        <f>Translations!$B$378</f>
        <v>France</v>
      </c>
      <c r="D36" s="146"/>
      <c r="E36" s="596"/>
      <c r="F36" s="596"/>
      <c r="G36" s="596"/>
      <c r="H36" s="596"/>
      <c r="I36" s="596"/>
      <c r="J36" s="596"/>
      <c r="K36" s="596"/>
      <c r="L36" s="596"/>
      <c r="M36" s="596"/>
      <c r="N36" s="596"/>
      <c r="O36" s="596"/>
      <c r="P36" s="596"/>
      <c r="Q36" s="596"/>
      <c r="R36" s="596"/>
      <c r="S36" s="596"/>
      <c r="T36" s="596"/>
      <c r="U36" s="596"/>
      <c r="V36" s="596"/>
      <c r="W36" s="345">
        <f t="shared" si="18"/>
        <v>0</v>
      </c>
      <c r="X36" s="345">
        <f t="shared" si="20"/>
        <v>0</v>
      </c>
      <c r="Y36" s="345">
        <f t="shared" si="19"/>
        <v>0</v>
      </c>
      <c r="Z36" s="346"/>
      <c r="AA36" s="559"/>
    </row>
    <row r="37" spans="3:27" x14ac:dyDescent="0.25">
      <c r="C37" s="145" t="str">
        <f>Translations!$B$379</f>
        <v>Germany</v>
      </c>
      <c r="D37" s="146"/>
      <c r="E37" s="596"/>
      <c r="F37" s="596"/>
      <c r="G37" s="596"/>
      <c r="H37" s="596"/>
      <c r="I37" s="596"/>
      <c r="J37" s="596"/>
      <c r="K37" s="596"/>
      <c r="L37" s="596"/>
      <c r="M37" s="596"/>
      <c r="N37" s="596"/>
      <c r="O37" s="596"/>
      <c r="P37" s="596"/>
      <c r="Q37" s="596"/>
      <c r="R37" s="596"/>
      <c r="S37" s="596"/>
      <c r="T37" s="596"/>
      <c r="U37" s="596"/>
      <c r="V37" s="596"/>
      <c r="W37" s="345">
        <f t="shared" si="18"/>
        <v>0</v>
      </c>
      <c r="X37" s="345">
        <f t="shared" si="20"/>
        <v>0</v>
      </c>
      <c r="Y37" s="345">
        <f t="shared" si="19"/>
        <v>0</v>
      </c>
      <c r="Z37" s="346"/>
      <c r="AA37" s="559"/>
    </row>
    <row r="38" spans="3:27" x14ac:dyDescent="0.25">
      <c r="C38" s="145" t="str">
        <f>Translations!$B$380</f>
        <v>Greece</v>
      </c>
      <c r="D38" s="146"/>
      <c r="E38" s="596"/>
      <c r="F38" s="596"/>
      <c r="G38" s="596"/>
      <c r="H38" s="596"/>
      <c r="I38" s="596"/>
      <c r="J38" s="596"/>
      <c r="K38" s="596"/>
      <c r="L38" s="596"/>
      <c r="M38" s="596"/>
      <c r="N38" s="596"/>
      <c r="O38" s="596"/>
      <c r="P38" s="596"/>
      <c r="Q38" s="596"/>
      <c r="R38" s="596"/>
      <c r="S38" s="596"/>
      <c r="T38" s="596"/>
      <c r="U38" s="596"/>
      <c r="V38" s="596"/>
      <c r="W38" s="345">
        <f t="shared" si="18"/>
        <v>0</v>
      </c>
      <c r="X38" s="345">
        <f t="shared" si="20"/>
        <v>0</v>
      </c>
      <c r="Y38" s="345">
        <f t="shared" si="19"/>
        <v>0</v>
      </c>
      <c r="Z38" s="346"/>
      <c r="AA38" s="559"/>
    </row>
    <row r="39" spans="3:27" x14ac:dyDescent="0.25">
      <c r="C39" s="145" t="str">
        <f>Translations!$B$381</f>
        <v>Hungary</v>
      </c>
      <c r="D39" s="146"/>
      <c r="E39" s="596"/>
      <c r="F39" s="596"/>
      <c r="G39" s="596"/>
      <c r="H39" s="596"/>
      <c r="I39" s="596"/>
      <c r="J39" s="596"/>
      <c r="K39" s="596"/>
      <c r="L39" s="596"/>
      <c r="M39" s="596"/>
      <c r="N39" s="596"/>
      <c r="O39" s="596"/>
      <c r="P39" s="596"/>
      <c r="Q39" s="596"/>
      <c r="R39" s="596"/>
      <c r="S39" s="596"/>
      <c r="T39" s="596"/>
      <c r="U39" s="596"/>
      <c r="V39" s="596"/>
      <c r="W39" s="345">
        <f t="shared" si="18"/>
        <v>0</v>
      </c>
      <c r="X39" s="345">
        <f t="shared" si="20"/>
        <v>0</v>
      </c>
      <c r="Y39" s="345">
        <f t="shared" si="19"/>
        <v>0</v>
      </c>
      <c r="Z39" s="346"/>
      <c r="AA39" s="559"/>
    </row>
    <row r="40" spans="3:27" x14ac:dyDescent="0.25">
      <c r="C40" s="145" t="str">
        <f>Translations!$B$382</f>
        <v>Iceland</v>
      </c>
      <c r="D40" s="146"/>
      <c r="E40" s="596"/>
      <c r="F40" s="596"/>
      <c r="G40" s="596"/>
      <c r="H40" s="596"/>
      <c r="I40" s="596"/>
      <c r="J40" s="596"/>
      <c r="K40" s="596"/>
      <c r="L40" s="596"/>
      <c r="M40" s="596"/>
      <c r="N40" s="596"/>
      <c r="O40" s="596"/>
      <c r="P40" s="596"/>
      <c r="Q40" s="596"/>
      <c r="R40" s="596"/>
      <c r="S40" s="596"/>
      <c r="T40" s="596"/>
      <c r="U40" s="596"/>
      <c r="V40" s="596"/>
      <c r="W40" s="345">
        <f t="shared" si="18"/>
        <v>0</v>
      </c>
      <c r="X40" s="345">
        <f t="shared" si="20"/>
        <v>0</v>
      </c>
      <c r="Y40" s="345">
        <f t="shared" si="19"/>
        <v>0</v>
      </c>
      <c r="Z40" s="346"/>
      <c r="AA40" s="559"/>
    </row>
    <row r="41" spans="3:27" x14ac:dyDescent="0.25">
      <c r="C41" s="145" t="str">
        <f>Translations!$B$383</f>
        <v>Ireland</v>
      </c>
      <c r="D41" s="146"/>
      <c r="E41" s="596"/>
      <c r="F41" s="596"/>
      <c r="G41" s="596"/>
      <c r="H41" s="596"/>
      <c r="I41" s="596"/>
      <c r="J41" s="596"/>
      <c r="K41" s="596"/>
      <c r="L41" s="596"/>
      <c r="M41" s="596"/>
      <c r="N41" s="596"/>
      <c r="O41" s="596"/>
      <c r="P41" s="596"/>
      <c r="Q41" s="596"/>
      <c r="R41" s="596"/>
      <c r="S41" s="596"/>
      <c r="T41" s="596"/>
      <c r="U41" s="596"/>
      <c r="V41" s="596"/>
      <c r="W41" s="345">
        <f t="shared" si="18"/>
        <v>0</v>
      </c>
      <c r="X41" s="345">
        <f t="shared" si="20"/>
        <v>0</v>
      </c>
      <c r="Y41" s="345">
        <f t="shared" si="19"/>
        <v>0</v>
      </c>
      <c r="Z41" s="346"/>
      <c r="AA41" s="559"/>
    </row>
    <row r="42" spans="3:27" x14ac:dyDescent="0.25">
      <c r="C42" s="145" t="str">
        <f>Translations!$B$384</f>
        <v>Italy</v>
      </c>
      <c r="D42" s="146"/>
      <c r="E42" s="596"/>
      <c r="F42" s="596"/>
      <c r="G42" s="596"/>
      <c r="H42" s="596"/>
      <c r="I42" s="596"/>
      <c r="J42" s="596"/>
      <c r="K42" s="596"/>
      <c r="L42" s="596"/>
      <c r="M42" s="596"/>
      <c r="N42" s="596"/>
      <c r="O42" s="596"/>
      <c r="P42" s="596"/>
      <c r="Q42" s="596"/>
      <c r="R42" s="596"/>
      <c r="S42" s="596"/>
      <c r="T42" s="596"/>
      <c r="U42" s="596"/>
      <c r="V42" s="596"/>
      <c r="W42" s="345">
        <f t="shared" si="18"/>
        <v>0</v>
      </c>
      <c r="X42" s="345">
        <f t="shared" si="20"/>
        <v>0</v>
      </c>
      <c r="Y42" s="345">
        <f t="shared" si="19"/>
        <v>0</v>
      </c>
      <c r="Z42" s="346"/>
      <c r="AA42" s="559"/>
    </row>
    <row r="43" spans="3:27" x14ac:dyDescent="0.25">
      <c r="C43" s="145" t="str">
        <f>Translations!$B$385</f>
        <v>Latvia</v>
      </c>
      <c r="D43" s="146"/>
      <c r="E43" s="596"/>
      <c r="F43" s="596"/>
      <c r="G43" s="596"/>
      <c r="H43" s="596"/>
      <c r="I43" s="596"/>
      <c r="J43" s="596"/>
      <c r="K43" s="596"/>
      <c r="L43" s="596"/>
      <c r="M43" s="596"/>
      <c r="N43" s="596"/>
      <c r="O43" s="596"/>
      <c r="P43" s="596"/>
      <c r="Q43" s="596"/>
      <c r="R43" s="596"/>
      <c r="S43" s="596"/>
      <c r="T43" s="596"/>
      <c r="U43" s="596"/>
      <c r="V43" s="596"/>
      <c r="W43" s="345">
        <f t="shared" si="18"/>
        <v>0</v>
      </c>
      <c r="X43" s="345">
        <f t="shared" si="20"/>
        <v>0</v>
      </c>
      <c r="Y43" s="345">
        <f t="shared" si="19"/>
        <v>0</v>
      </c>
      <c r="Z43" s="346"/>
      <c r="AA43" s="559"/>
    </row>
    <row r="44" spans="3:27" x14ac:dyDescent="0.25">
      <c r="C44" s="145" t="str">
        <f>Translations!$B$386</f>
        <v>Liechtenstein</v>
      </c>
      <c r="D44" s="146"/>
      <c r="E44" s="596"/>
      <c r="F44" s="596"/>
      <c r="G44" s="596"/>
      <c r="H44" s="596"/>
      <c r="I44" s="596"/>
      <c r="J44" s="596"/>
      <c r="K44" s="596"/>
      <c r="L44" s="596"/>
      <c r="M44" s="596"/>
      <c r="N44" s="596"/>
      <c r="O44" s="596"/>
      <c r="P44" s="596"/>
      <c r="Q44" s="596"/>
      <c r="R44" s="596"/>
      <c r="S44" s="596"/>
      <c r="T44" s="596"/>
      <c r="U44" s="596"/>
      <c r="V44" s="596"/>
      <c r="W44" s="345">
        <f t="shared" si="18"/>
        <v>0</v>
      </c>
      <c r="X44" s="345">
        <f t="shared" si="20"/>
        <v>0</v>
      </c>
      <c r="Y44" s="345">
        <f t="shared" si="19"/>
        <v>0</v>
      </c>
      <c r="Z44" s="346"/>
      <c r="AA44" s="559"/>
    </row>
    <row r="45" spans="3:27" x14ac:dyDescent="0.25">
      <c r="C45" s="145" t="str">
        <f>Translations!$B$387</f>
        <v>Lithuania</v>
      </c>
      <c r="D45" s="146"/>
      <c r="E45" s="596"/>
      <c r="F45" s="596"/>
      <c r="G45" s="596"/>
      <c r="H45" s="596"/>
      <c r="I45" s="596"/>
      <c r="J45" s="596"/>
      <c r="K45" s="596"/>
      <c r="L45" s="596"/>
      <c r="M45" s="596"/>
      <c r="N45" s="596"/>
      <c r="O45" s="596"/>
      <c r="P45" s="596"/>
      <c r="Q45" s="596"/>
      <c r="R45" s="596"/>
      <c r="S45" s="596"/>
      <c r="T45" s="596"/>
      <c r="U45" s="596"/>
      <c r="V45" s="596"/>
      <c r="W45" s="345">
        <f t="shared" si="18"/>
        <v>0</v>
      </c>
      <c r="X45" s="345">
        <f t="shared" si="20"/>
        <v>0</v>
      </c>
      <c r="Y45" s="345">
        <f t="shared" si="19"/>
        <v>0</v>
      </c>
      <c r="Z45" s="346"/>
      <c r="AA45" s="559"/>
    </row>
    <row r="46" spans="3:27" x14ac:dyDescent="0.25">
      <c r="C46" s="145" t="str">
        <f>Translations!$B$388</f>
        <v>Luxembourg</v>
      </c>
      <c r="D46" s="146"/>
      <c r="E46" s="596"/>
      <c r="F46" s="596"/>
      <c r="G46" s="596"/>
      <c r="H46" s="596"/>
      <c r="I46" s="596"/>
      <c r="J46" s="596"/>
      <c r="K46" s="596"/>
      <c r="L46" s="596"/>
      <c r="M46" s="596"/>
      <c r="N46" s="596"/>
      <c r="O46" s="596"/>
      <c r="P46" s="596"/>
      <c r="Q46" s="596"/>
      <c r="R46" s="596"/>
      <c r="S46" s="596"/>
      <c r="T46" s="596"/>
      <c r="U46" s="596"/>
      <c r="V46" s="596"/>
      <c r="W46" s="345">
        <f t="shared" si="18"/>
        <v>0</v>
      </c>
      <c r="X46" s="345">
        <f t="shared" si="20"/>
        <v>0</v>
      </c>
      <c r="Y46" s="345">
        <f t="shared" si="19"/>
        <v>0</v>
      </c>
      <c r="Z46" s="346"/>
      <c r="AA46" s="559"/>
    </row>
    <row r="47" spans="3:27" x14ac:dyDescent="0.25">
      <c r="C47" s="145" t="str">
        <f>Translations!$B$389</f>
        <v>Malta</v>
      </c>
      <c r="D47" s="146"/>
      <c r="E47" s="596"/>
      <c r="F47" s="596"/>
      <c r="G47" s="596"/>
      <c r="H47" s="596"/>
      <c r="I47" s="596"/>
      <c r="J47" s="596"/>
      <c r="K47" s="596"/>
      <c r="L47" s="596"/>
      <c r="M47" s="596"/>
      <c r="N47" s="596"/>
      <c r="O47" s="596"/>
      <c r="P47" s="596"/>
      <c r="Q47" s="596"/>
      <c r="R47" s="596"/>
      <c r="S47" s="596"/>
      <c r="T47" s="596"/>
      <c r="U47" s="596"/>
      <c r="V47" s="596"/>
      <c r="W47" s="345">
        <f t="shared" si="18"/>
        <v>0</v>
      </c>
      <c r="X47" s="345">
        <f t="shared" si="20"/>
        <v>0</v>
      </c>
      <c r="Y47" s="345">
        <f t="shared" si="19"/>
        <v>0</v>
      </c>
      <c r="Z47" s="346"/>
      <c r="AA47" s="559"/>
    </row>
    <row r="48" spans="3:27" x14ac:dyDescent="0.25">
      <c r="C48" s="145" t="str">
        <f>Translations!$B$390</f>
        <v>Netherlands</v>
      </c>
      <c r="D48" s="146"/>
      <c r="E48" s="596"/>
      <c r="F48" s="596"/>
      <c r="G48" s="596"/>
      <c r="H48" s="596"/>
      <c r="I48" s="596"/>
      <c r="J48" s="596"/>
      <c r="K48" s="596"/>
      <c r="L48" s="596"/>
      <c r="M48" s="596"/>
      <c r="N48" s="596"/>
      <c r="O48" s="596"/>
      <c r="P48" s="596"/>
      <c r="Q48" s="596"/>
      <c r="R48" s="596"/>
      <c r="S48" s="596"/>
      <c r="T48" s="596"/>
      <c r="U48" s="596"/>
      <c r="V48" s="596"/>
      <c r="W48" s="345">
        <f t="shared" si="18"/>
        <v>0</v>
      </c>
      <c r="X48" s="345">
        <f t="shared" si="20"/>
        <v>0</v>
      </c>
      <c r="Y48" s="345">
        <f t="shared" si="19"/>
        <v>0</v>
      </c>
      <c r="Z48" s="346"/>
      <c r="AA48" s="559"/>
    </row>
    <row r="49" spans="2:29" x14ac:dyDescent="0.25">
      <c r="C49" s="145" t="str">
        <f>Translations!$B$391</f>
        <v>Norway</v>
      </c>
      <c r="D49" s="146"/>
      <c r="E49" s="596"/>
      <c r="F49" s="596"/>
      <c r="G49" s="596"/>
      <c r="H49" s="596"/>
      <c r="I49" s="596"/>
      <c r="J49" s="596"/>
      <c r="K49" s="596"/>
      <c r="L49" s="596"/>
      <c r="M49" s="596"/>
      <c r="N49" s="596"/>
      <c r="O49" s="596"/>
      <c r="P49" s="596"/>
      <c r="Q49" s="596"/>
      <c r="R49" s="596"/>
      <c r="S49" s="596"/>
      <c r="T49" s="596"/>
      <c r="U49" s="596"/>
      <c r="V49" s="596"/>
      <c r="W49" s="345">
        <f t="shared" si="18"/>
        <v>0</v>
      </c>
      <c r="X49" s="345">
        <f t="shared" si="20"/>
        <v>0</v>
      </c>
      <c r="Y49" s="345">
        <f t="shared" si="19"/>
        <v>0</v>
      </c>
      <c r="Z49" s="346"/>
      <c r="AA49" s="559"/>
    </row>
    <row r="50" spans="2:29" x14ac:dyDescent="0.25">
      <c r="C50" s="145" t="str">
        <f>Translations!$B$392</f>
        <v>Poland</v>
      </c>
      <c r="D50" s="146"/>
      <c r="E50" s="596"/>
      <c r="F50" s="596"/>
      <c r="G50" s="596"/>
      <c r="H50" s="596"/>
      <c r="I50" s="596"/>
      <c r="J50" s="596"/>
      <c r="K50" s="596"/>
      <c r="L50" s="596"/>
      <c r="M50" s="596"/>
      <c r="N50" s="596"/>
      <c r="O50" s="596"/>
      <c r="P50" s="596"/>
      <c r="Q50" s="596"/>
      <c r="R50" s="596"/>
      <c r="S50" s="596"/>
      <c r="T50" s="596"/>
      <c r="U50" s="596"/>
      <c r="V50" s="596"/>
      <c r="W50" s="345">
        <f t="shared" si="18"/>
        <v>0</v>
      </c>
      <c r="X50" s="345">
        <f t="shared" si="20"/>
        <v>0</v>
      </c>
      <c r="Y50" s="345">
        <f t="shared" si="19"/>
        <v>0</v>
      </c>
      <c r="Z50" s="346"/>
      <c r="AA50" s="559"/>
    </row>
    <row r="51" spans="2:29" x14ac:dyDescent="0.25">
      <c r="C51" s="145" t="str">
        <f>Translations!$B$393</f>
        <v>Portugal</v>
      </c>
      <c r="D51" s="146"/>
      <c r="E51" s="596"/>
      <c r="F51" s="596"/>
      <c r="G51" s="596"/>
      <c r="H51" s="596"/>
      <c r="I51" s="596"/>
      <c r="J51" s="596"/>
      <c r="K51" s="596"/>
      <c r="L51" s="596"/>
      <c r="M51" s="596"/>
      <c r="N51" s="596"/>
      <c r="O51" s="596"/>
      <c r="P51" s="596"/>
      <c r="Q51" s="596"/>
      <c r="R51" s="596"/>
      <c r="S51" s="596"/>
      <c r="T51" s="596"/>
      <c r="U51" s="596"/>
      <c r="V51" s="596"/>
      <c r="W51" s="345">
        <f t="shared" si="18"/>
        <v>0</v>
      </c>
      <c r="X51" s="345">
        <f t="shared" si="20"/>
        <v>0</v>
      </c>
      <c r="Y51" s="345">
        <f t="shared" si="19"/>
        <v>0</v>
      </c>
      <c r="Z51" s="346"/>
      <c r="AA51" s="559"/>
    </row>
    <row r="52" spans="2:29" x14ac:dyDescent="0.25">
      <c r="C52" s="145" t="str">
        <f>Translations!$B$394</f>
        <v>Romania</v>
      </c>
      <c r="D52" s="146"/>
      <c r="E52" s="596"/>
      <c r="F52" s="596"/>
      <c r="G52" s="596"/>
      <c r="H52" s="596"/>
      <c r="I52" s="596"/>
      <c r="J52" s="596"/>
      <c r="K52" s="596"/>
      <c r="L52" s="596"/>
      <c r="M52" s="596"/>
      <c r="N52" s="596"/>
      <c r="O52" s="596"/>
      <c r="P52" s="596"/>
      <c r="Q52" s="596"/>
      <c r="R52" s="596"/>
      <c r="S52" s="596"/>
      <c r="T52" s="596"/>
      <c r="U52" s="596"/>
      <c r="V52" s="596"/>
      <c r="W52" s="345">
        <f t="shared" si="18"/>
        <v>0</v>
      </c>
      <c r="X52" s="345">
        <f t="shared" si="20"/>
        <v>0</v>
      </c>
      <c r="Y52" s="345">
        <f t="shared" si="19"/>
        <v>0</v>
      </c>
      <c r="Z52" s="346"/>
      <c r="AA52" s="559"/>
    </row>
    <row r="53" spans="2:29" x14ac:dyDescent="0.25">
      <c r="C53" s="145" t="str">
        <f>Translations!$B$395</f>
        <v>Slovakia</v>
      </c>
      <c r="D53" s="146"/>
      <c r="E53" s="596"/>
      <c r="F53" s="596"/>
      <c r="G53" s="596"/>
      <c r="H53" s="596"/>
      <c r="I53" s="596"/>
      <c r="J53" s="596"/>
      <c r="K53" s="596"/>
      <c r="L53" s="596"/>
      <c r="M53" s="596"/>
      <c r="N53" s="596"/>
      <c r="O53" s="596"/>
      <c r="P53" s="596"/>
      <c r="Q53" s="596"/>
      <c r="R53" s="596"/>
      <c r="S53" s="596"/>
      <c r="T53" s="596"/>
      <c r="U53" s="596"/>
      <c r="V53" s="596"/>
      <c r="W53" s="345">
        <f t="shared" si="18"/>
        <v>0</v>
      </c>
      <c r="X53" s="345">
        <f t="shared" si="20"/>
        <v>0</v>
      </c>
      <c r="Y53" s="345">
        <f t="shared" si="19"/>
        <v>0</v>
      </c>
      <c r="Z53" s="346"/>
      <c r="AA53" s="559"/>
    </row>
    <row r="54" spans="2:29" x14ac:dyDescent="0.25">
      <c r="C54" s="145" t="str">
        <f>Translations!$B$396</f>
        <v>Slovenia</v>
      </c>
      <c r="D54" s="146"/>
      <c r="E54" s="596"/>
      <c r="F54" s="596"/>
      <c r="G54" s="596"/>
      <c r="H54" s="596"/>
      <c r="I54" s="596"/>
      <c r="J54" s="596"/>
      <c r="K54" s="596"/>
      <c r="L54" s="596"/>
      <c r="M54" s="596"/>
      <c r="N54" s="596"/>
      <c r="O54" s="596"/>
      <c r="P54" s="596"/>
      <c r="Q54" s="596"/>
      <c r="R54" s="596"/>
      <c r="S54" s="596"/>
      <c r="T54" s="596"/>
      <c r="U54" s="596"/>
      <c r="V54" s="596"/>
      <c r="W54" s="345">
        <f t="shared" si="18"/>
        <v>0</v>
      </c>
      <c r="X54" s="345">
        <f t="shared" si="20"/>
        <v>0</v>
      </c>
      <c r="Y54" s="345">
        <f t="shared" si="19"/>
        <v>0</v>
      </c>
      <c r="Z54" s="346"/>
      <c r="AA54" s="559"/>
    </row>
    <row r="55" spans="2:29" x14ac:dyDescent="0.25">
      <c r="C55" s="145" t="str">
        <f>Translations!$B$397</f>
        <v>Spain</v>
      </c>
      <c r="D55" s="146"/>
      <c r="E55" s="596"/>
      <c r="F55" s="596"/>
      <c r="G55" s="596"/>
      <c r="H55" s="596"/>
      <c r="I55" s="596"/>
      <c r="J55" s="596"/>
      <c r="K55" s="596"/>
      <c r="L55" s="596"/>
      <c r="M55" s="596"/>
      <c r="N55" s="596"/>
      <c r="O55" s="596"/>
      <c r="P55" s="596"/>
      <c r="Q55" s="596"/>
      <c r="R55" s="596"/>
      <c r="S55" s="596"/>
      <c r="T55" s="596"/>
      <c r="U55" s="596"/>
      <c r="V55" s="596"/>
      <c r="W55" s="345">
        <f t="shared" si="18"/>
        <v>0</v>
      </c>
      <c r="X55" s="345">
        <f t="shared" si="20"/>
        <v>0</v>
      </c>
      <c r="Y55" s="345">
        <f t="shared" si="19"/>
        <v>0</v>
      </c>
      <c r="Z55" s="346"/>
      <c r="AA55" s="559"/>
    </row>
    <row r="56" spans="2:29" x14ac:dyDescent="0.25">
      <c r="C56" s="145" t="str">
        <f>Translations!$B$398</f>
        <v>Sweden</v>
      </c>
      <c r="D56" s="146"/>
      <c r="E56" s="596"/>
      <c r="F56" s="596"/>
      <c r="G56" s="596"/>
      <c r="H56" s="596"/>
      <c r="I56" s="596"/>
      <c r="J56" s="596"/>
      <c r="K56" s="596"/>
      <c r="L56" s="596"/>
      <c r="M56" s="596"/>
      <c r="N56" s="596"/>
      <c r="O56" s="596"/>
      <c r="P56" s="596"/>
      <c r="Q56" s="596"/>
      <c r="R56" s="596"/>
      <c r="S56" s="596"/>
      <c r="T56" s="596"/>
      <c r="U56" s="596"/>
      <c r="V56" s="596"/>
      <c r="W56" s="345">
        <f t="shared" si="18"/>
        <v>0</v>
      </c>
      <c r="X56" s="345">
        <f t="shared" si="20"/>
        <v>0</v>
      </c>
      <c r="Y56" s="345">
        <f t="shared" si="19"/>
        <v>0</v>
      </c>
      <c r="Z56" s="346"/>
      <c r="AA56" s="559"/>
    </row>
    <row r="57" spans="2:29" hidden="1" x14ac:dyDescent="0.25">
      <c r="C57" s="145" t="str">
        <f>Translations!$B$399</f>
        <v>United Kingdom</v>
      </c>
      <c r="D57" s="146"/>
      <c r="E57" s="723"/>
      <c r="F57" s="723"/>
      <c r="G57" s="723"/>
      <c r="H57" s="723"/>
      <c r="I57" s="723"/>
      <c r="J57" s="723"/>
      <c r="K57" s="723"/>
      <c r="L57" s="723"/>
      <c r="M57" s="723"/>
      <c r="N57" s="723"/>
      <c r="O57" s="723"/>
      <c r="P57" s="723"/>
      <c r="Q57" s="723"/>
      <c r="R57" s="723"/>
      <c r="S57" s="723"/>
      <c r="T57" s="723"/>
      <c r="U57" s="723"/>
      <c r="V57" s="723"/>
      <c r="W57" s="724">
        <f t="shared" si="18"/>
        <v>0</v>
      </c>
      <c r="X57" s="724">
        <f t="shared" si="20"/>
        <v>0</v>
      </c>
      <c r="Y57" s="724">
        <f t="shared" si="19"/>
        <v>0</v>
      </c>
      <c r="Z57" s="725"/>
      <c r="AA57" s="559"/>
      <c r="AC57" s="118" t="s">
        <v>1916</v>
      </c>
    </row>
    <row r="58" spans="2:29" ht="13" thickBot="1" x14ac:dyDescent="0.3">
      <c r="C58" s="147" t="str">
        <f>Translations!$B$994</f>
        <v>Sum of domestic flights:</v>
      </c>
      <c r="D58" s="147"/>
      <c r="E58" s="597">
        <f>SUM(E27:E56)</f>
        <v>0</v>
      </c>
      <c r="F58" s="597">
        <f t="shared" ref="F58:Z58" si="21">SUM(F27:F56)</f>
        <v>0</v>
      </c>
      <c r="G58" s="597">
        <f t="shared" si="21"/>
        <v>0</v>
      </c>
      <c r="H58" s="597">
        <f t="shared" si="21"/>
        <v>0</v>
      </c>
      <c r="I58" s="597">
        <f t="shared" si="21"/>
        <v>0</v>
      </c>
      <c r="J58" s="597">
        <f t="shared" si="21"/>
        <v>0</v>
      </c>
      <c r="K58" s="597">
        <f t="shared" si="21"/>
        <v>0</v>
      </c>
      <c r="L58" s="597">
        <f t="shared" si="21"/>
        <v>0</v>
      </c>
      <c r="M58" s="597">
        <f t="shared" si="21"/>
        <v>0</v>
      </c>
      <c r="N58" s="597">
        <f t="shared" si="21"/>
        <v>0</v>
      </c>
      <c r="O58" s="597">
        <f t="shared" si="21"/>
        <v>0</v>
      </c>
      <c r="P58" s="597">
        <f t="shared" si="21"/>
        <v>0</v>
      </c>
      <c r="Q58" s="597">
        <f t="shared" si="21"/>
        <v>0</v>
      </c>
      <c r="R58" s="597">
        <f t="shared" si="21"/>
        <v>0</v>
      </c>
      <c r="S58" s="597">
        <f t="shared" si="21"/>
        <v>0</v>
      </c>
      <c r="T58" s="597">
        <f t="shared" si="21"/>
        <v>0</v>
      </c>
      <c r="U58" s="597">
        <f t="shared" si="21"/>
        <v>0</v>
      </c>
      <c r="V58" s="597">
        <f t="shared" si="21"/>
        <v>0</v>
      </c>
      <c r="W58" s="345">
        <f t="shared" si="21"/>
        <v>0</v>
      </c>
      <c r="X58" s="345">
        <f t="shared" si="21"/>
        <v>0</v>
      </c>
      <c r="Y58" s="345">
        <f t="shared" si="21"/>
        <v>0</v>
      </c>
      <c r="Z58" s="347">
        <f t="shared" si="21"/>
        <v>0</v>
      </c>
      <c r="AA58" s="559"/>
    </row>
    <row r="59" spans="2:29" x14ac:dyDescent="0.25">
      <c r="AA59" s="559"/>
    </row>
    <row r="60" spans="2:29" x14ac:dyDescent="0.25">
      <c r="AA60" s="559"/>
    </row>
    <row r="61" spans="2:29" ht="13.4" customHeight="1" x14ac:dyDescent="0.25">
      <c r="B61" s="57" t="s">
        <v>27</v>
      </c>
      <c r="C61" s="1227" t="str">
        <f>Translations!$B$1316</f>
        <v>Aggregated CO2 emissions from all flights departing from each Member State to another Member State, to Switzerland, or to the UK</v>
      </c>
      <c r="D61" s="1210"/>
      <c r="E61" s="1210"/>
      <c r="F61" s="1210"/>
      <c r="G61" s="1210"/>
      <c r="H61" s="1210"/>
      <c r="I61" s="1210"/>
      <c r="J61" s="1210"/>
      <c r="K61" s="1210"/>
      <c r="L61" s="1210"/>
      <c r="M61" s="1210"/>
      <c r="N61" s="1210"/>
      <c r="O61" s="1210"/>
      <c r="P61" s="1210"/>
      <c r="Q61" s="1210"/>
      <c r="R61" s="1210"/>
      <c r="S61" s="1210"/>
      <c r="T61" s="1210"/>
      <c r="U61" s="1210"/>
      <c r="V61" s="1210"/>
      <c r="W61" s="1210"/>
      <c r="X61" s="1210"/>
      <c r="Y61" s="1210"/>
      <c r="Z61" s="1045"/>
      <c r="AA61" s="559"/>
    </row>
    <row r="62" spans="2:29" ht="25.5" customHeight="1" thickBot="1" x14ac:dyDescent="0.3">
      <c r="C62" s="1152" t="str">
        <f>Translations!$B$1553</f>
        <v>Please complete the following table with the appropriate data for the reporting year. Note that the emission factors presented in section 5(b) are automatically used for calculating these emissions.</v>
      </c>
      <c r="D62" s="1034"/>
      <c r="E62" s="1034"/>
      <c r="F62" s="1034"/>
      <c r="G62" s="1034"/>
      <c r="H62" s="1034"/>
      <c r="I62" s="1034"/>
      <c r="J62" s="1034"/>
      <c r="K62" s="1034"/>
      <c r="L62" s="1034"/>
      <c r="M62" s="1034"/>
      <c r="N62" s="1034"/>
      <c r="O62" s="1034"/>
      <c r="P62" s="1034"/>
      <c r="Q62" s="1034"/>
      <c r="R62" s="1034"/>
      <c r="S62" s="1034"/>
      <c r="T62" s="1034"/>
      <c r="U62" s="1034"/>
      <c r="V62" s="1034"/>
      <c r="W62" s="1034"/>
      <c r="X62" s="1034"/>
      <c r="Y62" s="1034"/>
      <c r="Z62" s="1034"/>
      <c r="AA62" s="299"/>
      <c r="AC62" s="772"/>
    </row>
    <row r="63" spans="2:29" x14ac:dyDescent="0.25">
      <c r="C63" s="132"/>
      <c r="D63" s="144"/>
      <c r="E63" s="1271" t="str">
        <f>Translations!$B$1548</f>
        <v>Used quantity of each neat fuel [tonnes]</v>
      </c>
      <c r="F63" s="1272"/>
      <c r="G63" s="1272"/>
      <c r="H63" s="1272"/>
      <c r="I63" s="1272"/>
      <c r="J63" s="1272"/>
      <c r="K63" s="1272"/>
      <c r="L63" s="1272"/>
      <c r="M63" s="1272"/>
      <c r="N63" s="1272"/>
      <c r="O63" s="1272"/>
      <c r="P63" s="1272"/>
      <c r="Q63" s="1272"/>
      <c r="R63" s="1272"/>
      <c r="S63" s="1272"/>
      <c r="T63" s="1272"/>
      <c r="U63" s="1272"/>
      <c r="V63" s="1272"/>
      <c r="W63" s="1267" t="str">
        <f>Translations!$B$1549</f>
        <v>NON ZERO-RATED EMISSIONS [t CO2]</v>
      </c>
      <c r="X63" s="1267" t="str">
        <f>Translations!$B$1550</f>
        <v>ZERO RATED EMISSIONS [t CO2]</v>
      </c>
      <c r="Y63" s="1267" t="str">
        <f>Translations!$B$1551</f>
        <v>TOTAL EMISSIONS [t CO2]</v>
      </c>
      <c r="Z63" s="1269" t="str">
        <f>Translations!$B$1026</f>
        <v>Total number of flights</v>
      </c>
      <c r="AA63" s="559"/>
      <c r="AB63" s="140"/>
    </row>
    <row r="64" spans="2:29" ht="31.5" x14ac:dyDescent="0.25">
      <c r="C64" s="50" t="str">
        <f>Translations!$B$996</f>
        <v>Member State of departure</v>
      </c>
      <c r="D64" s="50" t="str">
        <f>Translations!$B$997</f>
        <v>State of arrival</v>
      </c>
      <c r="E64" s="50" t="str">
        <f>Translations!$B$981</f>
        <v>Jet kerosene (jet A1 or 
jet A)</v>
      </c>
      <c r="F64" s="50" t="str">
        <f>Translations!$B$274</f>
        <v>Jet gasoline (Jet B)</v>
      </c>
      <c r="G64" s="50" t="str">
        <f>Translations!$B$275</f>
        <v>Aviation gasoline (AvGas)</v>
      </c>
      <c r="H64" s="143" t="str">
        <f t="shared" ref="H64:V64" si="22">H$193</f>
        <v>Fuel 4</v>
      </c>
      <c r="I64" s="143" t="str">
        <f t="shared" si="22"/>
        <v>Fuel 5</v>
      </c>
      <c r="J64" s="143" t="str">
        <f t="shared" si="22"/>
        <v>Fuel 6</v>
      </c>
      <c r="K64" s="143" t="str">
        <f t="shared" si="22"/>
        <v>Fuel 7</v>
      </c>
      <c r="L64" s="143" t="str">
        <f t="shared" si="22"/>
        <v>Fuel 8</v>
      </c>
      <c r="M64" s="143" t="str">
        <f t="shared" si="22"/>
        <v>Fuel 9</v>
      </c>
      <c r="N64" s="143" t="str">
        <f t="shared" si="22"/>
        <v>Fuel 10</v>
      </c>
      <c r="O64" s="143" t="str">
        <f t="shared" si="22"/>
        <v>Fuel 11</v>
      </c>
      <c r="P64" s="143" t="str">
        <f t="shared" si="22"/>
        <v>Fuel 12</v>
      </c>
      <c r="Q64" s="143" t="str">
        <f t="shared" si="22"/>
        <v>Fuel 13</v>
      </c>
      <c r="R64" s="143" t="str">
        <f t="shared" si="22"/>
        <v>Fuel 14</v>
      </c>
      <c r="S64" s="143" t="str">
        <f t="shared" si="22"/>
        <v>Fuel 15</v>
      </c>
      <c r="T64" s="143" t="str">
        <f t="shared" si="22"/>
        <v>Fuel 16</v>
      </c>
      <c r="U64" s="143" t="str">
        <f t="shared" si="22"/>
        <v>Fuel 17</v>
      </c>
      <c r="V64" s="143" t="str">
        <f t="shared" si="22"/>
        <v>Fuel 18</v>
      </c>
      <c r="W64" s="1268"/>
      <c r="X64" s="1268"/>
      <c r="Y64" s="1268"/>
      <c r="Z64" s="1270"/>
      <c r="AA64" s="559"/>
      <c r="AB64" s="140"/>
    </row>
    <row r="65" spans="3:28" x14ac:dyDescent="0.25">
      <c r="C65" s="598"/>
      <c r="D65" s="598"/>
      <c r="E65" s="599"/>
      <c r="F65" s="599"/>
      <c r="G65" s="599"/>
      <c r="H65" s="599"/>
      <c r="I65" s="599"/>
      <c r="J65" s="599"/>
      <c r="K65" s="599"/>
      <c r="L65" s="599"/>
      <c r="M65" s="599"/>
      <c r="N65" s="599"/>
      <c r="O65" s="599"/>
      <c r="P65" s="599"/>
      <c r="Q65" s="599"/>
      <c r="R65" s="599"/>
      <c r="S65" s="599"/>
      <c r="T65" s="599"/>
      <c r="U65" s="599"/>
      <c r="V65" s="599"/>
      <c r="W65" s="345">
        <f t="shared" ref="W65:W89" si="23">SUMPRODUCT(E65:V65,$E$196:$V$196)</f>
        <v>0</v>
      </c>
      <c r="X65" s="345">
        <f t="shared" ref="X65:X89" si="24">Y65-W65</f>
        <v>0</v>
      </c>
      <c r="Y65" s="345">
        <f t="shared" ref="Y65:Y89" si="25">SUMPRODUCT(E65:V65,$E$195:$V$195)</f>
        <v>0</v>
      </c>
      <c r="Z65" s="600"/>
      <c r="AA65" s="559"/>
      <c r="AB65" s="140"/>
    </row>
    <row r="66" spans="3:28" x14ac:dyDescent="0.25">
      <c r="C66" s="598"/>
      <c r="D66" s="598"/>
      <c r="E66" s="599"/>
      <c r="F66" s="599"/>
      <c r="G66" s="599"/>
      <c r="H66" s="599"/>
      <c r="I66" s="599"/>
      <c r="J66" s="599"/>
      <c r="K66" s="599"/>
      <c r="L66" s="599"/>
      <c r="M66" s="599"/>
      <c r="N66" s="599"/>
      <c r="O66" s="599"/>
      <c r="P66" s="599"/>
      <c r="Q66" s="599"/>
      <c r="R66" s="599"/>
      <c r="S66" s="599"/>
      <c r="T66" s="599"/>
      <c r="U66" s="599"/>
      <c r="V66" s="599"/>
      <c r="W66" s="345">
        <f t="shared" si="23"/>
        <v>0</v>
      </c>
      <c r="X66" s="345">
        <f t="shared" si="24"/>
        <v>0</v>
      </c>
      <c r="Y66" s="345">
        <f t="shared" si="25"/>
        <v>0</v>
      </c>
      <c r="Z66" s="600"/>
      <c r="AA66" s="559"/>
      <c r="AB66" s="140"/>
    </row>
    <row r="67" spans="3:28" x14ac:dyDescent="0.25">
      <c r="C67" s="598"/>
      <c r="D67" s="598"/>
      <c r="E67" s="599"/>
      <c r="F67" s="599"/>
      <c r="G67" s="599"/>
      <c r="H67" s="599"/>
      <c r="I67" s="599"/>
      <c r="J67" s="599"/>
      <c r="K67" s="599"/>
      <c r="L67" s="599"/>
      <c r="M67" s="599"/>
      <c r="N67" s="599"/>
      <c r="O67" s="599"/>
      <c r="P67" s="599"/>
      <c r="Q67" s="599"/>
      <c r="R67" s="599"/>
      <c r="S67" s="599"/>
      <c r="T67" s="599"/>
      <c r="U67" s="599"/>
      <c r="V67" s="599"/>
      <c r="W67" s="345">
        <f t="shared" si="23"/>
        <v>0</v>
      </c>
      <c r="X67" s="345">
        <f t="shared" si="24"/>
        <v>0</v>
      </c>
      <c r="Y67" s="345">
        <f t="shared" si="25"/>
        <v>0</v>
      </c>
      <c r="Z67" s="600"/>
      <c r="AA67" s="559"/>
      <c r="AB67" s="140"/>
    </row>
    <row r="68" spans="3:28" x14ac:dyDescent="0.25">
      <c r="C68" s="598"/>
      <c r="D68" s="598"/>
      <c r="E68" s="599"/>
      <c r="F68" s="599"/>
      <c r="G68" s="599"/>
      <c r="H68" s="599"/>
      <c r="I68" s="599"/>
      <c r="J68" s="599"/>
      <c r="K68" s="599"/>
      <c r="L68" s="599"/>
      <c r="M68" s="599"/>
      <c r="N68" s="599"/>
      <c r="O68" s="599"/>
      <c r="P68" s="599"/>
      <c r="Q68" s="599"/>
      <c r="R68" s="599"/>
      <c r="S68" s="599"/>
      <c r="T68" s="599"/>
      <c r="U68" s="599"/>
      <c r="V68" s="599"/>
      <c r="W68" s="345">
        <f t="shared" si="23"/>
        <v>0</v>
      </c>
      <c r="X68" s="345">
        <f t="shared" si="24"/>
        <v>0</v>
      </c>
      <c r="Y68" s="345">
        <f t="shared" si="25"/>
        <v>0</v>
      </c>
      <c r="Z68" s="600"/>
      <c r="AA68" s="559"/>
      <c r="AB68" s="140"/>
    </row>
    <row r="69" spans="3:28" x14ac:dyDescent="0.25">
      <c r="C69" s="598"/>
      <c r="D69" s="598"/>
      <c r="E69" s="599"/>
      <c r="F69" s="599"/>
      <c r="G69" s="599"/>
      <c r="H69" s="599"/>
      <c r="I69" s="599"/>
      <c r="J69" s="599"/>
      <c r="K69" s="599"/>
      <c r="L69" s="599"/>
      <c r="M69" s="599"/>
      <c r="N69" s="599"/>
      <c r="O69" s="599"/>
      <c r="P69" s="599"/>
      <c r="Q69" s="599"/>
      <c r="R69" s="599"/>
      <c r="S69" s="599"/>
      <c r="T69" s="599"/>
      <c r="U69" s="599"/>
      <c r="V69" s="599"/>
      <c r="W69" s="345">
        <f t="shared" si="23"/>
        <v>0</v>
      </c>
      <c r="X69" s="345">
        <f t="shared" si="24"/>
        <v>0</v>
      </c>
      <c r="Y69" s="345">
        <f t="shared" si="25"/>
        <v>0</v>
      </c>
      <c r="Z69" s="600"/>
      <c r="AA69" s="559"/>
      <c r="AB69" s="140"/>
    </row>
    <row r="70" spans="3:28" x14ac:dyDescent="0.25">
      <c r="C70" s="598"/>
      <c r="D70" s="598"/>
      <c r="E70" s="599"/>
      <c r="F70" s="599"/>
      <c r="G70" s="599"/>
      <c r="H70" s="599"/>
      <c r="I70" s="599"/>
      <c r="J70" s="599"/>
      <c r="K70" s="599"/>
      <c r="L70" s="599"/>
      <c r="M70" s="599"/>
      <c r="N70" s="599"/>
      <c r="O70" s="599"/>
      <c r="P70" s="599"/>
      <c r="Q70" s="599"/>
      <c r="R70" s="599"/>
      <c r="S70" s="599"/>
      <c r="T70" s="599"/>
      <c r="U70" s="599"/>
      <c r="V70" s="599"/>
      <c r="W70" s="345">
        <f t="shared" si="23"/>
        <v>0</v>
      </c>
      <c r="X70" s="345">
        <f t="shared" si="24"/>
        <v>0</v>
      </c>
      <c r="Y70" s="345">
        <f t="shared" si="25"/>
        <v>0</v>
      </c>
      <c r="Z70" s="600"/>
      <c r="AA70" s="559"/>
      <c r="AB70" s="140"/>
    </row>
    <row r="71" spans="3:28" x14ac:dyDescent="0.25">
      <c r="C71" s="598"/>
      <c r="D71" s="598"/>
      <c r="E71" s="599"/>
      <c r="F71" s="599"/>
      <c r="G71" s="599"/>
      <c r="H71" s="599"/>
      <c r="I71" s="599"/>
      <c r="J71" s="599"/>
      <c r="K71" s="599"/>
      <c r="L71" s="599"/>
      <c r="M71" s="599"/>
      <c r="N71" s="599"/>
      <c r="O71" s="599"/>
      <c r="P71" s="599"/>
      <c r="Q71" s="599"/>
      <c r="R71" s="599"/>
      <c r="S71" s="599"/>
      <c r="T71" s="599"/>
      <c r="U71" s="599"/>
      <c r="V71" s="599"/>
      <c r="W71" s="345">
        <f t="shared" si="23"/>
        <v>0</v>
      </c>
      <c r="X71" s="345">
        <f t="shared" si="24"/>
        <v>0</v>
      </c>
      <c r="Y71" s="345">
        <f t="shared" si="25"/>
        <v>0</v>
      </c>
      <c r="Z71" s="600"/>
      <c r="AA71" s="559"/>
      <c r="AB71" s="140"/>
    </row>
    <row r="72" spans="3:28" x14ac:dyDescent="0.25">
      <c r="C72" s="598"/>
      <c r="D72" s="598"/>
      <c r="E72" s="599"/>
      <c r="F72" s="599"/>
      <c r="G72" s="599"/>
      <c r="H72" s="599"/>
      <c r="I72" s="599"/>
      <c r="J72" s="599"/>
      <c r="K72" s="599"/>
      <c r="L72" s="599"/>
      <c r="M72" s="599"/>
      <c r="N72" s="599"/>
      <c r="O72" s="599"/>
      <c r="P72" s="599"/>
      <c r="Q72" s="599"/>
      <c r="R72" s="599"/>
      <c r="S72" s="599"/>
      <c r="T72" s="599"/>
      <c r="U72" s="599"/>
      <c r="V72" s="599"/>
      <c r="W72" s="345">
        <f t="shared" si="23"/>
        <v>0</v>
      </c>
      <c r="X72" s="345">
        <f t="shared" si="24"/>
        <v>0</v>
      </c>
      <c r="Y72" s="345">
        <f t="shared" si="25"/>
        <v>0</v>
      </c>
      <c r="Z72" s="600"/>
      <c r="AA72" s="559"/>
      <c r="AB72" s="140"/>
    </row>
    <row r="73" spans="3:28" x14ac:dyDescent="0.25">
      <c r="C73" s="598"/>
      <c r="D73" s="598"/>
      <c r="E73" s="599"/>
      <c r="F73" s="599"/>
      <c r="G73" s="599"/>
      <c r="H73" s="599"/>
      <c r="I73" s="599"/>
      <c r="J73" s="599"/>
      <c r="K73" s="599"/>
      <c r="L73" s="599"/>
      <c r="M73" s="599"/>
      <c r="N73" s="599"/>
      <c r="O73" s="599"/>
      <c r="P73" s="599"/>
      <c r="Q73" s="599"/>
      <c r="R73" s="599"/>
      <c r="S73" s="599"/>
      <c r="T73" s="599"/>
      <c r="U73" s="599"/>
      <c r="V73" s="599"/>
      <c r="W73" s="345">
        <f t="shared" si="23"/>
        <v>0</v>
      </c>
      <c r="X73" s="345">
        <f t="shared" si="24"/>
        <v>0</v>
      </c>
      <c r="Y73" s="345">
        <f t="shared" si="25"/>
        <v>0</v>
      </c>
      <c r="Z73" s="600"/>
      <c r="AA73" s="559"/>
      <c r="AB73" s="140"/>
    </row>
    <row r="74" spans="3:28" x14ac:dyDescent="0.25">
      <c r="C74" s="598"/>
      <c r="D74" s="598"/>
      <c r="E74" s="599"/>
      <c r="F74" s="599"/>
      <c r="G74" s="599"/>
      <c r="H74" s="599"/>
      <c r="I74" s="599"/>
      <c r="J74" s="599"/>
      <c r="K74" s="599"/>
      <c r="L74" s="599"/>
      <c r="M74" s="599"/>
      <c r="N74" s="599"/>
      <c r="O74" s="599"/>
      <c r="P74" s="599"/>
      <c r="Q74" s="599"/>
      <c r="R74" s="599"/>
      <c r="S74" s="599"/>
      <c r="T74" s="599"/>
      <c r="U74" s="599"/>
      <c r="V74" s="599"/>
      <c r="W74" s="345">
        <f t="shared" si="23"/>
        <v>0</v>
      </c>
      <c r="X74" s="345">
        <f t="shared" si="24"/>
        <v>0</v>
      </c>
      <c r="Y74" s="345">
        <f t="shared" si="25"/>
        <v>0</v>
      </c>
      <c r="Z74" s="600"/>
      <c r="AA74" s="559"/>
      <c r="AB74" s="140"/>
    </row>
    <row r="75" spans="3:28" x14ac:dyDescent="0.25">
      <c r="C75" s="598"/>
      <c r="D75" s="598"/>
      <c r="E75" s="599"/>
      <c r="F75" s="599"/>
      <c r="G75" s="599"/>
      <c r="H75" s="599"/>
      <c r="I75" s="599"/>
      <c r="J75" s="599"/>
      <c r="K75" s="599"/>
      <c r="L75" s="599"/>
      <c r="M75" s="599"/>
      <c r="N75" s="599"/>
      <c r="O75" s="599"/>
      <c r="P75" s="599"/>
      <c r="Q75" s="599"/>
      <c r="R75" s="599"/>
      <c r="S75" s="599"/>
      <c r="T75" s="599"/>
      <c r="U75" s="599"/>
      <c r="V75" s="599"/>
      <c r="W75" s="345">
        <f t="shared" si="23"/>
        <v>0</v>
      </c>
      <c r="X75" s="345">
        <f t="shared" si="24"/>
        <v>0</v>
      </c>
      <c r="Y75" s="345">
        <f t="shared" si="25"/>
        <v>0</v>
      </c>
      <c r="Z75" s="600"/>
      <c r="AA75" s="559"/>
      <c r="AB75" s="140"/>
    </row>
    <row r="76" spans="3:28" x14ac:dyDescent="0.25">
      <c r="C76" s="598"/>
      <c r="D76" s="598"/>
      <c r="E76" s="599"/>
      <c r="F76" s="599"/>
      <c r="G76" s="599"/>
      <c r="H76" s="599"/>
      <c r="I76" s="599"/>
      <c r="J76" s="599"/>
      <c r="K76" s="599"/>
      <c r="L76" s="599"/>
      <c r="M76" s="599"/>
      <c r="N76" s="599"/>
      <c r="O76" s="599"/>
      <c r="P76" s="599"/>
      <c r="Q76" s="599"/>
      <c r="R76" s="599"/>
      <c r="S76" s="599"/>
      <c r="T76" s="599"/>
      <c r="U76" s="599"/>
      <c r="V76" s="599"/>
      <c r="W76" s="345">
        <f t="shared" si="23"/>
        <v>0</v>
      </c>
      <c r="X76" s="345">
        <f t="shared" si="24"/>
        <v>0</v>
      </c>
      <c r="Y76" s="345">
        <f t="shared" si="25"/>
        <v>0</v>
      </c>
      <c r="Z76" s="600"/>
      <c r="AA76" s="559"/>
      <c r="AB76" s="140"/>
    </row>
    <row r="77" spans="3:28" x14ac:dyDescent="0.25">
      <c r="C77" s="598"/>
      <c r="D77" s="598"/>
      <c r="E77" s="599"/>
      <c r="F77" s="599"/>
      <c r="G77" s="599"/>
      <c r="H77" s="599"/>
      <c r="I77" s="599"/>
      <c r="J77" s="599"/>
      <c r="K77" s="599"/>
      <c r="L77" s="599"/>
      <c r="M77" s="599"/>
      <c r="N77" s="599"/>
      <c r="O77" s="599"/>
      <c r="P77" s="599"/>
      <c r="Q77" s="599"/>
      <c r="R77" s="599"/>
      <c r="S77" s="599"/>
      <c r="T77" s="599"/>
      <c r="U77" s="599"/>
      <c r="V77" s="599"/>
      <c r="W77" s="345">
        <f t="shared" si="23"/>
        <v>0</v>
      </c>
      <c r="X77" s="345">
        <f t="shared" si="24"/>
        <v>0</v>
      </c>
      <c r="Y77" s="345">
        <f t="shared" si="25"/>
        <v>0</v>
      </c>
      <c r="Z77" s="600"/>
      <c r="AA77" s="559"/>
      <c r="AB77" s="140"/>
    </row>
    <row r="78" spans="3:28" x14ac:dyDescent="0.25">
      <c r="C78" s="598"/>
      <c r="D78" s="598"/>
      <c r="E78" s="599"/>
      <c r="F78" s="599"/>
      <c r="G78" s="599"/>
      <c r="H78" s="599"/>
      <c r="I78" s="599"/>
      <c r="J78" s="599"/>
      <c r="K78" s="599"/>
      <c r="L78" s="599"/>
      <c r="M78" s="599"/>
      <c r="N78" s="599"/>
      <c r="O78" s="599"/>
      <c r="P78" s="599"/>
      <c r="Q78" s="599"/>
      <c r="R78" s="599"/>
      <c r="S78" s="599"/>
      <c r="T78" s="599"/>
      <c r="U78" s="599"/>
      <c r="V78" s="599"/>
      <c r="W78" s="345">
        <f t="shared" si="23"/>
        <v>0</v>
      </c>
      <c r="X78" s="345">
        <f t="shared" si="24"/>
        <v>0</v>
      </c>
      <c r="Y78" s="345">
        <f t="shared" si="25"/>
        <v>0</v>
      </c>
      <c r="Z78" s="600"/>
      <c r="AA78" s="559"/>
      <c r="AB78" s="140"/>
    </row>
    <row r="79" spans="3:28" x14ac:dyDescent="0.25">
      <c r="C79" s="598"/>
      <c r="D79" s="598"/>
      <c r="E79" s="599"/>
      <c r="F79" s="599"/>
      <c r="G79" s="599"/>
      <c r="H79" s="599"/>
      <c r="I79" s="599"/>
      <c r="J79" s="599"/>
      <c r="K79" s="599"/>
      <c r="L79" s="599"/>
      <c r="M79" s="599"/>
      <c r="N79" s="599"/>
      <c r="O79" s="599"/>
      <c r="P79" s="599"/>
      <c r="Q79" s="599"/>
      <c r="R79" s="599"/>
      <c r="S79" s="599"/>
      <c r="T79" s="599"/>
      <c r="U79" s="599"/>
      <c r="V79" s="599"/>
      <c r="W79" s="345">
        <f t="shared" si="23"/>
        <v>0</v>
      </c>
      <c r="X79" s="345">
        <f t="shared" si="24"/>
        <v>0</v>
      </c>
      <c r="Y79" s="345">
        <f t="shared" si="25"/>
        <v>0</v>
      </c>
      <c r="Z79" s="600"/>
      <c r="AA79" s="559"/>
      <c r="AB79" s="140"/>
    </row>
    <row r="80" spans="3:28" x14ac:dyDescent="0.25">
      <c r="C80" s="598"/>
      <c r="D80" s="598"/>
      <c r="E80" s="599"/>
      <c r="F80" s="599"/>
      <c r="G80" s="599"/>
      <c r="H80" s="599"/>
      <c r="I80" s="599"/>
      <c r="J80" s="599"/>
      <c r="K80" s="599"/>
      <c r="L80" s="599"/>
      <c r="M80" s="599"/>
      <c r="N80" s="599"/>
      <c r="O80" s="599"/>
      <c r="P80" s="599"/>
      <c r="Q80" s="599"/>
      <c r="R80" s="599"/>
      <c r="S80" s="599"/>
      <c r="T80" s="599"/>
      <c r="U80" s="599"/>
      <c r="V80" s="599"/>
      <c r="W80" s="345">
        <f t="shared" si="23"/>
        <v>0</v>
      </c>
      <c r="X80" s="345">
        <f t="shared" si="24"/>
        <v>0</v>
      </c>
      <c r="Y80" s="345">
        <f t="shared" si="25"/>
        <v>0</v>
      </c>
      <c r="Z80" s="600"/>
      <c r="AA80" s="559"/>
      <c r="AB80" s="140"/>
    </row>
    <row r="81" spans="1:29" x14ac:dyDescent="0.25">
      <c r="C81" s="598"/>
      <c r="D81" s="598"/>
      <c r="E81" s="599"/>
      <c r="F81" s="599"/>
      <c r="G81" s="599"/>
      <c r="H81" s="599"/>
      <c r="I81" s="599"/>
      <c r="J81" s="599"/>
      <c r="K81" s="599"/>
      <c r="L81" s="599"/>
      <c r="M81" s="599"/>
      <c r="N81" s="599"/>
      <c r="O81" s="599"/>
      <c r="P81" s="599"/>
      <c r="Q81" s="599"/>
      <c r="R81" s="599"/>
      <c r="S81" s="599"/>
      <c r="T81" s="599"/>
      <c r="U81" s="599"/>
      <c r="V81" s="599"/>
      <c r="W81" s="345">
        <f t="shared" si="23"/>
        <v>0</v>
      </c>
      <c r="X81" s="345">
        <f t="shared" si="24"/>
        <v>0</v>
      </c>
      <c r="Y81" s="345">
        <f t="shared" si="25"/>
        <v>0</v>
      </c>
      <c r="Z81" s="600"/>
      <c r="AA81" s="559"/>
      <c r="AB81" s="140"/>
    </row>
    <row r="82" spans="1:29" x14ac:dyDescent="0.25">
      <c r="C82" s="598"/>
      <c r="D82" s="598"/>
      <c r="E82" s="599"/>
      <c r="F82" s="599"/>
      <c r="G82" s="599"/>
      <c r="H82" s="599"/>
      <c r="I82" s="599"/>
      <c r="J82" s="599"/>
      <c r="K82" s="599"/>
      <c r="L82" s="599"/>
      <c r="M82" s="599"/>
      <c r="N82" s="599"/>
      <c r="O82" s="599"/>
      <c r="P82" s="599"/>
      <c r="Q82" s="599"/>
      <c r="R82" s="599"/>
      <c r="S82" s="599"/>
      <c r="T82" s="599"/>
      <c r="U82" s="599"/>
      <c r="V82" s="599"/>
      <c r="W82" s="345">
        <f t="shared" si="23"/>
        <v>0</v>
      </c>
      <c r="X82" s="345">
        <f t="shared" si="24"/>
        <v>0</v>
      </c>
      <c r="Y82" s="345">
        <f t="shared" si="25"/>
        <v>0</v>
      </c>
      <c r="Z82" s="600"/>
      <c r="AA82" s="559"/>
      <c r="AB82" s="140"/>
    </row>
    <row r="83" spans="1:29" x14ac:dyDescent="0.25">
      <c r="C83" s="598"/>
      <c r="D83" s="598"/>
      <c r="E83" s="599"/>
      <c r="F83" s="599"/>
      <c r="G83" s="599"/>
      <c r="H83" s="599"/>
      <c r="I83" s="599"/>
      <c r="J83" s="599"/>
      <c r="K83" s="599"/>
      <c r="L83" s="599"/>
      <c r="M83" s="599"/>
      <c r="N83" s="599"/>
      <c r="O83" s="599"/>
      <c r="P83" s="599"/>
      <c r="Q83" s="599"/>
      <c r="R83" s="599"/>
      <c r="S83" s="599"/>
      <c r="T83" s="599"/>
      <c r="U83" s="599"/>
      <c r="V83" s="599"/>
      <c r="W83" s="345">
        <f t="shared" si="23"/>
        <v>0</v>
      </c>
      <c r="X83" s="345">
        <f t="shared" si="24"/>
        <v>0</v>
      </c>
      <c r="Y83" s="345">
        <f t="shared" si="25"/>
        <v>0</v>
      </c>
      <c r="Z83" s="600"/>
      <c r="AA83" s="559"/>
      <c r="AB83" s="140"/>
    </row>
    <row r="84" spans="1:29" x14ac:dyDescent="0.25">
      <c r="C84" s="598"/>
      <c r="D84" s="598"/>
      <c r="E84" s="599"/>
      <c r="F84" s="599"/>
      <c r="G84" s="599"/>
      <c r="H84" s="599"/>
      <c r="I84" s="599"/>
      <c r="J84" s="599"/>
      <c r="K84" s="599"/>
      <c r="L84" s="599"/>
      <c r="M84" s="599"/>
      <c r="N84" s="599"/>
      <c r="O84" s="599"/>
      <c r="P84" s="599"/>
      <c r="Q84" s="599"/>
      <c r="R84" s="599"/>
      <c r="S84" s="599"/>
      <c r="T84" s="599"/>
      <c r="U84" s="599"/>
      <c r="V84" s="599"/>
      <c r="W84" s="345">
        <f t="shared" si="23"/>
        <v>0</v>
      </c>
      <c r="X84" s="345">
        <f t="shared" si="24"/>
        <v>0</v>
      </c>
      <c r="Y84" s="345">
        <f t="shared" si="25"/>
        <v>0</v>
      </c>
      <c r="Z84" s="600"/>
      <c r="AA84" s="559"/>
      <c r="AB84" s="140"/>
    </row>
    <row r="85" spans="1:29" x14ac:dyDescent="0.25">
      <c r="C85" s="598"/>
      <c r="D85" s="598"/>
      <c r="E85" s="599"/>
      <c r="F85" s="599"/>
      <c r="G85" s="599"/>
      <c r="H85" s="599"/>
      <c r="I85" s="599"/>
      <c r="J85" s="599"/>
      <c r="K85" s="599"/>
      <c r="L85" s="599"/>
      <c r="M85" s="599"/>
      <c r="N85" s="599"/>
      <c r="O85" s="599"/>
      <c r="P85" s="599"/>
      <c r="Q85" s="599"/>
      <c r="R85" s="599"/>
      <c r="S85" s="599"/>
      <c r="T85" s="599"/>
      <c r="U85" s="599"/>
      <c r="V85" s="599"/>
      <c r="W85" s="345">
        <f t="shared" si="23"/>
        <v>0</v>
      </c>
      <c r="X85" s="345">
        <f t="shared" si="24"/>
        <v>0</v>
      </c>
      <c r="Y85" s="345">
        <f t="shared" si="25"/>
        <v>0</v>
      </c>
      <c r="Z85" s="600"/>
      <c r="AA85" s="559"/>
      <c r="AB85" s="140"/>
    </row>
    <row r="86" spans="1:29" x14ac:dyDescent="0.25">
      <c r="C86" s="598"/>
      <c r="D86" s="598"/>
      <c r="E86" s="599"/>
      <c r="F86" s="599"/>
      <c r="G86" s="599"/>
      <c r="H86" s="599"/>
      <c r="I86" s="599"/>
      <c r="J86" s="599"/>
      <c r="K86" s="599"/>
      <c r="L86" s="599"/>
      <c r="M86" s="599"/>
      <c r="N86" s="599"/>
      <c r="O86" s="599"/>
      <c r="P86" s="599"/>
      <c r="Q86" s="599"/>
      <c r="R86" s="599"/>
      <c r="S86" s="599"/>
      <c r="T86" s="599"/>
      <c r="U86" s="599"/>
      <c r="V86" s="599"/>
      <c r="W86" s="345">
        <f t="shared" si="23"/>
        <v>0</v>
      </c>
      <c r="X86" s="345">
        <f t="shared" si="24"/>
        <v>0</v>
      </c>
      <c r="Y86" s="345">
        <f t="shared" si="25"/>
        <v>0</v>
      </c>
      <c r="Z86" s="600"/>
      <c r="AA86" s="559"/>
      <c r="AB86" s="140"/>
    </row>
    <row r="87" spans="1:29" x14ac:dyDescent="0.25">
      <c r="C87" s="598"/>
      <c r="D87" s="598"/>
      <c r="E87" s="599"/>
      <c r="F87" s="599"/>
      <c r="G87" s="599"/>
      <c r="H87" s="599"/>
      <c r="I87" s="599"/>
      <c r="J87" s="599"/>
      <c r="K87" s="599"/>
      <c r="L87" s="599"/>
      <c r="M87" s="599"/>
      <c r="N87" s="599"/>
      <c r="O87" s="599"/>
      <c r="P87" s="599"/>
      <c r="Q87" s="599"/>
      <c r="R87" s="599"/>
      <c r="S87" s="599"/>
      <c r="T87" s="599"/>
      <c r="U87" s="599"/>
      <c r="V87" s="599"/>
      <c r="W87" s="345">
        <f t="shared" si="23"/>
        <v>0</v>
      </c>
      <c r="X87" s="345">
        <f t="shared" si="24"/>
        <v>0</v>
      </c>
      <c r="Y87" s="345">
        <f t="shared" si="25"/>
        <v>0</v>
      </c>
      <c r="Z87" s="600"/>
      <c r="AA87" s="559"/>
      <c r="AB87" s="140"/>
    </row>
    <row r="88" spans="1:29" x14ac:dyDescent="0.25">
      <c r="C88" s="598"/>
      <c r="D88" s="598"/>
      <c r="E88" s="599"/>
      <c r="F88" s="599"/>
      <c r="G88" s="599"/>
      <c r="H88" s="599"/>
      <c r="I88" s="599"/>
      <c r="J88" s="599"/>
      <c r="K88" s="599"/>
      <c r="L88" s="599"/>
      <c r="M88" s="599"/>
      <c r="N88" s="599"/>
      <c r="O88" s="599"/>
      <c r="P88" s="599"/>
      <c r="Q88" s="599"/>
      <c r="R88" s="599"/>
      <c r="S88" s="599"/>
      <c r="T88" s="599"/>
      <c r="U88" s="599"/>
      <c r="V88" s="599"/>
      <c r="W88" s="345">
        <f t="shared" si="23"/>
        <v>0</v>
      </c>
      <c r="X88" s="345">
        <f t="shared" si="24"/>
        <v>0</v>
      </c>
      <c r="Y88" s="345">
        <f t="shared" si="25"/>
        <v>0</v>
      </c>
      <c r="Z88" s="600"/>
      <c r="AA88" s="559"/>
      <c r="AB88" s="140"/>
    </row>
    <row r="89" spans="1:29" x14ac:dyDescent="0.25">
      <c r="C89" s="598"/>
      <c r="D89" s="598"/>
      <c r="E89" s="599"/>
      <c r="F89" s="599"/>
      <c r="G89" s="599"/>
      <c r="H89" s="599"/>
      <c r="I89" s="599"/>
      <c r="J89" s="599"/>
      <c r="K89" s="599"/>
      <c r="L89" s="599"/>
      <c r="M89" s="599"/>
      <c r="N89" s="599"/>
      <c r="O89" s="599"/>
      <c r="P89" s="599"/>
      <c r="Q89" s="599"/>
      <c r="R89" s="599"/>
      <c r="S89" s="599"/>
      <c r="T89" s="599"/>
      <c r="U89" s="599"/>
      <c r="V89" s="599"/>
      <c r="W89" s="345">
        <f t="shared" si="23"/>
        <v>0</v>
      </c>
      <c r="X89" s="345">
        <f t="shared" si="24"/>
        <v>0</v>
      </c>
      <c r="Y89" s="345">
        <f t="shared" si="25"/>
        <v>0</v>
      </c>
      <c r="Z89" s="600"/>
      <c r="AA89" s="559"/>
      <c r="AB89" s="140"/>
    </row>
    <row r="90" spans="1:29" x14ac:dyDescent="0.25">
      <c r="C90" s="136" t="str">
        <f>Translations!$B$1554</f>
        <v>Please continue by adding further rows above as needed. This must be done by copying an empty row and inserting it thereafter. A simple "insert row" command will NOT be sufficent.</v>
      </c>
      <c r="D90" s="133"/>
      <c r="E90" s="148"/>
      <c r="F90" s="148"/>
      <c r="G90" s="148"/>
      <c r="H90" s="148"/>
      <c r="I90" s="149"/>
      <c r="J90" s="149"/>
      <c r="K90" s="149"/>
      <c r="L90" s="149"/>
      <c r="M90" s="149"/>
      <c r="N90" s="149"/>
      <c r="O90" s="149"/>
      <c r="P90" s="149"/>
      <c r="Q90" s="149"/>
      <c r="R90" s="149"/>
      <c r="S90" s="149"/>
      <c r="T90" s="149"/>
      <c r="U90" s="149"/>
      <c r="V90" s="149"/>
      <c r="W90" s="348"/>
      <c r="X90" s="348"/>
      <c r="Y90" s="348"/>
      <c r="Z90" s="349"/>
      <c r="AA90" s="559"/>
      <c r="AB90" s="140"/>
      <c r="AC90" s="772"/>
    </row>
    <row r="91" spans="1:29" ht="51" customHeight="1" thickBot="1" x14ac:dyDescent="0.3">
      <c r="C91" s="1279" t="str">
        <f>Translations!$B$1316</f>
        <v>Aggregated CO2 emissions from all flights departing from each Member State to another Member State, to Switzerland, or to the UK</v>
      </c>
      <c r="D91" s="1281"/>
      <c r="E91" s="163">
        <f>SUM(E65:E90)</f>
        <v>0</v>
      </c>
      <c r="F91" s="163">
        <f t="shared" ref="F91:V91" si="26">SUM(F65:F90)</f>
        <v>0</v>
      </c>
      <c r="G91" s="163">
        <f t="shared" si="26"/>
        <v>0</v>
      </c>
      <c r="H91" s="163">
        <f t="shared" si="26"/>
        <v>0</v>
      </c>
      <c r="I91" s="163">
        <f t="shared" si="26"/>
        <v>0</v>
      </c>
      <c r="J91" s="163">
        <f t="shared" si="26"/>
        <v>0</v>
      </c>
      <c r="K91" s="163">
        <f t="shared" si="26"/>
        <v>0</v>
      </c>
      <c r="L91" s="163">
        <f t="shared" si="26"/>
        <v>0</v>
      </c>
      <c r="M91" s="163">
        <f t="shared" si="26"/>
        <v>0</v>
      </c>
      <c r="N91" s="163">
        <f t="shared" si="26"/>
        <v>0</v>
      </c>
      <c r="O91" s="163">
        <f t="shared" si="26"/>
        <v>0</v>
      </c>
      <c r="P91" s="163">
        <f t="shared" si="26"/>
        <v>0</v>
      </c>
      <c r="Q91" s="163">
        <f t="shared" si="26"/>
        <v>0</v>
      </c>
      <c r="R91" s="163">
        <f t="shared" si="26"/>
        <v>0</v>
      </c>
      <c r="S91" s="163">
        <f t="shared" si="26"/>
        <v>0</v>
      </c>
      <c r="T91" s="163">
        <f t="shared" si="26"/>
        <v>0</v>
      </c>
      <c r="U91" s="163">
        <f t="shared" si="26"/>
        <v>0</v>
      </c>
      <c r="V91" s="163">
        <f t="shared" si="26"/>
        <v>0</v>
      </c>
      <c r="W91" s="345">
        <f>SUM(W65:W90)</f>
        <v>0</v>
      </c>
      <c r="X91" s="345">
        <f>SUM(X65:X90)</f>
        <v>0</v>
      </c>
      <c r="Y91" s="345">
        <f>SUM(Y65:Y90)</f>
        <v>0</v>
      </c>
      <c r="Z91" s="347">
        <f>SUM(Z65:Z90)</f>
        <v>0</v>
      </c>
      <c r="AA91" s="559"/>
    </row>
    <row r="92" spans="1:29" x14ac:dyDescent="0.25">
      <c r="C92" s="150"/>
      <c r="D92" s="150"/>
      <c r="E92" s="150"/>
      <c r="F92" s="150"/>
      <c r="G92" s="150"/>
      <c r="H92" s="150"/>
      <c r="I92" s="150"/>
      <c r="J92" s="150"/>
      <c r="K92" s="150"/>
      <c r="L92" s="150"/>
      <c r="M92" s="150"/>
      <c r="N92" s="150"/>
      <c r="O92" s="150"/>
      <c r="P92" s="150"/>
      <c r="Q92" s="150"/>
      <c r="R92" s="150"/>
      <c r="S92" s="150"/>
      <c r="T92" s="150"/>
      <c r="U92" s="150"/>
      <c r="V92" s="150"/>
      <c r="W92" s="151"/>
      <c r="X92" s="151"/>
      <c r="Y92" s="151"/>
      <c r="AA92" s="559"/>
    </row>
    <row r="93" spans="1:29" ht="12.75" hidden="1" customHeight="1" x14ac:dyDescent="0.25">
      <c r="A93" s="310"/>
      <c r="B93" s="57" t="s">
        <v>28</v>
      </c>
      <c r="C93" s="1227" t="str">
        <f>Translations!$B$999</f>
        <v>Aggregated CO2 emissions from all flights arriving at each Member State from a third country:</v>
      </c>
      <c r="D93" s="1210"/>
      <c r="E93" s="1210"/>
      <c r="F93" s="1210"/>
      <c r="G93" s="1210"/>
      <c r="H93" s="1210"/>
      <c r="I93" s="1210"/>
      <c r="J93" s="1210"/>
      <c r="K93" s="1210"/>
      <c r="L93" s="1210"/>
      <c r="M93" s="1210"/>
      <c r="N93" s="1210"/>
      <c r="O93" s="1210"/>
      <c r="P93" s="1210"/>
      <c r="Q93" s="1210"/>
      <c r="R93" s="1210"/>
      <c r="S93" s="1210"/>
      <c r="T93" s="1210"/>
      <c r="U93" s="1210"/>
      <c r="V93" s="1210"/>
      <c r="W93" s="1210"/>
      <c r="X93" s="1210"/>
      <c r="Y93" s="1210"/>
      <c r="AA93" s="559"/>
      <c r="AC93" s="118" t="str">
        <f>Translations!$B$1278</f>
        <v>Hide row for reduced scope</v>
      </c>
    </row>
    <row r="94" spans="1:29" ht="25.5" hidden="1" customHeight="1" thickBot="1" x14ac:dyDescent="0.3">
      <c r="A94" s="310"/>
      <c r="C94" s="1152" t="s">
        <v>200</v>
      </c>
      <c r="D94" s="1034"/>
      <c r="E94" s="1034"/>
      <c r="F94" s="1034"/>
      <c r="G94" s="1034"/>
      <c r="H94" s="1034"/>
      <c r="I94" s="1034"/>
      <c r="J94" s="1034"/>
      <c r="K94" s="1034"/>
      <c r="L94" s="1034"/>
      <c r="M94" s="1034"/>
      <c r="N94" s="1034"/>
      <c r="O94" s="1034"/>
      <c r="P94" s="1034"/>
      <c r="Q94" s="1034"/>
      <c r="R94" s="1034"/>
      <c r="S94" s="1034"/>
      <c r="T94" s="1034"/>
      <c r="U94" s="1034"/>
      <c r="V94" s="1034"/>
      <c r="W94" s="1034"/>
      <c r="X94" s="1034"/>
      <c r="Y94" s="1034"/>
      <c r="Z94" s="1034"/>
      <c r="AA94" s="299"/>
      <c r="AC94" s="118" t="str">
        <f>Translations!$B$1278</f>
        <v>Hide row for reduced scope</v>
      </c>
    </row>
    <row r="95" spans="1:29" hidden="1" x14ac:dyDescent="0.25">
      <c r="A95" s="310"/>
      <c r="C95" s="132"/>
      <c r="D95" s="144"/>
      <c r="E95" s="1271" t="s">
        <v>190</v>
      </c>
      <c r="F95" s="1272"/>
      <c r="G95" s="1272"/>
      <c r="H95" s="1272"/>
      <c r="I95" s="1272"/>
      <c r="J95" s="1272"/>
      <c r="K95" s="1272"/>
      <c r="L95" s="1272"/>
      <c r="M95" s="1272"/>
      <c r="N95" s="1272"/>
      <c r="O95" s="1272"/>
      <c r="P95" s="1272"/>
      <c r="Q95" s="1272"/>
      <c r="R95" s="1272"/>
      <c r="S95" s="1272"/>
      <c r="T95" s="1272"/>
      <c r="U95" s="1272"/>
      <c r="V95" s="1272"/>
      <c r="W95" s="1267" t="s">
        <v>191</v>
      </c>
      <c r="X95" s="1267" t="s">
        <v>192</v>
      </c>
      <c r="Y95" s="1267" t="s">
        <v>193</v>
      </c>
      <c r="Z95" s="1269" t="str">
        <f>Translations!$B$1026</f>
        <v>Total number of flights</v>
      </c>
      <c r="AA95" s="559"/>
      <c r="AB95" s="140"/>
      <c r="AC95" s="118" t="str">
        <f>Translations!$B$1278</f>
        <v>Hide row for reduced scope</v>
      </c>
    </row>
    <row r="96" spans="1:29" ht="31.5" hidden="1" x14ac:dyDescent="0.25">
      <c r="A96" s="310"/>
      <c r="C96" s="50" t="str">
        <f>Translations!$B$1000</f>
        <v>State of departure</v>
      </c>
      <c r="D96" s="50" t="str">
        <f>Translations!$B$1001</f>
        <v>Member State of arrival</v>
      </c>
      <c r="E96" s="50" t="str">
        <f>Translations!$B$981</f>
        <v>Jet kerosene (jet A1 or 
jet A)</v>
      </c>
      <c r="F96" s="50" t="str">
        <f>Translations!$B$274</f>
        <v>Jet gasoline (Jet B)</v>
      </c>
      <c r="G96" s="50" t="str">
        <f>Translations!$B$275</f>
        <v>Aviation gasoline (AvGas)</v>
      </c>
      <c r="H96" s="143" t="str">
        <f t="shared" ref="H96:V96" si="27">H$193</f>
        <v>Fuel 4</v>
      </c>
      <c r="I96" s="143" t="str">
        <f t="shared" si="27"/>
        <v>Fuel 5</v>
      </c>
      <c r="J96" s="143" t="str">
        <f t="shared" si="27"/>
        <v>Fuel 6</v>
      </c>
      <c r="K96" s="143" t="str">
        <f t="shared" si="27"/>
        <v>Fuel 7</v>
      </c>
      <c r="L96" s="143" t="str">
        <f t="shared" si="27"/>
        <v>Fuel 8</v>
      </c>
      <c r="M96" s="143" t="str">
        <f t="shared" si="27"/>
        <v>Fuel 9</v>
      </c>
      <c r="N96" s="143" t="str">
        <f t="shared" si="27"/>
        <v>Fuel 10</v>
      </c>
      <c r="O96" s="143" t="str">
        <f t="shared" si="27"/>
        <v>Fuel 11</v>
      </c>
      <c r="P96" s="143" t="str">
        <f t="shared" si="27"/>
        <v>Fuel 12</v>
      </c>
      <c r="Q96" s="143" t="str">
        <f t="shared" si="27"/>
        <v>Fuel 13</v>
      </c>
      <c r="R96" s="143" t="str">
        <f t="shared" si="27"/>
        <v>Fuel 14</v>
      </c>
      <c r="S96" s="143" t="str">
        <f t="shared" si="27"/>
        <v>Fuel 15</v>
      </c>
      <c r="T96" s="143" t="str">
        <f t="shared" si="27"/>
        <v>Fuel 16</v>
      </c>
      <c r="U96" s="143" t="str">
        <f t="shared" si="27"/>
        <v>Fuel 17</v>
      </c>
      <c r="V96" s="143" t="str">
        <f t="shared" si="27"/>
        <v>Fuel 18</v>
      </c>
      <c r="W96" s="1268"/>
      <c r="X96" s="1268"/>
      <c r="Y96" s="1268"/>
      <c r="Z96" s="1270"/>
      <c r="AA96" s="559"/>
      <c r="AB96" s="140"/>
      <c r="AC96" s="118" t="str">
        <f>Translations!$B$1278</f>
        <v>Hide row for reduced scope</v>
      </c>
    </row>
    <row r="97" spans="1:29" hidden="1" x14ac:dyDescent="0.25">
      <c r="A97" s="310"/>
      <c r="C97" s="729"/>
      <c r="D97" s="729"/>
      <c r="E97" s="730"/>
      <c r="F97" s="730"/>
      <c r="G97" s="730"/>
      <c r="H97" s="730"/>
      <c r="I97" s="730"/>
      <c r="J97" s="730"/>
      <c r="K97" s="730"/>
      <c r="L97" s="730"/>
      <c r="M97" s="730"/>
      <c r="N97" s="730"/>
      <c r="O97" s="730"/>
      <c r="P97" s="730"/>
      <c r="Q97" s="730"/>
      <c r="R97" s="730"/>
      <c r="S97" s="730"/>
      <c r="T97" s="730"/>
      <c r="U97" s="730"/>
      <c r="V97" s="730"/>
      <c r="W97" s="345">
        <f t="shared" ref="W97:W121" si="28">SUMPRODUCT(E97:V97,$E$196:$V$196)</f>
        <v>0</v>
      </c>
      <c r="X97" s="345">
        <f t="shared" ref="X97:X121" si="29">Y97-W97</f>
        <v>0</v>
      </c>
      <c r="Y97" s="345">
        <f t="shared" ref="Y97:Y121" si="30">SUMPRODUCT(E97:V97,$E$195:$V$195)</f>
        <v>0</v>
      </c>
      <c r="Z97" s="731"/>
      <c r="AA97" s="559"/>
      <c r="AB97" s="140"/>
      <c r="AC97" s="118" t="str">
        <f>Translations!$B$1278</f>
        <v>Hide row for reduced scope</v>
      </c>
    </row>
    <row r="98" spans="1:29" hidden="1" x14ac:dyDescent="0.25">
      <c r="A98" s="310"/>
      <c r="C98" s="729"/>
      <c r="D98" s="729"/>
      <c r="E98" s="730"/>
      <c r="F98" s="730"/>
      <c r="G98" s="730"/>
      <c r="H98" s="730"/>
      <c r="I98" s="730"/>
      <c r="J98" s="730"/>
      <c r="K98" s="730"/>
      <c r="L98" s="730"/>
      <c r="M98" s="730"/>
      <c r="N98" s="730"/>
      <c r="O98" s="730"/>
      <c r="P98" s="730"/>
      <c r="Q98" s="730"/>
      <c r="R98" s="730"/>
      <c r="S98" s="730"/>
      <c r="T98" s="730"/>
      <c r="U98" s="730"/>
      <c r="V98" s="730"/>
      <c r="W98" s="345">
        <f t="shared" si="28"/>
        <v>0</v>
      </c>
      <c r="X98" s="345">
        <f t="shared" si="29"/>
        <v>0</v>
      </c>
      <c r="Y98" s="345">
        <f t="shared" si="30"/>
        <v>0</v>
      </c>
      <c r="Z98" s="731"/>
      <c r="AA98" s="559"/>
      <c r="AB98" s="140"/>
      <c r="AC98" s="118" t="str">
        <f>Translations!$B$1278</f>
        <v>Hide row for reduced scope</v>
      </c>
    </row>
    <row r="99" spans="1:29" hidden="1" x14ac:dyDescent="0.25">
      <c r="A99" s="310"/>
      <c r="C99" s="729"/>
      <c r="D99" s="729"/>
      <c r="E99" s="730"/>
      <c r="F99" s="730"/>
      <c r="G99" s="730"/>
      <c r="H99" s="730"/>
      <c r="I99" s="730"/>
      <c r="J99" s="730"/>
      <c r="K99" s="730"/>
      <c r="L99" s="730"/>
      <c r="M99" s="730"/>
      <c r="N99" s="730"/>
      <c r="O99" s="730"/>
      <c r="P99" s="730"/>
      <c r="Q99" s="730"/>
      <c r="R99" s="730"/>
      <c r="S99" s="730"/>
      <c r="T99" s="730"/>
      <c r="U99" s="730"/>
      <c r="V99" s="730"/>
      <c r="W99" s="345">
        <f t="shared" si="28"/>
        <v>0</v>
      </c>
      <c r="X99" s="345">
        <f t="shared" si="29"/>
        <v>0</v>
      </c>
      <c r="Y99" s="345">
        <f t="shared" si="30"/>
        <v>0</v>
      </c>
      <c r="Z99" s="731"/>
      <c r="AA99" s="559"/>
      <c r="AB99" s="140"/>
      <c r="AC99" s="118" t="str">
        <f>Translations!$B$1278</f>
        <v>Hide row for reduced scope</v>
      </c>
    </row>
    <row r="100" spans="1:29" hidden="1" x14ac:dyDescent="0.25">
      <c r="A100" s="310"/>
      <c r="C100" s="729"/>
      <c r="D100" s="729"/>
      <c r="E100" s="730"/>
      <c r="F100" s="730"/>
      <c r="G100" s="730"/>
      <c r="H100" s="730"/>
      <c r="I100" s="730"/>
      <c r="J100" s="730"/>
      <c r="K100" s="730"/>
      <c r="L100" s="730"/>
      <c r="M100" s="730"/>
      <c r="N100" s="730"/>
      <c r="O100" s="730"/>
      <c r="P100" s="730"/>
      <c r="Q100" s="730"/>
      <c r="R100" s="730"/>
      <c r="S100" s="730"/>
      <c r="T100" s="730"/>
      <c r="U100" s="730"/>
      <c r="V100" s="730"/>
      <c r="W100" s="345">
        <f t="shared" si="28"/>
        <v>0</v>
      </c>
      <c r="X100" s="345">
        <f t="shared" si="29"/>
        <v>0</v>
      </c>
      <c r="Y100" s="345">
        <f t="shared" si="30"/>
        <v>0</v>
      </c>
      <c r="Z100" s="731"/>
      <c r="AA100" s="559"/>
      <c r="AB100" s="140"/>
      <c r="AC100" s="118" t="str">
        <f>Translations!$B$1278</f>
        <v>Hide row for reduced scope</v>
      </c>
    </row>
    <row r="101" spans="1:29" hidden="1" x14ac:dyDescent="0.25">
      <c r="A101" s="310"/>
      <c r="C101" s="729"/>
      <c r="D101" s="729"/>
      <c r="E101" s="730"/>
      <c r="F101" s="730"/>
      <c r="G101" s="730"/>
      <c r="H101" s="730"/>
      <c r="I101" s="730"/>
      <c r="J101" s="730"/>
      <c r="K101" s="730"/>
      <c r="L101" s="730"/>
      <c r="M101" s="730"/>
      <c r="N101" s="730"/>
      <c r="O101" s="730"/>
      <c r="P101" s="730"/>
      <c r="Q101" s="730"/>
      <c r="R101" s="730"/>
      <c r="S101" s="730"/>
      <c r="T101" s="730"/>
      <c r="U101" s="730"/>
      <c r="V101" s="730"/>
      <c r="W101" s="345">
        <f t="shared" si="28"/>
        <v>0</v>
      </c>
      <c r="X101" s="345">
        <f t="shared" si="29"/>
        <v>0</v>
      </c>
      <c r="Y101" s="345">
        <f t="shared" si="30"/>
        <v>0</v>
      </c>
      <c r="Z101" s="731"/>
      <c r="AA101" s="559"/>
      <c r="AB101" s="140"/>
      <c r="AC101" s="118" t="str">
        <f>Translations!$B$1278</f>
        <v>Hide row for reduced scope</v>
      </c>
    </row>
    <row r="102" spans="1:29" hidden="1" x14ac:dyDescent="0.25">
      <c r="A102" s="310"/>
      <c r="C102" s="729"/>
      <c r="D102" s="729"/>
      <c r="E102" s="730"/>
      <c r="F102" s="730"/>
      <c r="G102" s="730"/>
      <c r="H102" s="730"/>
      <c r="I102" s="730"/>
      <c r="J102" s="730"/>
      <c r="K102" s="730"/>
      <c r="L102" s="730"/>
      <c r="M102" s="730"/>
      <c r="N102" s="730"/>
      <c r="O102" s="730"/>
      <c r="P102" s="730"/>
      <c r="Q102" s="730"/>
      <c r="R102" s="730"/>
      <c r="S102" s="730"/>
      <c r="T102" s="730"/>
      <c r="U102" s="730"/>
      <c r="V102" s="730"/>
      <c r="W102" s="345">
        <f t="shared" si="28"/>
        <v>0</v>
      </c>
      <c r="X102" s="345">
        <f t="shared" si="29"/>
        <v>0</v>
      </c>
      <c r="Y102" s="345">
        <f t="shared" si="30"/>
        <v>0</v>
      </c>
      <c r="Z102" s="731"/>
      <c r="AA102" s="559"/>
      <c r="AB102" s="140"/>
      <c r="AC102" s="118" t="str">
        <f>Translations!$B$1278</f>
        <v>Hide row for reduced scope</v>
      </c>
    </row>
    <row r="103" spans="1:29" hidden="1" x14ac:dyDescent="0.25">
      <c r="A103" s="310"/>
      <c r="C103" s="729"/>
      <c r="D103" s="729"/>
      <c r="E103" s="730"/>
      <c r="F103" s="730"/>
      <c r="G103" s="730"/>
      <c r="H103" s="730"/>
      <c r="I103" s="730"/>
      <c r="J103" s="730"/>
      <c r="K103" s="730"/>
      <c r="L103" s="730"/>
      <c r="M103" s="730"/>
      <c r="N103" s="730"/>
      <c r="O103" s="730"/>
      <c r="P103" s="730"/>
      <c r="Q103" s="730"/>
      <c r="R103" s="730"/>
      <c r="S103" s="730"/>
      <c r="T103" s="730"/>
      <c r="U103" s="730"/>
      <c r="V103" s="730"/>
      <c r="W103" s="345">
        <f t="shared" si="28"/>
        <v>0</v>
      </c>
      <c r="X103" s="345">
        <f t="shared" si="29"/>
        <v>0</v>
      </c>
      <c r="Y103" s="345">
        <f t="shared" si="30"/>
        <v>0</v>
      </c>
      <c r="Z103" s="731"/>
      <c r="AA103" s="559"/>
      <c r="AB103" s="140"/>
      <c r="AC103" s="118" t="str">
        <f>Translations!$B$1278</f>
        <v>Hide row for reduced scope</v>
      </c>
    </row>
    <row r="104" spans="1:29" hidden="1" x14ac:dyDescent="0.25">
      <c r="A104" s="310"/>
      <c r="C104" s="729"/>
      <c r="D104" s="729"/>
      <c r="E104" s="730"/>
      <c r="F104" s="730"/>
      <c r="G104" s="730"/>
      <c r="H104" s="730"/>
      <c r="I104" s="730"/>
      <c r="J104" s="730"/>
      <c r="K104" s="730"/>
      <c r="L104" s="730"/>
      <c r="M104" s="730"/>
      <c r="N104" s="730"/>
      <c r="O104" s="730"/>
      <c r="P104" s="730"/>
      <c r="Q104" s="730"/>
      <c r="R104" s="730"/>
      <c r="S104" s="730"/>
      <c r="T104" s="730"/>
      <c r="U104" s="730"/>
      <c r="V104" s="730"/>
      <c r="W104" s="345">
        <f t="shared" si="28"/>
        <v>0</v>
      </c>
      <c r="X104" s="345">
        <f t="shared" si="29"/>
        <v>0</v>
      </c>
      <c r="Y104" s="345">
        <f t="shared" si="30"/>
        <v>0</v>
      </c>
      <c r="Z104" s="731"/>
      <c r="AA104" s="559"/>
      <c r="AB104" s="140"/>
      <c r="AC104" s="118" t="str">
        <f>Translations!$B$1278</f>
        <v>Hide row for reduced scope</v>
      </c>
    </row>
    <row r="105" spans="1:29" hidden="1" x14ac:dyDescent="0.25">
      <c r="A105" s="310"/>
      <c r="C105" s="729"/>
      <c r="D105" s="729"/>
      <c r="E105" s="730"/>
      <c r="F105" s="730"/>
      <c r="G105" s="730"/>
      <c r="H105" s="730"/>
      <c r="I105" s="730"/>
      <c r="J105" s="730"/>
      <c r="K105" s="730"/>
      <c r="L105" s="730"/>
      <c r="M105" s="730"/>
      <c r="N105" s="730"/>
      <c r="O105" s="730"/>
      <c r="P105" s="730"/>
      <c r="Q105" s="730"/>
      <c r="R105" s="730"/>
      <c r="S105" s="730"/>
      <c r="T105" s="730"/>
      <c r="U105" s="730"/>
      <c r="V105" s="730"/>
      <c r="W105" s="345">
        <f t="shared" si="28"/>
        <v>0</v>
      </c>
      <c r="X105" s="345">
        <f t="shared" si="29"/>
        <v>0</v>
      </c>
      <c r="Y105" s="345">
        <f t="shared" si="30"/>
        <v>0</v>
      </c>
      <c r="Z105" s="731"/>
      <c r="AA105" s="559"/>
      <c r="AB105" s="140"/>
      <c r="AC105" s="118" t="str">
        <f>Translations!$B$1278</f>
        <v>Hide row for reduced scope</v>
      </c>
    </row>
    <row r="106" spans="1:29" hidden="1" x14ac:dyDescent="0.25">
      <c r="A106" s="310"/>
      <c r="C106" s="729"/>
      <c r="D106" s="729"/>
      <c r="E106" s="730"/>
      <c r="F106" s="730"/>
      <c r="G106" s="730"/>
      <c r="H106" s="730"/>
      <c r="I106" s="730"/>
      <c r="J106" s="730"/>
      <c r="K106" s="730"/>
      <c r="L106" s="730"/>
      <c r="M106" s="730"/>
      <c r="N106" s="730"/>
      <c r="O106" s="730"/>
      <c r="P106" s="730"/>
      <c r="Q106" s="730"/>
      <c r="R106" s="730"/>
      <c r="S106" s="730"/>
      <c r="T106" s="730"/>
      <c r="U106" s="730"/>
      <c r="V106" s="730"/>
      <c r="W106" s="345">
        <f t="shared" si="28"/>
        <v>0</v>
      </c>
      <c r="X106" s="345">
        <f t="shared" si="29"/>
        <v>0</v>
      </c>
      <c r="Y106" s="345">
        <f t="shared" si="30"/>
        <v>0</v>
      </c>
      <c r="Z106" s="731"/>
      <c r="AA106" s="559"/>
      <c r="AB106" s="140"/>
      <c r="AC106" s="118" t="str">
        <f>Translations!$B$1278</f>
        <v>Hide row for reduced scope</v>
      </c>
    </row>
    <row r="107" spans="1:29" hidden="1" x14ac:dyDescent="0.25">
      <c r="A107" s="310"/>
      <c r="C107" s="729"/>
      <c r="D107" s="729"/>
      <c r="E107" s="730"/>
      <c r="F107" s="730"/>
      <c r="G107" s="730"/>
      <c r="H107" s="730"/>
      <c r="I107" s="730"/>
      <c r="J107" s="730"/>
      <c r="K107" s="730"/>
      <c r="L107" s="730"/>
      <c r="M107" s="730"/>
      <c r="N107" s="730"/>
      <c r="O107" s="730"/>
      <c r="P107" s="730"/>
      <c r="Q107" s="730"/>
      <c r="R107" s="730"/>
      <c r="S107" s="730"/>
      <c r="T107" s="730"/>
      <c r="U107" s="730"/>
      <c r="V107" s="730"/>
      <c r="W107" s="345">
        <f t="shared" si="28"/>
        <v>0</v>
      </c>
      <c r="X107" s="345">
        <f t="shared" si="29"/>
        <v>0</v>
      </c>
      <c r="Y107" s="345">
        <f t="shared" si="30"/>
        <v>0</v>
      </c>
      <c r="Z107" s="731"/>
      <c r="AA107" s="559"/>
      <c r="AB107" s="140"/>
      <c r="AC107" s="118" t="str">
        <f>Translations!$B$1278</f>
        <v>Hide row for reduced scope</v>
      </c>
    </row>
    <row r="108" spans="1:29" hidden="1" x14ac:dyDescent="0.25">
      <c r="A108" s="310"/>
      <c r="C108" s="729"/>
      <c r="D108" s="729"/>
      <c r="E108" s="730"/>
      <c r="F108" s="730"/>
      <c r="G108" s="730"/>
      <c r="H108" s="730"/>
      <c r="I108" s="730"/>
      <c r="J108" s="730"/>
      <c r="K108" s="730"/>
      <c r="L108" s="730"/>
      <c r="M108" s="730"/>
      <c r="N108" s="730"/>
      <c r="O108" s="730"/>
      <c r="P108" s="730"/>
      <c r="Q108" s="730"/>
      <c r="R108" s="730"/>
      <c r="S108" s="730"/>
      <c r="T108" s="730"/>
      <c r="U108" s="730"/>
      <c r="V108" s="730"/>
      <c r="W108" s="345">
        <f t="shared" si="28"/>
        <v>0</v>
      </c>
      <c r="X108" s="345">
        <f t="shared" si="29"/>
        <v>0</v>
      </c>
      <c r="Y108" s="345">
        <f t="shared" si="30"/>
        <v>0</v>
      </c>
      <c r="Z108" s="731"/>
      <c r="AA108" s="559"/>
      <c r="AB108" s="140"/>
      <c r="AC108" s="118" t="str">
        <f>Translations!$B$1278</f>
        <v>Hide row for reduced scope</v>
      </c>
    </row>
    <row r="109" spans="1:29" hidden="1" x14ac:dyDescent="0.25">
      <c r="A109" s="310"/>
      <c r="C109" s="729"/>
      <c r="D109" s="729"/>
      <c r="E109" s="730"/>
      <c r="F109" s="730"/>
      <c r="G109" s="730"/>
      <c r="H109" s="730"/>
      <c r="I109" s="730"/>
      <c r="J109" s="730"/>
      <c r="K109" s="730"/>
      <c r="L109" s="730"/>
      <c r="M109" s="730"/>
      <c r="N109" s="730"/>
      <c r="O109" s="730"/>
      <c r="P109" s="730"/>
      <c r="Q109" s="730"/>
      <c r="R109" s="730"/>
      <c r="S109" s="730"/>
      <c r="T109" s="730"/>
      <c r="U109" s="730"/>
      <c r="V109" s="730"/>
      <c r="W109" s="345">
        <f t="shared" si="28"/>
        <v>0</v>
      </c>
      <c r="X109" s="345">
        <f t="shared" si="29"/>
        <v>0</v>
      </c>
      <c r="Y109" s="345">
        <f t="shared" si="30"/>
        <v>0</v>
      </c>
      <c r="Z109" s="731"/>
      <c r="AA109" s="559"/>
      <c r="AB109" s="140"/>
      <c r="AC109" s="118" t="str">
        <f>Translations!$B$1278</f>
        <v>Hide row for reduced scope</v>
      </c>
    </row>
    <row r="110" spans="1:29" hidden="1" x14ac:dyDescent="0.25">
      <c r="A110" s="310"/>
      <c r="C110" s="729"/>
      <c r="D110" s="729"/>
      <c r="E110" s="730"/>
      <c r="F110" s="730"/>
      <c r="G110" s="730"/>
      <c r="H110" s="730"/>
      <c r="I110" s="730"/>
      <c r="J110" s="730"/>
      <c r="K110" s="730"/>
      <c r="L110" s="730"/>
      <c r="M110" s="730"/>
      <c r="N110" s="730"/>
      <c r="O110" s="730"/>
      <c r="P110" s="730"/>
      <c r="Q110" s="730"/>
      <c r="R110" s="730"/>
      <c r="S110" s="730"/>
      <c r="T110" s="730"/>
      <c r="U110" s="730"/>
      <c r="V110" s="730"/>
      <c r="W110" s="345">
        <f t="shared" si="28"/>
        <v>0</v>
      </c>
      <c r="X110" s="345">
        <f t="shared" si="29"/>
        <v>0</v>
      </c>
      <c r="Y110" s="345">
        <f t="shared" si="30"/>
        <v>0</v>
      </c>
      <c r="Z110" s="731"/>
      <c r="AA110" s="559"/>
      <c r="AB110" s="140"/>
      <c r="AC110" s="118" t="str">
        <f>Translations!$B$1278</f>
        <v>Hide row for reduced scope</v>
      </c>
    </row>
    <row r="111" spans="1:29" hidden="1" x14ac:dyDescent="0.25">
      <c r="A111" s="310"/>
      <c r="C111" s="729"/>
      <c r="D111" s="729"/>
      <c r="E111" s="730"/>
      <c r="F111" s="730"/>
      <c r="G111" s="730"/>
      <c r="H111" s="730"/>
      <c r="I111" s="730"/>
      <c r="J111" s="730"/>
      <c r="K111" s="730"/>
      <c r="L111" s="730"/>
      <c r="M111" s="730"/>
      <c r="N111" s="730"/>
      <c r="O111" s="730"/>
      <c r="P111" s="730"/>
      <c r="Q111" s="730"/>
      <c r="R111" s="730"/>
      <c r="S111" s="730"/>
      <c r="T111" s="730"/>
      <c r="U111" s="730"/>
      <c r="V111" s="730"/>
      <c r="W111" s="345">
        <f t="shared" si="28"/>
        <v>0</v>
      </c>
      <c r="X111" s="345">
        <f t="shared" si="29"/>
        <v>0</v>
      </c>
      <c r="Y111" s="345">
        <f t="shared" si="30"/>
        <v>0</v>
      </c>
      <c r="Z111" s="731"/>
      <c r="AA111" s="559"/>
      <c r="AB111" s="140"/>
      <c r="AC111" s="118" t="str">
        <f>Translations!$B$1278</f>
        <v>Hide row for reduced scope</v>
      </c>
    </row>
    <row r="112" spans="1:29" hidden="1" x14ac:dyDescent="0.25">
      <c r="A112" s="310"/>
      <c r="C112" s="729"/>
      <c r="D112" s="729"/>
      <c r="E112" s="730"/>
      <c r="F112" s="730"/>
      <c r="G112" s="730"/>
      <c r="H112" s="730"/>
      <c r="I112" s="730"/>
      <c r="J112" s="730"/>
      <c r="K112" s="730"/>
      <c r="L112" s="730"/>
      <c r="M112" s="730"/>
      <c r="N112" s="730"/>
      <c r="O112" s="730"/>
      <c r="P112" s="730"/>
      <c r="Q112" s="730"/>
      <c r="R112" s="730"/>
      <c r="S112" s="730"/>
      <c r="T112" s="730"/>
      <c r="U112" s="730"/>
      <c r="V112" s="730"/>
      <c r="W112" s="345">
        <f t="shared" si="28"/>
        <v>0</v>
      </c>
      <c r="X112" s="345">
        <f t="shared" si="29"/>
        <v>0</v>
      </c>
      <c r="Y112" s="345">
        <f t="shared" si="30"/>
        <v>0</v>
      </c>
      <c r="Z112" s="731"/>
      <c r="AA112" s="559"/>
      <c r="AB112" s="140"/>
      <c r="AC112" s="118" t="str">
        <f>Translations!$B$1278</f>
        <v>Hide row for reduced scope</v>
      </c>
    </row>
    <row r="113" spans="1:29" hidden="1" x14ac:dyDescent="0.25">
      <c r="A113" s="310"/>
      <c r="C113" s="729"/>
      <c r="D113" s="729"/>
      <c r="E113" s="730"/>
      <c r="F113" s="730"/>
      <c r="G113" s="730"/>
      <c r="H113" s="730"/>
      <c r="I113" s="730"/>
      <c r="J113" s="730"/>
      <c r="K113" s="730"/>
      <c r="L113" s="730"/>
      <c r="M113" s="730"/>
      <c r="N113" s="730"/>
      <c r="O113" s="730"/>
      <c r="P113" s="730"/>
      <c r="Q113" s="730"/>
      <c r="R113" s="730"/>
      <c r="S113" s="730"/>
      <c r="T113" s="730"/>
      <c r="U113" s="730"/>
      <c r="V113" s="730"/>
      <c r="W113" s="345">
        <f t="shared" si="28"/>
        <v>0</v>
      </c>
      <c r="X113" s="345">
        <f t="shared" si="29"/>
        <v>0</v>
      </c>
      <c r="Y113" s="345">
        <f t="shared" si="30"/>
        <v>0</v>
      </c>
      <c r="Z113" s="731"/>
      <c r="AA113" s="559"/>
      <c r="AB113" s="140"/>
      <c r="AC113" s="118" t="str">
        <f>Translations!$B$1278</f>
        <v>Hide row for reduced scope</v>
      </c>
    </row>
    <row r="114" spans="1:29" hidden="1" x14ac:dyDescent="0.25">
      <c r="A114" s="310"/>
      <c r="C114" s="729"/>
      <c r="D114" s="729"/>
      <c r="E114" s="730"/>
      <c r="F114" s="730"/>
      <c r="G114" s="730"/>
      <c r="H114" s="730"/>
      <c r="I114" s="730"/>
      <c r="J114" s="730"/>
      <c r="K114" s="730"/>
      <c r="L114" s="730"/>
      <c r="M114" s="730"/>
      <c r="N114" s="730"/>
      <c r="O114" s="730"/>
      <c r="P114" s="730"/>
      <c r="Q114" s="730"/>
      <c r="R114" s="730"/>
      <c r="S114" s="730"/>
      <c r="T114" s="730"/>
      <c r="U114" s="730"/>
      <c r="V114" s="730"/>
      <c r="W114" s="345">
        <f t="shared" si="28"/>
        <v>0</v>
      </c>
      <c r="X114" s="345">
        <f t="shared" si="29"/>
        <v>0</v>
      </c>
      <c r="Y114" s="345">
        <f t="shared" si="30"/>
        <v>0</v>
      </c>
      <c r="Z114" s="731"/>
      <c r="AA114" s="559"/>
      <c r="AB114" s="140"/>
      <c r="AC114" s="118" t="str">
        <f>Translations!$B$1278</f>
        <v>Hide row for reduced scope</v>
      </c>
    </row>
    <row r="115" spans="1:29" hidden="1" x14ac:dyDescent="0.25">
      <c r="A115" s="310"/>
      <c r="C115" s="729"/>
      <c r="D115" s="729"/>
      <c r="E115" s="730"/>
      <c r="F115" s="730"/>
      <c r="G115" s="730"/>
      <c r="H115" s="730"/>
      <c r="I115" s="730"/>
      <c r="J115" s="730"/>
      <c r="K115" s="730"/>
      <c r="L115" s="730"/>
      <c r="M115" s="730"/>
      <c r="N115" s="730"/>
      <c r="O115" s="730"/>
      <c r="P115" s="730"/>
      <c r="Q115" s="730"/>
      <c r="R115" s="730"/>
      <c r="S115" s="730"/>
      <c r="T115" s="730"/>
      <c r="U115" s="730"/>
      <c r="V115" s="730"/>
      <c r="W115" s="345">
        <f t="shared" si="28"/>
        <v>0</v>
      </c>
      <c r="X115" s="345">
        <f t="shared" si="29"/>
        <v>0</v>
      </c>
      <c r="Y115" s="345">
        <f t="shared" si="30"/>
        <v>0</v>
      </c>
      <c r="Z115" s="731"/>
      <c r="AA115" s="559"/>
      <c r="AB115" s="140"/>
      <c r="AC115" s="118" t="str">
        <f>Translations!$B$1278</f>
        <v>Hide row for reduced scope</v>
      </c>
    </row>
    <row r="116" spans="1:29" hidden="1" x14ac:dyDescent="0.25">
      <c r="A116" s="310"/>
      <c r="C116" s="729"/>
      <c r="D116" s="729"/>
      <c r="E116" s="730"/>
      <c r="F116" s="730"/>
      <c r="G116" s="730"/>
      <c r="H116" s="730"/>
      <c r="I116" s="730"/>
      <c r="J116" s="730"/>
      <c r="K116" s="730"/>
      <c r="L116" s="730"/>
      <c r="M116" s="730"/>
      <c r="N116" s="730"/>
      <c r="O116" s="730"/>
      <c r="P116" s="730"/>
      <c r="Q116" s="730"/>
      <c r="R116" s="730"/>
      <c r="S116" s="730"/>
      <c r="T116" s="730"/>
      <c r="U116" s="730"/>
      <c r="V116" s="730"/>
      <c r="W116" s="345">
        <f t="shared" si="28"/>
        <v>0</v>
      </c>
      <c r="X116" s="345">
        <f t="shared" si="29"/>
        <v>0</v>
      </c>
      <c r="Y116" s="345">
        <f t="shared" si="30"/>
        <v>0</v>
      </c>
      <c r="Z116" s="731"/>
      <c r="AA116" s="559"/>
      <c r="AB116" s="140"/>
      <c r="AC116" s="118" t="str">
        <f>Translations!$B$1278</f>
        <v>Hide row for reduced scope</v>
      </c>
    </row>
    <row r="117" spans="1:29" hidden="1" x14ac:dyDescent="0.25">
      <c r="A117" s="310"/>
      <c r="C117" s="729"/>
      <c r="D117" s="729"/>
      <c r="E117" s="730"/>
      <c r="F117" s="730"/>
      <c r="G117" s="730"/>
      <c r="H117" s="730"/>
      <c r="I117" s="730"/>
      <c r="J117" s="730"/>
      <c r="K117" s="730"/>
      <c r="L117" s="730"/>
      <c r="M117" s="730"/>
      <c r="N117" s="730"/>
      <c r="O117" s="730"/>
      <c r="P117" s="730"/>
      <c r="Q117" s="730"/>
      <c r="R117" s="730"/>
      <c r="S117" s="730"/>
      <c r="T117" s="730"/>
      <c r="U117" s="730"/>
      <c r="V117" s="730"/>
      <c r="W117" s="345">
        <f t="shared" si="28"/>
        <v>0</v>
      </c>
      <c r="X117" s="345">
        <f t="shared" si="29"/>
        <v>0</v>
      </c>
      <c r="Y117" s="345">
        <f t="shared" si="30"/>
        <v>0</v>
      </c>
      <c r="Z117" s="731"/>
      <c r="AA117" s="559"/>
      <c r="AB117" s="140"/>
      <c r="AC117" s="118" t="str">
        <f>Translations!$B$1278</f>
        <v>Hide row for reduced scope</v>
      </c>
    </row>
    <row r="118" spans="1:29" hidden="1" x14ac:dyDescent="0.25">
      <c r="A118" s="310"/>
      <c r="C118" s="729"/>
      <c r="D118" s="729"/>
      <c r="E118" s="730"/>
      <c r="F118" s="730"/>
      <c r="G118" s="730"/>
      <c r="H118" s="730"/>
      <c r="I118" s="730"/>
      <c r="J118" s="730"/>
      <c r="K118" s="730"/>
      <c r="L118" s="730"/>
      <c r="M118" s="730"/>
      <c r="N118" s="730"/>
      <c r="O118" s="730"/>
      <c r="P118" s="730"/>
      <c r="Q118" s="730"/>
      <c r="R118" s="730"/>
      <c r="S118" s="730"/>
      <c r="T118" s="730"/>
      <c r="U118" s="730"/>
      <c r="V118" s="730"/>
      <c r="W118" s="345">
        <f t="shared" si="28"/>
        <v>0</v>
      </c>
      <c r="X118" s="345">
        <f t="shared" si="29"/>
        <v>0</v>
      </c>
      <c r="Y118" s="345">
        <f t="shared" si="30"/>
        <v>0</v>
      </c>
      <c r="Z118" s="731"/>
      <c r="AA118" s="559"/>
      <c r="AB118" s="140"/>
      <c r="AC118" s="118" t="str">
        <f>Translations!$B$1278</f>
        <v>Hide row for reduced scope</v>
      </c>
    </row>
    <row r="119" spans="1:29" hidden="1" x14ac:dyDescent="0.25">
      <c r="A119" s="310"/>
      <c r="C119" s="729"/>
      <c r="D119" s="729"/>
      <c r="E119" s="730"/>
      <c r="F119" s="730"/>
      <c r="G119" s="730"/>
      <c r="H119" s="730"/>
      <c r="I119" s="730"/>
      <c r="J119" s="730"/>
      <c r="K119" s="730"/>
      <c r="L119" s="730"/>
      <c r="M119" s="730"/>
      <c r="N119" s="730"/>
      <c r="O119" s="730"/>
      <c r="P119" s="730"/>
      <c r="Q119" s="730"/>
      <c r="R119" s="730"/>
      <c r="S119" s="730"/>
      <c r="T119" s="730"/>
      <c r="U119" s="730"/>
      <c r="V119" s="730"/>
      <c r="W119" s="345">
        <f t="shared" si="28"/>
        <v>0</v>
      </c>
      <c r="X119" s="345">
        <f t="shared" si="29"/>
        <v>0</v>
      </c>
      <c r="Y119" s="345">
        <f t="shared" si="30"/>
        <v>0</v>
      </c>
      <c r="Z119" s="731"/>
      <c r="AA119" s="559"/>
      <c r="AB119" s="140"/>
      <c r="AC119" s="118" t="str">
        <f>Translations!$B$1278</f>
        <v>Hide row for reduced scope</v>
      </c>
    </row>
    <row r="120" spans="1:29" hidden="1" x14ac:dyDescent="0.25">
      <c r="A120" s="310"/>
      <c r="C120" s="729"/>
      <c r="D120" s="729"/>
      <c r="E120" s="730"/>
      <c r="F120" s="730"/>
      <c r="G120" s="730"/>
      <c r="H120" s="730"/>
      <c r="I120" s="730"/>
      <c r="J120" s="730"/>
      <c r="K120" s="730"/>
      <c r="L120" s="730"/>
      <c r="M120" s="730"/>
      <c r="N120" s="730"/>
      <c r="O120" s="730"/>
      <c r="P120" s="730"/>
      <c r="Q120" s="730"/>
      <c r="R120" s="730"/>
      <c r="S120" s="730"/>
      <c r="T120" s="730"/>
      <c r="U120" s="730"/>
      <c r="V120" s="730"/>
      <c r="W120" s="345">
        <f t="shared" si="28"/>
        <v>0</v>
      </c>
      <c r="X120" s="345">
        <f t="shared" si="29"/>
        <v>0</v>
      </c>
      <c r="Y120" s="345">
        <f t="shared" si="30"/>
        <v>0</v>
      </c>
      <c r="Z120" s="731"/>
      <c r="AA120" s="559"/>
      <c r="AB120" s="140"/>
      <c r="AC120" s="118" t="str">
        <f>Translations!$B$1278</f>
        <v>Hide row for reduced scope</v>
      </c>
    </row>
    <row r="121" spans="1:29" hidden="1" x14ac:dyDescent="0.25">
      <c r="A121" s="310"/>
      <c r="C121" s="729"/>
      <c r="D121" s="729"/>
      <c r="E121" s="730"/>
      <c r="F121" s="730"/>
      <c r="G121" s="730"/>
      <c r="H121" s="730"/>
      <c r="I121" s="730"/>
      <c r="J121" s="730"/>
      <c r="K121" s="730"/>
      <c r="L121" s="730"/>
      <c r="M121" s="730"/>
      <c r="N121" s="730"/>
      <c r="O121" s="730"/>
      <c r="P121" s="730"/>
      <c r="Q121" s="730"/>
      <c r="R121" s="730"/>
      <c r="S121" s="730"/>
      <c r="T121" s="730"/>
      <c r="U121" s="730"/>
      <c r="V121" s="730"/>
      <c r="W121" s="345">
        <f t="shared" si="28"/>
        <v>0</v>
      </c>
      <c r="X121" s="345">
        <f t="shared" si="29"/>
        <v>0</v>
      </c>
      <c r="Y121" s="345">
        <f t="shared" si="30"/>
        <v>0</v>
      </c>
      <c r="Z121" s="731"/>
      <c r="AA121" s="559"/>
      <c r="AB121" s="140"/>
      <c r="AC121" s="118" t="str">
        <f>Translations!$B$1278</f>
        <v>Hide row for reduced scope</v>
      </c>
    </row>
    <row r="122" spans="1:29" hidden="1" x14ac:dyDescent="0.25">
      <c r="A122" s="310"/>
      <c r="C122" s="136" t="str">
        <f>Translations!$B$998</f>
        <v>&lt; Please add additional rows above this row, if needed &gt;</v>
      </c>
      <c r="D122" s="133"/>
      <c r="E122" s="148"/>
      <c r="F122" s="148"/>
      <c r="G122" s="148"/>
      <c r="H122" s="148"/>
      <c r="I122" s="149"/>
      <c r="J122" s="149"/>
      <c r="K122" s="149"/>
      <c r="L122" s="149"/>
      <c r="M122" s="149"/>
      <c r="N122" s="149"/>
      <c r="O122" s="149"/>
      <c r="P122" s="149"/>
      <c r="Q122" s="149"/>
      <c r="R122" s="149"/>
      <c r="S122" s="149"/>
      <c r="T122" s="149"/>
      <c r="U122" s="149"/>
      <c r="V122" s="149"/>
      <c r="W122" s="348"/>
      <c r="X122" s="348"/>
      <c r="Y122" s="348"/>
      <c r="Z122" s="349"/>
      <c r="AA122" s="559"/>
      <c r="AB122" s="140"/>
      <c r="AC122" s="118" t="str">
        <f>Translations!$B$1278</f>
        <v>Hide row for reduced scope</v>
      </c>
    </row>
    <row r="123" spans="1:29" ht="38.25" hidden="1" customHeight="1" thickBot="1" x14ac:dyDescent="0.3">
      <c r="A123" s="310"/>
      <c r="C123" s="1279" t="str">
        <f>Translations!$B$1002</f>
        <v>Aggregated CO2 emissions from all flights arriving at each MS from third countries:</v>
      </c>
      <c r="D123" s="1281"/>
      <c r="E123" s="163">
        <f t="shared" ref="E123:V123" si="31">SUM(E97:E122)</f>
        <v>0</v>
      </c>
      <c r="F123" s="163">
        <f t="shared" si="31"/>
        <v>0</v>
      </c>
      <c r="G123" s="163">
        <f t="shared" si="31"/>
        <v>0</v>
      </c>
      <c r="H123" s="163">
        <f t="shared" si="31"/>
        <v>0</v>
      </c>
      <c r="I123" s="163">
        <f t="shared" si="31"/>
        <v>0</v>
      </c>
      <c r="J123" s="163">
        <f t="shared" si="31"/>
        <v>0</v>
      </c>
      <c r="K123" s="163">
        <f t="shared" si="31"/>
        <v>0</v>
      </c>
      <c r="L123" s="163">
        <f t="shared" si="31"/>
        <v>0</v>
      </c>
      <c r="M123" s="163">
        <f t="shared" si="31"/>
        <v>0</v>
      </c>
      <c r="N123" s="163">
        <f t="shared" si="31"/>
        <v>0</v>
      </c>
      <c r="O123" s="163">
        <f t="shared" si="31"/>
        <v>0</v>
      </c>
      <c r="P123" s="163">
        <f t="shared" si="31"/>
        <v>0</v>
      </c>
      <c r="Q123" s="163">
        <f t="shared" si="31"/>
        <v>0</v>
      </c>
      <c r="R123" s="163">
        <f t="shared" si="31"/>
        <v>0</v>
      </c>
      <c r="S123" s="163">
        <f t="shared" si="31"/>
        <v>0</v>
      </c>
      <c r="T123" s="163">
        <f t="shared" si="31"/>
        <v>0</v>
      </c>
      <c r="U123" s="163">
        <f t="shared" si="31"/>
        <v>0</v>
      </c>
      <c r="V123" s="163">
        <f t="shared" si="31"/>
        <v>0</v>
      </c>
      <c r="W123" s="345">
        <f>SUM(W97:W122)</f>
        <v>0</v>
      </c>
      <c r="X123" s="345">
        <f>SUM(X97:X122)</f>
        <v>0</v>
      </c>
      <c r="Y123" s="345">
        <f>SUM(Y97:Y122)</f>
        <v>0</v>
      </c>
      <c r="Z123" s="347">
        <f>SUM(Z97:Z122)</f>
        <v>0</v>
      </c>
      <c r="AA123" s="559"/>
      <c r="AC123" s="118" t="str">
        <f>Translations!$B$1278</f>
        <v>Hide row for reduced scope</v>
      </c>
    </row>
    <row r="124" spans="1:29" x14ac:dyDescent="0.25">
      <c r="C124" s="122"/>
      <c r="D124" s="122"/>
      <c r="E124" s="122"/>
      <c r="F124" s="122"/>
      <c r="G124" s="122"/>
      <c r="H124" s="122"/>
      <c r="I124" s="122"/>
      <c r="J124" s="122"/>
      <c r="K124" s="122"/>
      <c r="L124" s="122"/>
      <c r="M124" s="122"/>
      <c r="N124" s="122"/>
      <c r="O124" s="122"/>
      <c r="P124" s="122"/>
      <c r="Q124" s="122"/>
      <c r="R124" s="122"/>
      <c r="S124" s="122"/>
      <c r="T124" s="122"/>
      <c r="U124" s="122"/>
      <c r="V124" s="122"/>
    </row>
    <row r="125" spans="1:29" x14ac:dyDescent="0.25">
      <c r="A125" s="457"/>
      <c r="B125" s="457"/>
      <c r="C125" s="463"/>
      <c r="D125" s="463"/>
      <c r="E125" s="463"/>
      <c r="F125" s="463"/>
      <c r="G125" s="463"/>
      <c r="H125" s="463"/>
      <c r="I125" s="463"/>
      <c r="J125" s="463"/>
      <c r="K125" s="463"/>
      <c r="L125" s="463"/>
      <c r="M125" s="463"/>
      <c r="N125" s="463"/>
      <c r="O125" s="463"/>
      <c r="P125" s="463"/>
      <c r="Q125" s="463"/>
      <c r="R125" s="463"/>
      <c r="S125" s="463"/>
      <c r="T125" s="463"/>
      <c r="U125" s="463"/>
      <c r="V125" s="463"/>
      <c r="W125" s="457"/>
      <c r="X125" s="457"/>
      <c r="Y125" s="457"/>
      <c r="Z125" s="457"/>
      <c r="AA125" s="457"/>
    </row>
    <row r="126" spans="1:29" ht="15.5" x14ac:dyDescent="0.25">
      <c r="A126" s="457"/>
      <c r="B126" s="1017" t="s">
        <v>1</v>
      </c>
      <c r="C126" s="1018" t="str">
        <f>Translations!$B$1245</f>
        <v>Detailed emissions data – CH ETS</v>
      </c>
      <c r="D126" s="1018"/>
      <c r="E126" s="1018"/>
      <c r="F126" s="1018"/>
      <c r="G126" s="1018"/>
      <c r="H126" s="1018"/>
      <c r="I126" s="1018"/>
      <c r="J126" s="1018"/>
      <c r="K126" s="1018"/>
      <c r="L126" s="1018"/>
      <c r="M126" s="1018"/>
      <c r="N126" s="1018"/>
      <c r="O126" s="1018"/>
      <c r="P126" s="1018"/>
      <c r="Q126" s="1018"/>
      <c r="R126" s="1018"/>
      <c r="S126" s="1018"/>
      <c r="T126" s="1018"/>
      <c r="U126" s="1018"/>
      <c r="V126" s="1018"/>
      <c r="W126" s="1018"/>
      <c r="X126" s="1018"/>
      <c r="Y126" s="1018"/>
      <c r="Z126" s="1018"/>
      <c r="AA126" s="457"/>
    </row>
    <row r="127" spans="1:29" ht="5.15" customHeight="1" x14ac:dyDescent="0.25">
      <c r="A127" s="457"/>
      <c r="C127" s="122"/>
      <c r="D127" s="122"/>
      <c r="E127" s="122"/>
      <c r="F127" s="122"/>
      <c r="G127" s="122"/>
      <c r="H127" s="122"/>
      <c r="I127" s="122"/>
      <c r="J127" s="122"/>
      <c r="K127" s="122"/>
      <c r="L127" s="122"/>
      <c r="M127" s="122"/>
      <c r="N127" s="122"/>
      <c r="O127" s="122"/>
      <c r="P127" s="122"/>
      <c r="Q127" s="122"/>
      <c r="R127" s="122"/>
      <c r="S127" s="122"/>
      <c r="T127" s="122"/>
      <c r="U127" s="122"/>
      <c r="V127" s="122"/>
      <c r="AA127" s="457"/>
    </row>
    <row r="128" spans="1:29" ht="26.5" customHeight="1" x14ac:dyDescent="0.25">
      <c r="A128" s="457"/>
      <c r="B128" s="57" t="s">
        <v>25</v>
      </c>
      <c r="C128" s="1156" t="str">
        <f>Translations!$B$1280</f>
        <v>The totals in the following table should be consistent with the result of section 5(d). The following sections (b) and (c) should be filled without any double counting of emissions between them.</v>
      </c>
      <c r="D128" s="1142"/>
      <c r="E128" s="1142"/>
      <c r="F128" s="1142"/>
      <c r="G128" s="1142"/>
      <c r="H128" s="1142"/>
      <c r="I128" s="1142"/>
      <c r="J128" s="1142"/>
      <c r="K128" s="1142"/>
      <c r="L128" s="1142"/>
      <c r="M128" s="1142"/>
      <c r="N128" s="1142"/>
      <c r="O128" s="1142"/>
      <c r="P128" s="1142"/>
      <c r="Q128" s="1142"/>
      <c r="R128" s="1142"/>
      <c r="S128" s="1142"/>
      <c r="T128" s="1142"/>
      <c r="U128" s="1142"/>
      <c r="V128" s="1142"/>
      <c r="W128" s="1142"/>
      <c r="X128" s="1142"/>
      <c r="Y128" s="1142"/>
      <c r="Z128" s="1034"/>
      <c r="AA128" s="457"/>
    </row>
    <row r="129" spans="1:29" ht="53.15" customHeight="1" x14ac:dyDescent="0.25">
      <c r="A129" s="457"/>
      <c r="B129" s="57"/>
      <c r="C129" s="1156" t="str">
        <f>Translations!$B$1545</f>
        <v>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v>
      </c>
      <c r="D129" s="1142"/>
      <c r="E129" s="1142"/>
      <c r="F129" s="1142"/>
      <c r="G129" s="1142"/>
      <c r="H129" s="1142"/>
      <c r="I129" s="1142"/>
      <c r="J129" s="1142"/>
      <c r="K129" s="1142"/>
      <c r="L129" s="1142"/>
      <c r="M129" s="1142"/>
      <c r="N129" s="1142"/>
      <c r="O129" s="1142"/>
      <c r="P129" s="1142"/>
      <c r="Q129" s="1142"/>
      <c r="R129" s="1142"/>
      <c r="S129" s="1142"/>
      <c r="T129" s="1142"/>
      <c r="U129" s="1142"/>
      <c r="V129" s="1142"/>
      <c r="W129" s="1142"/>
      <c r="X129" s="1142"/>
      <c r="Y129" s="1142"/>
      <c r="Z129" s="1034"/>
      <c r="AA129" s="457"/>
      <c r="AC129" s="772"/>
    </row>
    <row r="130" spans="1:29" ht="13.4" customHeight="1" x14ac:dyDescent="0.25">
      <c r="A130" s="457"/>
      <c r="B130" s="57"/>
      <c r="C130" s="1285" t="str">
        <f>Translations!$B$1546</f>
        <v>Note: Unlike in earler versions of this template, you have to enter tonnes of neat fuel consumed in this sheet, not emissions!</v>
      </c>
      <c r="D130" s="1286"/>
      <c r="E130" s="1286"/>
      <c r="F130" s="1286"/>
      <c r="G130" s="1286"/>
      <c r="H130" s="1286"/>
      <c r="I130" s="1286"/>
      <c r="J130" s="1286"/>
      <c r="K130" s="1286"/>
      <c r="L130" s="1286"/>
      <c r="M130" s="1286"/>
      <c r="N130" s="1286"/>
      <c r="O130" s="1286"/>
      <c r="P130" s="1286"/>
      <c r="Q130" s="1286"/>
      <c r="R130" s="1286"/>
      <c r="S130" s="1286"/>
      <c r="T130" s="1286"/>
      <c r="U130" s="1286"/>
      <c r="V130" s="1286"/>
      <c r="W130" s="1286"/>
      <c r="X130" s="1286"/>
      <c r="Y130" s="1286"/>
      <c r="Z130" s="1287"/>
      <c r="AA130" s="457"/>
      <c r="AC130" s="772"/>
    </row>
    <row r="131" spans="1:29" ht="13.4" customHeight="1" x14ac:dyDescent="0.25">
      <c r="A131" s="457"/>
      <c r="B131" s="57"/>
      <c r="C131" s="1282" t="str">
        <f>Translations!$B$1547</f>
        <v>For convenient use of this sheet, if you use fewer fuels than can be defined in section 5, you may hide (not delete!) columns of undefined fuels accordingly.</v>
      </c>
      <c r="D131" s="1282"/>
      <c r="E131" s="1282"/>
      <c r="F131" s="1282"/>
      <c r="G131" s="1282"/>
      <c r="H131" s="1282"/>
      <c r="I131" s="1282"/>
      <c r="J131" s="1282"/>
      <c r="K131" s="1282"/>
      <c r="L131" s="1282"/>
      <c r="M131" s="1282"/>
      <c r="N131" s="1282"/>
      <c r="O131" s="1282"/>
      <c r="P131" s="1282"/>
      <c r="Q131" s="1282"/>
      <c r="R131" s="1282"/>
      <c r="S131" s="1282"/>
      <c r="T131" s="1282"/>
      <c r="U131" s="1282"/>
      <c r="V131" s="1282"/>
      <c r="W131" s="1282"/>
      <c r="X131" s="1282"/>
      <c r="Y131" s="1282"/>
      <c r="Z131" s="1283"/>
      <c r="AA131" s="457"/>
      <c r="AC131" s="772"/>
    </row>
    <row r="132" spans="1:29" ht="13" thickBot="1" x14ac:dyDescent="0.3">
      <c r="A132" s="457"/>
      <c r="AA132" s="457"/>
      <c r="AC132" s="772"/>
    </row>
    <row r="133" spans="1:29" x14ac:dyDescent="0.25">
      <c r="A133" s="457"/>
      <c r="C133" s="138"/>
      <c r="D133" s="139"/>
      <c r="E133" s="1271" t="str">
        <f>Translations!$B$1548</f>
        <v>Used quantity of each neat fuel [tonnes]</v>
      </c>
      <c r="F133" s="1272"/>
      <c r="G133" s="1272"/>
      <c r="H133" s="1272"/>
      <c r="I133" s="1272"/>
      <c r="J133" s="1272"/>
      <c r="K133" s="1272"/>
      <c r="L133" s="1272"/>
      <c r="M133" s="1272"/>
      <c r="N133" s="1272"/>
      <c r="O133" s="1272"/>
      <c r="P133" s="1272"/>
      <c r="Q133" s="1272"/>
      <c r="R133" s="1272"/>
      <c r="S133" s="1272"/>
      <c r="T133" s="1272"/>
      <c r="U133" s="1272"/>
      <c r="V133" s="1272"/>
      <c r="W133" s="1267" t="str">
        <f>Translations!$B$1549</f>
        <v>NON ZERO-RATED EMISSIONS [t CO2]</v>
      </c>
      <c r="X133" s="1267" t="str">
        <f>Translations!$B$1550</f>
        <v>ZERO RATED EMISSIONS [t CO2]</v>
      </c>
      <c r="Y133" s="1267" t="str">
        <f>Translations!$B$1551</f>
        <v>TOTAL EMISSIONS [t CO2]</v>
      </c>
      <c r="Z133" s="1269" t="str">
        <f>Translations!$B$1026</f>
        <v>Total number of flights</v>
      </c>
      <c r="AA133" s="457"/>
      <c r="AC133" s="772"/>
    </row>
    <row r="134" spans="1:29" ht="31.5" x14ac:dyDescent="0.25">
      <c r="A134" s="457"/>
      <c r="C134" s="141"/>
      <c r="D134" s="142"/>
      <c r="E134" s="50" t="str">
        <f>Translations!$B$981</f>
        <v>Jet kerosene (jet A1 or 
jet A)</v>
      </c>
      <c r="F134" s="50" t="str">
        <f>Translations!$B$274</f>
        <v>Jet gasoline (Jet B)</v>
      </c>
      <c r="G134" s="50" t="str">
        <f>Translations!$B$275</f>
        <v>Aviation gasoline (AvGas)</v>
      </c>
      <c r="H134" s="143" t="str">
        <f t="shared" ref="H134:V134" si="32">H$193</f>
        <v>Fuel 4</v>
      </c>
      <c r="I134" s="143" t="str">
        <f t="shared" si="32"/>
        <v>Fuel 5</v>
      </c>
      <c r="J134" s="143" t="str">
        <f t="shared" si="32"/>
        <v>Fuel 6</v>
      </c>
      <c r="K134" s="143" t="str">
        <f t="shared" si="32"/>
        <v>Fuel 7</v>
      </c>
      <c r="L134" s="143" t="str">
        <f t="shared" si="32"/>
        <v>Fuel 8</v>
      </c>
      <c r="M134" s="143" t="str">
        <f t="shared" si="32"/>
        <v>Fuel 9</v>
      </c>
      <c r="N134" s="143" t="str">
        <f t="shared" si="32"/>
        <v>Fuel 10</v>
      </c>
      <c r="O134" s="143" t="str">
        <f t="shared" si="32"/>
        <v>Fuel 11</v>
      </c>
      <c r="P134" s="143" t="str">
        <f t="shared" si="32"/>
        <v>Fuel 12</v>
      </c>
      <c r="Q134" s="143" t="str">
        <f t="shared" si="32"/>
        <v>Fuel 13</v>
      </c>
      <c r="R134" s="143" t="str">
        <f t="shared" si="32"/>
        <v>Fuel 14</v>
      </c>
      <c r="S134" s="143" t="str">
        <f t="shared" si="32"/>
        <v>Fuel 15</v>
      </c>
      <c r="T134" s="143" t="str">
        <f t="shared" si="32"/>
        <v>Fuel 16</v>
      </c>
      <c r="U134" s="143" t="str">
        <f t="shared" si="32"/>
        <v>Fuel 17</v>
      </c>
      <c r="V134" s="143" t="str">
        <f t="shared" si="32"/>
        <v>Fuel 18</v>
      </c>
      <c r="W134" s="1268"/>
      <c r="X134" s="1268"/>
      <c r="Y134" s="1268"/>
      <c r="Z134" s="1270"/>
      <c r="AA134" s="457"/>
      <c r="AC134" s="772"/>
    </row>
    <row r="135" spans="1:29" ht="40" customHeight="1" x14ac:dyDescent="0.25">
      <c r="A135" s="457"/>
      <c r="B135" s="119" t="s">
        <v>194</v>
      </c>
      <c r="C135" s="1229" t="str">
        <f>Translations!$B$1282</f>
        <v>Total aggregated CO2 emissions from all flights relating to the scope of the CH ETS (= B + C)</v>
      </c>
      <c r="D135" s="1231"/>
      <c r="E135" s="595">
        <f>SUM(E136,E137)</f>
        <v>0</v>
      </c>
      <c r="F135" s="595">
        <f t="shared" ref="F135:Z135" si="33">SUM(F136,F137)</f>
        <v>0</v>
      </c>
      <c r="G135" s="595">
        <f t="shared" si="33"/>
        <v>0</v>
      </c>
      <c r="H135" s="595">
        <f t="shared" si="33"/>
        <v>0</v>
      </c>
      <c r="I135" s="595">
        <f t="shared" si="33"/>
        <v>0</v>
      </c>
      <c r="J135" s="595">
        <f t="shared" si="33"/>
        <v>0</v>
      </c>
      <c r="K135" s="595">
        <f t="shared" si="33"/>
        <v>0</v>
      </c>
      <c r="L135" s="595">
        <f t="shared" si="33"/>
        <v>0</v>
      </c>
      <c r="M135" s="595">
        <f t="shared" si="33"/>
        <v>0</v>
      </c>
      <c r="N135" s="595">
        <f t="shared" si="33"/>
        <v>0</v>
      </c>
      <c r="O135" s="595">
        <f t="shared" si="33"/>
        <v>0</v>
      </c>
      <c r="P135" s="595">
        <f t="shared" si="33"/>
        <v>0</v>
      </c>
      <c r="Q135" s="595">
        <f t="shared" si="33"/>
        <v>0</v>
      </c>
      <c r="R135" s="595">
        <f t="shared" si="33"/>
        <v>0</v>
      </c>
      <c r="S135" s="595">
        <f t="shared" si="33"/>
        <v>0</v>
      </c>
      <c r="T135" s="595">
        <f t="shared" si="33"/>
        <v>0</v>
      </c>
      <c r="U135" s="595">
        <f t="shared" si="33"/>
        <v>0</v>
      </c>
      <c r="V135" s="595">
        <f t="shared" si="33"/>
        <v>0</v>
      </c>
      <c r="W135" s="601">
        <f t="shared" si="33"/>
        <v>0</v>
      </c>
      <c r="X135" s="601">
        <f t="shared" si="33"/>
        <v>0</v>
      </c>
      <c r="Y135" s="601">
        <f t="shared" si="33"/>
        <v>0</v>
      </c>
      <c r="Z135" s="592">
        <f t="shared" si="33"/>
        <v>0</v>
      </c>
      <c r="AA135" s="457"/>
      <c r="AC135" s="772"/>
    </row>
    <row r="136" spans="1:29" ht="40" customHeight="1" x14ac:dyDescent="0.25">
      <c r="A136" s="457"/>
      <c r="B136" s="119" t="s">
        <v>195</v>
      </c>
      <c r="C136" s="1284" t="str">
        <f>Translations!$B$1283</f>
        <v>Swiss domestic flights</v>
      </c>
      <c r="D136" s="1274"/>
      <c r="E136" s="594">
        <f>SUM(E146)</f>
        <v>0</v>
      </c>
      <c r="F136" s="594">
        <f t="shared" ref="F136:Z136" si="34">SUM(F146)</f>
        <v>0</v>
      </c>
      <c r="G136" s="594">
        <f t="shared" si="34"/>
        <v>0</v>
      </c>
      <c r="H136" s="594">
        <f t="shared" si="34"/>
        <v>0</v>
      </c>
      <c r="I136" s="594">
        <f t="shared" si="34"/>
        <v>0</v>
      </c>
      <c r="J136" s="594">
        <f t="shared" si="34"/>
        <v>0</v>
      </c>
      <c r="K136" s="594">
        <f t="shared" si="34"/>
        <v>0</v>
      </c>
      <c r="L136" s="594">
        <f t="shared" si="34"/>
        <v>0</v>
      </c>
      <c r="M136" s="594">
        <f t="shared" si="34"/>
        <v>0</v>
      </c>
      <c r="N136" s="594">
        <f t="shared" si="34"/>
        <v>0</v>
      </c>
      <c r="O136" s="594">
        <f t="shared" si="34"/>
        <v>0</v>
      </c>
      <c r="P136" s="594">
        <f t="shared" si="34"/>
        <v>0</v>
      </c>
      <c r="Q136" s="594">
        <f t="shared" si="34"/>
        <v>0</v>
      </c>
      <c r="R136" s="594">
        <f t="shared" si="34"/>
        <v>0</v>
      </c>
      <c r="S136" s="594">
        <f t="shared" si="34"/>
        <v>0</v>
      </c>
      <c r="T136" s="594">
        <f t="shared" si="34"/>
        <v>0</v>
      </c>
      <c r="U136" s="594">
        <f t="shared" si="34"/>
        <v>0</v>
      </c>
      <c r="V136" s="594">
        <f t="shared" si="34"/>
        <v>0</v>
      </c>
      <c r="W136" s="1021">
        <f t="shared" si="34"/>
        <v>0</v>
      </c>
      <c r="X136" s="1021">
        <f t="shared" si="34"/>
        <v>0</v>
      </c>
      <c r="Y136" s="1021">
        <f t="shared" si="34"/>
        <v>0</v>
      </c>
      <c r="Z136" s="591">
        <f t="shared" si="34"/>
        <v>0</v>
      </c>
      <c r="AA136" s="457"/>
      <c r="AC136" s="772"/>
    </row>
    <row r="137" spans="1:29" ht="40" customHeight="1" thickBot="1" x14ac:dyDescent="0.3">
      <c r="A137" s="457"/>
      <c r="B137" s="119" t="s">
        <v>196</v>
      </c>
      <c r="C137" s="1284" t="str">
        <f>Translations!$B$1355</f>
        <v>Flights from Switzerland to EEA countries or to the UK</v>
      </c>
      <c r="D137" s="1274"/>
      <c r="E137" s="595">
        <f>SUM(E183)</f>
        <v>0</v>
      </c>
      <c r="F137" s="595">
        <f t="shared" ref="F137:Z137" si="35">SUM(F183)</f>
        <v>0</v>
      </c>
      <c r="G137" s="595">
        <f t="shared" si="35"/>
        <v>0</v>
      </c>
      <c r="H137" s="595">
        <f t="shared" si="35"/>
        <v>0</v>
      </c>
      <c r="I137" s="595">
        <f t="shared" si="35"/>
        <v>0</v>
      </c>
      <c r="J137" s="595">
        <f t="shared" si="35"/>
        <v>0</v>
      </c>
      <c r="K137" s="595">
        <f t="shared" si="35"/>
        <v>0</v>
      </c>
      <c r="L137" s="595">
        <f t="shared" si="35"/>
        <v>0</v>
      </c>
      <c r="M137" s="595">
        <f t="shared" si="35"/>
        <v>0</v>
      </c>
      <c r="N137" s="595">
        <f t="shared" si="35"/>
        <v>0</v>
      </c>
      <c r="O137" s="595">
        <f t="shared" si="35"/>
        <v>0</v>
      </c>
      <c r="P137" s="595">
        <f t="shared" si="35"/>
        <v>0</v>
      </c>
      <c r="Q137" s="595">
        <f t="shared" si="35"/>
        <v>0</v>
      </c>
      <c r="R137" s="595">
        <f t="shared" si="35"/>
        <v>0</v>
      </c>
      <c r="S137" s="595">
        <f t="shared" si="35"/>
        <v>0</v>
      </c>
      <c r="T137" s="595">
        <f t="shared" si="35"/>
        <v>0</v>
      </c>
      <c r="U137" s="595">
        <f t="shared" si="35"/>
        <v>0</v>
      </c>
      <c r="V137" s="595">
        <f t="shared" si="35"/>
        <v>0</v>
      </c>
      <c r="W137" s="601">
        <f t="shared" si="35"/>
        <v>0</v>
      </c>
      <c r="X137" s="601">
        <f t="shared" si="35"/>
        <v>0</v>
      </c>
      <c r="Y137" s="601">
        <f t="shared" si="35"/>
        <v>0</v>
      </c>
      <c r="Z137" s="592">
        <f t="shared" si="35"/>
        <v>0</v>
      </c>
      <c r="AA137" s="457"/>
      <c r="AC137" s="772"/>
    </row>
    <row r="138" spans="1:29" x14ac:dyDescent="0.25">
      <c r="A138" s="457"/>
      <c r="C138" s="107" t="str">
        <f>Translations!B1653</f>
        <v>Please note that all figures should only refer to flights to be reported under the CH ETS.</v>
      </c>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350"/>
      <c r="AA138" s="457"/>
      <c r="AC138" s="772"/>
    </row>
    <row r="139" spans="1:29" x14ac:dyDescent="0.25">
      <c r="A139" s="457"/>
      <c r="C139" s="65" t="str">
        <f>Translations!$B$1285</f>
        <v>Total emissions entered in section 5(d):</v>
      </c>
      <c r="F139" s="160">
        <f>INDICATOR_CHETS_TotalEmissions</f>
        <v>0</v>
      </c>
      <c r="G139" s="162" t="s">
        <v>188</v>
      </c>
      <c r="AA139" s="457"/>
      <c r="AC139" s="772"/>
    </row>
    <row r="140" spans="1:29" x14ac:dyDescent="0.25">
      <c r="A140" s="457"/>
      <c r="C140" s="65" t="str">
        <f>Translations!$B$990</f>
        <v>Difference to data given in this sheet:</v>
      </c>
      <c r="F140" s="161">
        <f>F139-ROUND(W135,0)</f>
        <v>0</v>
      </c>
      <c r="G140" s="162" t="s">
        <v>188</v>
      </c>
      <c r="AA140" s="457"/>
      <c r="AC140" s="772"/>
    </row>
    <row r="141" spans="1:29" x14ac:dyDescent="0.25">
      <c r="A141" s="457"/>
      <c r="AA141" s="457"/>
      <c r="AC141" s="772"/>
    </row>
    <row r="142" spans="1:29" ht="13" x14ac:dyDescent="0.25">
      <c r="A142" s="457"/>
      <c r="B142" s="57" t="s">
        <v>26</v>
      </c>
      <c r="C142" s="122" t="str">
        <f>Translations!$B$1286</f>
        <v>Domestic flights:</v>
      </c>
      <c r="D142" s="122"/>
      <c r="E142" s="122"/>
      <c r="F142" s="122"/>
      <c r="G142" s="122"/>
      <c r="H142" s="122"/>
      <c r="I142" s="122"/>
      <c r="J142" s="122"/>
      <c r="K142" s="122"/>
      <c r="L142" s="122"/>
      <c r="M142" s="122"/>
      <c r="N142" s="122"/>
      <c r="O142" s="122"/>
      <c r="P142" s="122"/>
      <c r="Q142" s="122"/>
      <c r="R142" s="122"/>
      <c r="S142" s="122"/>
      <c r="T142" s="122"/>
      <c r="U142" s="122"/>
      <c r="V142" s="122"/>
      <c r="AA142" s="457"/>
      <c r="AC142" s="772"/>
    </row>
    <row r="143" spans="1:29" ht="25.5" customHeight="1" thickBot="1" x14ac:dyDescent="0.3">
      <c r="A143" s="457"/>
      <c r="C143" s="1152" t="str">
        <f>Translations!$B$1553</f>
        <v>Please complete the following table with the appropriate data for the reporting year. Note that the emission factors presented in section 5(b) are automatically used for calculating these emissions.</v>
      </c>
      <c r="D143" s="1034"/>
      <c r="E143" s="1034"/>
      <c r="F143" s="1034"/>
      <c r="G143" s="1034"/>
      <c r="H143" s="1034"/>
      <c r="I143" s="1034"/>
      <c r="J143" s="1034"/>
      <c r="K143" s="1034"/>
      <c r="L143" s="1034"/>
      <c r="M143" s="1034"/>
      <c r="N143" s="1034"/>
      <c r="O143" s="1034"/>
      <c r="P143" s="1034"/>
      <c r="Q143" s="1034"/>
      <c r="R143" s="1034"/>
      <c r="S143" s="1034"/>
      <c r="T143" s="1034"/>
      <c r="U143" s="1034"/>
      <c r="V143" s="1034"/>
      <c r="W143" s="1034"/>
      <c r="X143" s="1034"/>
      <c r="Y143" s="1034"/>
      <c r="Z143" s="1034"/>
      <c r="AA143" s="457"/>
      <c r="AC143" s="772"/>
    </row>
    <row r="144" spans="1:29" ht="12.75" customHeight="1" x14ac:dyDescent="0.25">
      <c r="A144" s="457"/>
      <c r="C144" s="132"/>
      <c r="D144" s="144"/>
      <c r="E144" s="1271" t="str">
        <f>Translations!$B$1548</f>
        <v>Used quantity of each neat fuel [tonnes]</v>
      </c>
      <c r="F144" s="1272"/>
      <c r="G144" s="1272"/>
      <c r="H144" s="1272"/>
      <c r="I144" s="1272"/>
      <c r="J144" s="1272"/>
      <c r="K144" s="1272"/>
      <c r="L144" s="1272"/>
      <c r="M144" s="1272"/>
      <c r="N144" s="1272"/>
      <c r="O144" s="1272"/>
      <c r="P144" s="1272"/>
      <c r="Q144" s="1272"/>
      <c r="R144" s="1272"/>
      <c r="S144" s="1272"/>
      <c r="T144" s="1272"/>
      <c r="U144" s="1272"/>
      <c r="V144" s="1272"/>
      <c r="W144" s="1267" t="str">
        <f>Translations!$B$1549</f>
        <v>NON ZERO-RATED EMISSIONS [t CO2]</v>
      </c>
      <c r="X144" s="1267" t="str">
        <f>Translations!$B$1550</f>
        <v>ZERO RATED EMISSIONS [t CO2]</v>
      </c>
      <c r="Y144" s="1267" t="str">
        <f>Translations!$B$1551</f>
        <v>TOTAL EMISSIONS [t CO2]</v>
      </c>
      <c r="Z144" s="1269" t="str">
        <f>Translations!$B$1026</f>
        <v>Total number of flights</v>
      </c>
      <c r="AA144" s="457"/>
      <c r="AC144" s="772"/>
    </row>
    <row r="145" spans="1:29" ht="31.5" x14ac:dyDescent="0.25">
      <c r="A145" s="457"/>
      <c r="C145" s="1279" t="str">
        <f>Translations!$B$1287</f>
        <v>State of departure and arrival</v>
      </c>
      <c r="D145" s="1280"/>
      <c r="E145" s="50" t="str">
        <f>Translations!$B$981</f>
        <v>Jet kerosene (jet A1 or 
jet A)</v>
      </c>
      <c r="F145" s="50" t="str">
        <f>Translations!$B$274</f>
        <v>Jet gasoline (Jet B)</v>
      </c>
      <c r="G145" s="50" t="str">
        <f>Translations!$B$275</f>
        <v>Aviation gasoline (AvGas)</v>
      </c>
      <c r="H145" s="143" t="str">
        <f t="shared" ref="H145:V145" si="36">H$193</f>
        <v>Fuel 4</v>
      </c>
      <c r="I145" s="143" t="str">
        <f t="shared" si="36"/>
        <v>Fuel 5</v>
      </c>
      <c r="J145" s="143" t="str">
        <f t="shared" si="36"/>
        <v>Fuel 6</v>
      </c>
      <c r="K145" s="143" t="str">
        <f t="shared" si="36"/>
        <v>Fuel 7</v>
      </c>
      <c r="L145" s="143" t="str">
        <f t="shared" si="36"/>
        <v>Fuel 8</v>
      </c>
      <c r="M145" s="143" t="str">
        <f t="shared" si="36"/>
        <v>Fuel 9</v>
      </c>
      <c r="N145" s="143" t="str">
        <f t="shared" si="36"/>
        <v>Fuel 10</v>
      </c>
      <c r="O145" s="143" t="str">
        <f t="shared" si="36"/>
        <v>Fuel 11</v>
      </c>
      <c r="P145" s="143" t="str">
        <f t="shared" si="36"/>
        <v>Fuel 12</v>
      </c>
      <c r="Q145" s="143" t="str">
        <f t="shared" si="36"/>
        <v>Fuel 13</v>
      </c>
      <c r="R145" s="143" t="str">
        <f t="shared" si="36"/>
        <v>Fuel 14</v>
      </c>
      <c r="S145" s="143" t="str">
        <f t="shared" si="36"/>
        <v>Fuel 15</v>
      </c>
      <c r="T145" s="143" t="str">
        <f t="shared" si="36"/>
        <v>Fuel 16</v>
      </c>
      <c r="U145" s="143" t="str">
        <f t="shared" si="36"/>
        <v>Fuel 17</v>
      </c>
      <c r="V145" s="143" t="str">
        <f t="shared" si="36"/>
        <v>Fuel 18</v>
      </c>
      <c r="W145" s="1268"/>
      <c r="X145" s="1268"/>
      <c r="Y145" s="1268"/>
      <c r="Z145" s="1270"/>
      <c r="AA145" s="457"/>
      <c r="AC145" s="772"/>
    </row>
    <row r="146" spans="1:29" x14ac:dyDescent="0.25">
      <c r="A146" s="457"/>
      <c r="C146" s="145" t="str">
        <f>Translations!$B$574</f>
        <v>Switzerland</v>
      </c>
      <c r="D146" s="146"/>
      <c r="E146" s="81"/>
      <c r="F146" s="81"/>
      <c r="G146" s="81"/>
      <c r="H146" s="81"/>
      <c r="I146" s="81"/>
      <c r="J146" s="81"/>
      <c r="K146" s="81"/>
      <c r="L146" s="81"/>
      <c r="M146" s="81"/>
      <c r="N146" s="81"/>
      <c r="O146" s="81"/>
      <c r="P146" s="81"/>
      <c r="Q146" s="81"/>
      <c r="R146" s="81"/>
      <c r="S146" s="81"/>
      <c r="T146" s="81"/>
      <c r="U146" s="81"/>
      <c r="V146" s="81"/>
      <c r="W146" s="345">
        <f t="shared" ref="W146" si="37">SUMPRODUCT(E146:V146,$E$196:$V$196)</f>
        <v>0</v>
      </c>
      <c r="X146" s="345">
        <f t="shared" ref="X146" si="38">Y146-W146</f>
        <v>0</v>
      </c>
      <c r="Y146" s="345">
        <f t="shared" ref="Y146" si="39">SUMPRODUCT(E146:V146,$E$195:$V$195)</f>
        <v>0</v>
      </c>
      <c r="Z146" s="346"/>
      <c r="AA146" s="457"/>
      <c r="AC146" s="772"/>
    </row>
    <row r="147" spans="1:29" x14ac:dyDescent="0.25">
      <c r="A147" s="457"/>
      <c r="C147" s="122"/>
      <c r="D147" s="122"/>
      <c r="E147" s="122"/>
      <c r="F147" s="122"/>
      <c r="G147" s="122"/>
      <c r="H147" s="122"/>
      <c r="I147" s="122"/>
      <c r="J147" s="122"/>
      <c r="K147" s="122"/>
      <c r="L147" s="122"/>
      <c r="M147" s="122"/>
      <c r="N147" s="122"/>
      <c r="O147" s="122"/>
      <c r="P147" s="122"/>
      <c r="Q147" s="122"/>
      <c r="R147" s="122"/>
      <c r="S147" s="122"/>
      <c r="T147" s="122"/>
      <c r="U147" s="122"/>
      <c r="V147" s="122"/>
      <c r="AA147" s="457"/>
      <c r="AC147" s="772"/>
    </row>
    <row r="148" spans="1:29" ht="13" x14ac:dyDescent="0.25">
      <c r="A148" s="457"/>
      <c r="B148" s="57" t="s">
        <v>27</v>
      </c>
      <c r="C148" s="1227" t="str">
        <f>Translations!$B$1356</f>
        <v>Aggregated CO2 emissions from all flights departing from Switzerland to an EEA Member State or to the UK:</v>
      </c>
      <c r="D148" s="1210"/>
      <c r="E148" s="1210"/>
      <c r="F148" s="1210"/>
      <c r="G148" s="1210"/>
      <c r="H148" s="1210"/>
      <c r="I148" s="1210"/>
      <c r="J148" s="1210"/>
      <c r="K148" s="1210"/>
      <c r="L148" s="1210"/>
      <c r="M148" s="1210"/>
      <c r="N148" s="1210"/>
      <c r="O148" s="1210"/>
      <c r="P148" s="1210"/>
      <c r="Q148" s="1210"/>
      <c r="R148" s="1210"/>
      <c r="S148" s="1210"/>
      <c r="T148" s="1210"/>
      <c r="U148" s="1210"/>
      <c r="V148" s="1210"/>
      <c r="W148" s="1210"/>
      <c r="X148" s="1210"/>
      <c r="Y148" s="1210"/>
      <c r="AA148" s="457"/>
      <c r="AC148" s="772"/>
    </row>
    <row r="149" spans="1:29" ht="25.5" customHeight="1" thickBot="1" x14ac:dyDescent="0.3">
      <c r="A149" s="457"/>
      <c r="C149" s="1152" t="str">
        <f>Translations!$B$1553</f>
        <v>Please complete the following table with the appropriate data for the reporting year. Note that the emission factors presented in section 5(b) are automatically used for calculating these emissions.</v>
      </c>
      <c r="D149" s="1034"/>
      <c r="E149" s="1034"/>
      <c r="F149" s="1034"/>
      <c r="G149" s="1034"/>
      <c r="H149" s="1034"/>
      <c r="I149" s="1034"/>
      <c r="J149" s="1034"/>
      <c r="K149" s="1034"/>
      <c r="L149" s="1034"/>
      <c r="M149" s="1034"/>
      <c r="N149" s="1034"/>
      <c r="O149" s="1034"/>
      <c r="P149" s="1034"/>
      <c r="Q149" s="1034"/>
      <c r="R149" s="1034"/>
      <c r="S149" s="1034"/>
      <c r="T149" s="1034"/>
      <c r="U149" s="1034"/>
      <c r="V149" s="1034"/>
      <c r="W149" s="1034"/>
      <c r="X149" s="1034"/>
      <c r="Y149" s="1034"/>
      <c r="Z149" s="1034"/>
      <c r="AA149" s="457"/>
      <c r="AC149" s="772"/>
    </row>
    <row r="150" spans="1:29" ht="12.75" customHeight="1" x14ac:dyDescent="0.25">
      <c r="A150" s="457"/>
      <c r="C150" s="132"/>
      <c r="D150" s="144"/>
      <c r="E150" s="1271" t="str">
        <f>Translations!$B$1548</f>
        <v>Used quantity of each neat fuel [tonnes]</v>
      </c>
      <c r="F150" s="1272"/>
      <c r="G150" s="1272"/>
      <c r="H150" s="1272"/>
      <c r="I150" s="1272"/>
      <c r="J150" s="1272"/>
      <c r="K150" s="1272"/>
      <c r="L150" s="1272"/>
      <c r="M150" s="1272"/>
      <c r="N150" s="1272"/>
      <c r="O150" s="1272"/>
      <c r="P150" s="1272"/>
      <c r="Q150" s="1272"/>
      <c r="R150" s="1272"/>
      <c r="S150" s="1272"/>
      <c r="T150" s="1272"/>
      <c r="U150" s="1272"/>
      <c r="V150" s="1272"/>
      <c r="W150" s="1267" t="str">
        <f>Translations!$B$1549</f>
        <v>NON ZERO-RATED EMISSIONS [t CO2]</v>
      </c>
      <c r="X150" s="1267" t="str">
        <f>Translations!$B$1550</f>
        <v>ZERO RATED EMISSIONS [t CO2]</v>
      </c>
      <c r="Y150" s="1267" t="str">
        <f>Translations!$B$1551</f>
        <v>TOTAL EMISSIONS [t CO2]</v>
      </c>
      <c r="Z150" s="1269" t="str">
        <f>Translations!$B$1026</f>
        <v>Total number of flights</v>
      </c>
      <c r="AA150" s="457"/>
    </row>
    <row r="151" spans="1:29" ht="31.5" x14ac:dyDescent="0.25">
      <c r="A151" s="457"/>
      <c r="C151" s="50" t="str">
        <f>Translations!$B$996</f>
        <v>Member State of departure</v>
      </c>
      <c r="D151" s="50" t="str">
        <f>Translations!$B$997</f>
        <v>State of arrival</v>
      </c>
      <c r="E151" s="50" t="str">
        <f>Translations!$B$981</f>
        <v>Jet kerosene (jet A1 or 
jet A)</v>
      </c>
      <c r="F151" s="50" t="str">
        <f>Translations!$B$274</f>
        <v>Jet gasoline (Jet B)</v>
      </c>
      <c r="G151" s="50" t="str">
        <f>Translations!$B$275</f>
        <v>Aviation gasoline (AvGas)</v>
      </c>
      <c r="H151" s="143" t="str">
        <f t="shared" ref="H151:V151" si="40">H$193</f>
        <v>Fuel 4</v>
      </c>
      <c r="I151" s="143" t="str">
        <f t="shared" si="40"/>
        <v>Fuel 5</v>
      </c>
      <c r="J151" s="143" t="str">
        <f t="shared" si="40"/>
        <v>Fuel 6</v>
      </c>
      <c r="K151" s="143" t="str">
        <f t="shared" si="40"/>
        <v>Fuel 7</v>
      </c>
      <c r="L151" s="143" t="str">
        <f t="shared" si="40"/>
        <v>Fuel 8</v>
      </c>
      <c r="M151" s="143" t="str">
        <f t="shared" si="40"/>
        <v>Fuel 9</v>
      </c>
      <c r="N151" s="143" t="str">
        <f t="shared" si="40"/>
        <v>Fuel 10</v>
      </c>
      <c r="O151" s="143" t="str">
        <f t="shared" si="40"/>
        <v>Fuel 11</v>
      </c>
      <c r="P151" s="143" t="str">
        <f t="shared" si="40"/>
        <v>Fuel 12</v>
      </c>
      <c r="Q151" s="143" t="str">
        <f t="shared" si="40"/>
        <v>Fuel 13</v>
      </c>
      <c r="R151" s="143" t="str">
        <f t="shared" si="40"/>
        <v>Fuel 14</v>
      </c>
      <c r="S151" s="143" t="str">
        <f t="shared" si="40"/>
        <v>Fuel 15</v>
      </c>
      <c r="T151" s="143" t="str">
        <f t="shared" si="40"/>
        <v>Fuel 16</v>
      </c>
      <c r="U151" s="143" t="str">
        <f t="shared" si="40"/>
        <v>Fuel 17</v>
      </c>
      <c r="V151" s="143" t="str">
        <f t="shared" si="40"/>
        <v>Fuel 18</v>
      </c>
      <c r="W151" s="1268"/>
      <c r="X151" s="1268"/>
      <c r="Y151" s="1268"/>
      <c r="Z151" s="1270"/>
      <c r="AA151" s="457"/>
    </row>
    <row r="152" spans="1:29" x14ac:dyDescent="0.25">
      <c r="A152" s="457"/>
      <c r="C152" s="145" t="str">
        <f>Translations!$B$574</f>
        <v>Switzerland</v>
      </c>
      <c r="D152" s="145" t="str">
        <f>Translations!$B$369</f>
        <v>Austria</v>
      </c>
      <c r="E152" s="599"/>
      <c r="F152" s="599"/>
      <c r="G152" s="599"/>
      <c r="H152" s="599"/>
      <c r="I152" s="599"/>
      <c r="J152" s="599"/>
      <c r="K152" s="599"/>
      <c r="L152" s="599"/>
      <c r="M152" s="599"/>
      <c r="N152" s="599"/>
      <c r="O152" s="599"/>
      <c r="P152" s="599"/>
      <c r="Q152" s="599"/>
      <c r="R152" s="599"/>
      <c r="S152" s="599"/>
      <c r="T152" s="599"/>
      <c r="U152" s="599"/>
      <c r="V152" s="599"/>
      <c r="W152" s="345">
        <f t="shared" ref="W152:W182" si="41">SUMPRODUCT(E152:V152,$E$196:$V$196)</f>
        <v>0</v>
      </c>
      <c r="X152" s="345">
        <f t="shared" ref="X152:X182" si="42">Y152-W152</f>
        <v>0</v>
      </c>
      <c r="Y152" s="345">
        <f t="shared" ref="Y152:Y182" si="43">SUMPRODUCT(E152:V152,$E$195:$V$195)</f>
        <v>0</v>
      </c>
      <c r="Z152" s="600"/>
      <c r="AA152" s="457"/>
    </row>
    <row r="153" spans="1:29" x14ac:dyDescent="0.25">
      <c r="A153" s="457"/>
      <c r="C153" s="145" t="str">
        <f>Translations!$B$574</f>
        <v>Switzerland</v>
      </c>
      <c r="D153" s="145" t="str">
        <f>Translations!$B$370</f>
        <v>Belgium</v>
      </c>
      <c r="E153" s="599"/>
      <c r="F153" s="599"/>
      <c r="G153" s="599"/>
      <c r="H153" s="599"/>
      <c r="I153" s="599"/>
      <c r="J153" s="599"/>
      <c r="K153" s="599"/>
      <c r="L153" s="599"/>
      <c r="M153" s="599"/>
      <c r="N153" s="599"/>
      <c r="O153" s="599"/>
      <c r="P153" s="599"/>
      <c r="Q153" s="599"/>
      <c r="R153" s="599"/>
      <c r="S153" s="599"/>
      <c r="T153" s="599"/>
      <c r="U153" s="599"/>
      <c r="V153" s="599"/>
      <c r="W153" s="345">
        <f t="shared" si="41"/>
        <v>0</v>
      </c>
      <c r="X153" s="345">
        <f t="shared" si="42"/>
        <v>0</v>
      </c>
      <c r="Y153" s="345">
        <f t="shared" si="43"/>
        <v>0</v>
      </c>
      <c r="Z153" s="600"/>
      <c r="AA153" s="457"/>
    </row>
    <row r="154" spans="1:29" x14ac:dyDescent="0.25">
      <c r="A154" s="457"/>
      <c r="C154" s="145" t="str">
        <f>Translations!$B$574</f>
        <v>Switzerland</v>
      </c>
      <c r="D154" s="145" t="str">
        <f>Translations!$B$371</f>
        <v>Bulgaria</v>
      </c>
      <c r="E154" s="599"/>
      <c r="F154" s="599"/>
      <c r="G154" s="599"/>
      <c r="H154" s="599"/>
      <c r="I154" s="599"/>
      <c r="J154" s="599"/>
      <c r="K154" s="599"/>
      <c r="L154" s="599"/>
      <c r="M154" s="599"/>
      <c r="N154" s="599"/>
      <c r="O154" s="599"/>
      <c r="P154" s="599"/>
      <c r="Q154" s="599"/>
      <c r="R154" s="599"/>
      <c r="S154" s="599"/>
      <c r="T154" s="599"/>
      <c r="U154" s="599"/>
      <c r="V154" s="599"/>
      <c r="W154" s="345">
        <f t="shared" si="41"/>
        <v>0</v>
      </c>
      <c r="X154" s="345">
        <f t="shared" si="42"/>
        <v>0</v>
      </c>
      <c r="Y154" s="345">
        <f t="shared" si="43"/>
        <v>0</v>
      </c>
      <c r="Z154" s="600"/>
      <c r="AA154" s="457"/>
    </row>
    <row r="155" spans="1:29" x14ac:dyDescent="0.25">
      <c r="A155" s="457"/>
      <c r="C155" s="145" t="str">
        <f>Translations!$B$574</f>
        <v>Switzerland</v>
      </c>
      <c r="D155" s="145" t="str">
        <f>Translations!$B$372</f>
        <v>Croatia</v>
      </c>
      <c r="E155" s="599"/>
      <c r="F155" s="599"/>
      <c r="G155" s="599"/>
      <c r="H155" s="599"/>
      <c r="I155" s="599"/>
      <c r="J155" s="599"/>
      <c r="K155" s="599"/>
      <c r="L155" s="599"/>
      <c r="M155" s="599"/>
      <c r="N155" s="599"/>
      <c r="O155" s="599"/>
      <c r="P155" s="599"/>
      <c r="Q155" s="599"/>
      <c r="R155" s="599"/>
      <c r="S155" s="599"/>
      <c r="T155" s="599"/>
      <c r="U155" s="599"/>
      <c r="V155" s="599"/>
      <c r="W155" s="345">
        <f t="shared" si="41"/>
        <v>0</v>
      </c>
      <c r="X155" s="345">
        <f t="shared" si="42"/>
        <v>0</v>
      </c>
      <c r="Y155" s="345">
        <f t="shared" si="43"/>
        <v>0</v>
      </c>
      <c r="Z155" s="600"/>
      <c r="AA155" s="457"/>
    </row>
    <row r="156" spans="1:29" x14ac:dyDescent="0.25">
      <c r="A156" s="457"/>
      <c r="C156" s="145" t="str">
        <f>Translations!$B$574</f>
        <v>Switzerland</v>
      </c>
      <c r="D156" s="145" t="str">
        <f>Translations!$B$373</f>
        <v>Cyprus</v>
      </c>
      <c r="E156" s="599"/>
      <c r="F156" s="599"/>
      <c r="G156" s="599"/>
      <c r="H156" s="599"/>
      <c r="I156" s="599"/>
      <c r="J156" s="599"/>
      <c r="K156" s="599"/>
      <c r="L156" s="599"/>
      <c r="M156" s="599"/>
      <c r="N156" s="599"/>
      <c r="O156" s="599"/>
      <c r="P156" s="599"/>
      <c r="Q156" s="599"/>
      <c r="R156" s="599"/>
      <c r="S156" s="599"/>
      <c r="T156" s="599"/>
      <c r="U156" s="599"/>
      <c r="V156" s="599"/>
      <c r="W156" s="345">
        <f t="shared" si="41"/>
        <v>0</v>
      </c>
      <c r="X156" s="345">
        <f t="shared" si="42"/>
        <v>0</v>
      </c>
      <c r="Y156" s="345">
        <f t="shared" si="43"/>
        <v>0</v>
      </c>
      <c r="Z156" s="600"/>
      <c r="AA156" s="457"/>
    </row>
    <row r="157" spans="1:29" x14ac:dyDescent="0.25">
      <c r="A157" s="457"/>
      <c r="C157" s="145" t="str">
        <f>Translations!$B$574</f>
        <v>Switzerland</v>
      </c>
      <c r="D157" s="145" t="str">
        <f>Translations!$B$374</f>
        <v>Czechia</v>
      </c>
      <c r="E157" s="599"/>
      <c r="F157" s="599"/>
      <c r="G157" s="599"/>
      <c r="H157" s="599"/>
      <c r="I157" s="599"/>
      <c r="J157" s="599"/>
      <c r="K157" s="599"/>
      <c r="L157" s="599"/>
      <c r="M157" s="599"/>
      <c r="N157" s="599"/>
      <c r="O157" s="599"/>
      <c r="P157" s="599"/>
      <c r="Q157" s="599"/>
      <c r="R157" s="599"/>
      <c r="S157" s="599"/>
      <c r="T157" s="599"/>
      <c r="U157" s="599"/>
      <c r="V157" s="599"/>
      <c r="W157" s="345">
        <f t="shared" si="41"/>
        <v>0</v>
      </c>
      <c r="X157" s="345">
        <f t="shared" si="42"/>
        <v>0</v>
      </c>
      <c r="Y157" s="345">
        <f t="shared" si="43"/>
        <v>0</v>
      </c>
      <c r="Z157" s="600"/>
      <c r="AA157" s="457"/>
    </row>
    <row r="158" spans="1:29" x14ac:dyDescent="0.25">
      <c r="A158" s="457"/>
      <c r="C158" s="145" t="str">
        <f>Translations!$B$574</f>
        <v>Switzerland</v>
      </c>
      <c r="D158" s="145" t="str">
        <f>Translations!$B$375</f>
        <v>Denmark</v>
      </c>
      <c r="E158" s="599"/>
      <c r="F158" s="599"/>
      <c r="G158" s="599"/>
      <c r="H158" s="599"/>
      <c r="I158" s="599"/>
      <c r="J158" s="599"/>
      <c r="K158" s="599"/>
      <c r="L158" s="599"/>
      <c r="M158" s="599"/>
      <c r="N158" s="599"/>
      <c r="O158" s="599"/>
      <c r="P158" s="599"/>
      <c r="Q158" s="599"/>
      <c r="R158" s="599"/>
      <c r="S158" s="599"/>
      <c r="T158" s="599"/>
      <c r="U158" s="599"/>
      <c r="V158" s="599"/>
      <c r="W158" s="345">
        <f t="shared" si="41"/>
        <v>0</v>
      </c>
      <c r="X158" s="345">
        <f t="shared" si="42"/>
        <v>0</v>
      </c>
      <c r="Y158" s="345">
        <f t="shared" si="43"/>
        <v>0</v>
      </c>
      <c r="Z158" s="600"/>
      <c r="AA158" s="457"/>
    </row>
    <row r="159" spans="1:29" x14ac:dyDescent="0.25">
      <c r="A159" s="457"/>
      <c r="C159" s="145" t="str">
        <f>Translations!$B$574</f>
        <v>Switzerland</v>
      </c>
      <c r="D159" s="145" t="str">
        <f>Translations!$B$376</f>
        <v>Estonia</v>
      </c>
      <c r="E159" s="599"/>
      <c r="F159" s="599"/>
      <c r="G159" s="599"/>
      <c r="H159" s="599"/>
      <c r="I159" s="599"/>
      <c r="J159" s="599"/>
      <c r="K159" s="599"/>
      <c r="L159" s="599"/>
      <c r="M159" s="599"/>
      <c r="N159" s="599"/>
      <c r="O159" s="599"/>
      <c r="P159" s="599"/>
      <c r="Q159" s="599"/>
      <c r="R159" s="599"/>
      <c r="S159" s="599"/>
      <c r="T159" s="599"/>
      <c r="U159" s="599"/>
      <c r="V159" s="599"/>
      <c r="W159" s="345">
        <f t="shared" si="41"/>
        <v>0</v>
      </c>
      <c r="X159" s="345">
        <f t="shared" si="42"/>
        <v>0</v>
      </c>
      <c r="Y159" s="345">
        <f t="shared" si="43"/>
        <v>0</v>
      </c>
      <c r="Z159" s="600"/>
      <c r="AA159" s="457"/>
    </row>
    <row r="160" spans="1:29" x14ac:dyDescent="0.25">
      <c r="A160" s="457"/>
      <c r="C160" s="145" t="str">
        <f>Translations!$B$574</f>
        <v>Switzerland</v>
      </c>
      <c r="D160" s="145" t="str">
        <f>Translations!$B$377</f>
        <v>Finland</v>
      </c>
      <c r="E160" s="599"/>
      <c r="F160" s="599"/>
      <c r="G160" s="599"/>
      <c r="H160" s="599"/>
      <c r="I160" s="599"/>
      <c r="J160" s="599"/>
      <c r="K160" s="599"/>
      <c r="L160" s="599"/>
      <c r="M160" s="599"/>
      <c r="N160" s="599"/>
      <c r="O160" s="599"/>
      <c r="P160" s="599"/>
      <c r="Q160" s="599"/>
      <c r="R160" s="599"/>
      <c r="S160" s="599"/>
      <c r="T160" s="599"/>
      <c r="U160" s="599"/>
      <c r="V160" s="599"/>
      <c r="W160" s="345">
        <f t="shared" si="41"/>
        <v>0</v>
      </c>
      <c r="X160" s="345">
        <f t="shared" si="42"/>
        <v>0</v>
      </c>
      <c r="Y160" s="345">
        <f t="shared" si="43"/>
        <v>0</v>
      </c>
      <c r="Z160" s="600"/>
      <c r="AA160" s="457"/>
    </row>
    <row r="161" spans="1:27" x14ac:dyDescent="0.25">
      <c r="A161" s="457"/>
      <c r="C161" s="145" t="str">
        <f>Translations!$B$574</f>
        <v>Switzerland</v>
      </c>
      <c r="D161" s="145" t="str">
        <f>Translations!$B$378</f>
        <v>France</v>
      </c>
      <c r="E161" s="599"/>
      <c r="F161" s="599"/>
      <c r="G161" s="599"/>
      <c r="H161" s="599"/>
      <c r="I161" s="599"/>
      <c r="J161" s="599"/>
      <c r="K161" s="599"/>
      <c r="L161" s="599"/>
      <c r="M161" s="599"/>
      <c r="N161" s="599"/>
      <c r="O161" s="599"/>
      <c r="P161" s="599"/>
      <c r="Q161" s="599"/>
      <c r="R161" s="599"/>
      <c r="S161" s="599"/>
      <c r="T161" s="599"/>
      <c r="U161" s="599"/>
      <c r="V161" s="599"/>
      <c r="W161" s="345">
        <f t="shared" si="41"/>
        <v>0</v>
      </c>
      <c r="X161" s="345">
        <f t="shared" si="42"/>
        <v>0</v>
      </c>
      <c r="Y161" s="345">
        <f t="shared" si="43"/>
        <v>0</v>
      </c>
      <c r="Z161" s="600"/>
      <c r="AA161" s="457"/>
    </row>
    <row r="162" spans="1:27" x14ac:dyDescent="0.25">
      <c r="A162" s="457"/>
      <c r="C162" s="145" t="str">
        <f>Translations!$B$574</f>
        <v>Switzerland</v>
      </c>
      <c r="D162" s="145" t="str">
        <f>Translations!$B$379</f>
        <v>Germany</v>
      </c>
      <c r="E162" s="599"/>
      <c r="F162" s="599"/>
      <c r="G162" s="599"/>
      <c r="H162" s="599"/>
      <c r="I162" s="599"/>
      <c r="J162" s="599"/>
      <c r="K162" s="599"/>
      <c r="L162" s="599"/>
      <c r="M162" s="599"/>
      <c r="N162" s="599"/>
      <c r="O162" s="599"/>
      <c r="P162" s="599"/>
      <c r="Q162" s="599"/>
      <c r="R162" s="599"/>
      <c r="S162" s="599"/>
      <c r="T162" s="599"/>
      <c r="U162" s="599"/>
      <c r="V162" s="599"/>
      <c r="W162" s="345">
        <f t="shared" si="41"/>
        <v>0</v>
      </c>
      <c r="X162" s="345">
        <f t="shared" si="42"/>
        <v>0</v>
      </c>
      <c r="Y162" s="345">
        <f t="shared" si="43"/>
        <v>0</v>
      </c>
      <c r="Z162" s="600"/>
      <c r="AA162" s="457"/>
    </row>
    <row r="163" spans="1:27" x14ac:dyDescent="0.25">
      <c r="A163" s="457"/>
      <c r="C163" s="145" t="str">
        <f>Translations!$B$574</f>
        <v>Switzerland</v>
      </c>
      <c r="D163" s="145" t="str">
        <f>Translations!$B$380</f>
        <v>Greece</v>
      </c>
      <c r="E163" s="599"/>
      <c r="F163" s="599"/>
      <c r="G163" s="599"/>
      <c r="H163" s="599"/>
      <c r="I163" s="599"/>
      <c r="J163" s="599"/>
      <c r="K163" s="599"/>
      <c r="L163" s="599"/>
      <c r="M163" s="599"/>
      <c r="N163" s="599"/>
      <c r="O163" s="599"/>
      <c r="P163" s="599"/>
      <c r="Q163" s="599"/>
      <c r="R163" s="599"/>
      <c r="S163" s="599"/>
      <c r="T163" s="599"/>
      <c r="U163" s="599"/>
      <c r="V163" s="599"/>
      <c r="W163" s="345">
        <f t="shared" si="41"/>
        <v>0</v>
      </c>
      <c r="X163" s="345">
        <f t="shared" si="42"/>
        <v>0</v>
      </c>
      <c r="Y163" s="345">
        <f t="shared" si="43"/>
        <v>0</v>
      </c>
      <c r="Z163" s="600"/>
      <c r="AA163" s="457"/>
    </row>
    <row r="164" spans="1:27" x14ac:dyDescent="0.25">
      <c r="A164" s="457"/>
      <c r="C164" s="145" t="str">
        <f>Translations!$B$574</f>
        <v>Switzerland</v>
      </c>
      <c r="D164" s="145" t="str">
        <f>Translations!$B$381</f>
        <v>Hungary</v>
      </c>
      <c r="E164" s="599"/>
      <c r="F164" s="599"/>
      <c r="G164" s="599"/>
      <c r="H164" s="599"/>
      <c r="I164" s="599"/>
      <c r="J164" s="599"/>
      <c r="K164" s="599"/>
      <c r="L164" s="599"/>
      <c r="M164" s="599"/>
      <c r="N164" s="599"/>
      <c r="O164" s="599"/>
      <c r="P164" s="599"/>
      <c r="Q164" s="599"/>
      <c r="R164" s="599"/>
      <c r="S164" s="599"/>
      <c r="T164" s="599"/>
      <c r="U164" s="599"/>
      <c r="V164" s="599"/>
      <c r="W164" s="345">
        <f t="shared" si="41"/>
        <v>0</v>
      </c>
      <c r="X164" s="345">
        <f t="shared" si="42"/>
        <v>0</v>
      </c>
      <c r="Y164" s="345">
        <f t="shared" si="43"/>
        <v>0</v>
      </c>
      <c r="Z164" s="600"/>
      <c r="AA164" s="457"/>
    </row>
    <row r="165" spans="1:27" x14ac:dyDescent="0.25">
      <c r="A165" s="457"/>
      <c r="C165" s="145" t="str">
        <f>Translations!$B$574</f>
        <v>Switzerland</v>
      </c>
      <c r="D165" s="145" t="str">
        <f>Translations!$B$382</f>
        <v>Iceland</v>
      </c>
      <c r="E165" s="599"/>
      <c r="F165" s="599"/>
      <c r="G165" s="599"/>
      <c r="H165" s="599"/>
      <c r="I165" s="599"/>
      <c r="J165" s="599"/>
      <c r="K165" s="599"/>
      <c r="L165" s="599"/>
      <c r="M165" s="599"/>
      <c r="N165" s="599"/>
      <c r="O165" s="599"/>
      <c r="P165" s="599"/>
      <c r="Q165" s="599"/>
      <c r="R165" s="599"/>
      <c r="S165" s="599"/>
      <c r="T165" s="599"/>
      <c r="U165" s="599"/>
      <c r="V165" s="599"/>
      <c r="W165" s="345">
        <f t="shared" si="41"/>
        <v>0</v>
      </c>
      <c r="X165" s="345">
        <f t="shared" si="42"/>
        <v>0</v>
      </c>
      <c r="Y165" s="345">
        <f t="shared" si="43"/>
        <v>0</v>
      </c>
      <c r="Z165" s="600"/>
      <c r="AA165" s="457"/>
    </row>
    <row r="166" spans="1:27" x14ac:dyDescent="0.25">
      <c r="A166" s="457"/>
      <c r="C166" s="145" t="str">
        <f>Translations!$B$574</f>
        <v>Switzerland</v>
      </c>
      <c r="D166" s="145" t="str">
        <f>Translations!$B$383</f>
        <v>Ireland</v>
      </c>
      <c r="E166" s="599"/>
      <c r="F166" s="599"/>
      <c r="G166" s="599"/>
      <c r="H166" s="599"/>
      <c r="I166" s="599"/>
      <c r="J166" s="599"/>
      <c r="K166" s="599"/>
      <c r="L166" s="599"/>
      <c r="M166" s="599"/>
      <c r="N166" s="599"/>
      <c r="O166" s="599"/>
      <c r="P166" s="599"/>
      <c r="Q166" s="599"/>
      <c r="R166" s="599"/>
      <c r="S166" s="599"/>
      <c r="T166" s="599"/>
      <c r="U166" s="599"/>
      <c r="V166" s="599"/>
      <c r="W166" s="345">
        <f t="shared" si="41"/>
        <v>0</v>
      </c>
      <c r="X166" s="345">
        <f t="shared" si="42"/>
        <v>0</v>
      </c>
      <c r="Y166" s="345">
        <f t="shared" si="43"/>
        <v>0</v>
      </c>
      <c r="Z166" s="600"/>
      <c r="AA166" s="457"/>
    </row>
    <row r="167" spans="1:27" x14ac:dyDescent="0.25">
      <c r="A167" s="457"/>
      <c r="C167" s="145" t="str">
        <f>Translations!$B$574</f>
        <v>Switzerland</v>
      </c>
      <c r="D167" s="145" t="str">
        <f>Translations!$B$384</f>
        <v>Italy</v>
      </c>
      <c r="E167" s="599"/>
      <c r="F167" s="599"/>
      <c r="G167" s="599"/>
      <c r="H167" s="599"/>
      <c r="I167" s="599"/>
      <c r="J167" s="599"/>
      <c r="K167" s="599"/>
      <c r="L167" s="599"/>
      <c r="M167" s="599"/>
      <c r="N167" s="599"/>
      <c r="O167" s="599"/>
      <c r="P167" s="599"/>
      <c r="Q167" s="599"/>
      <c r="R167" s="599"/>
      <c r="S167" s="599"/>
      <c r="T167" s="599"/>
      <c r="U167" s="599"/>
      <c r="V167" s="599"/>
      <c r="W167" s="345">
        <f t="shared" si="41"/>
        <v>0</v>
      </c>
      <c r="X167" s="345">
        <f t="shared" si="42"/>
        <v>0</v>
      </c>
      <c r="Y167" s="345">
        <f t="shared" si="43"/>
        <v>0</v>
      </c>
      <c r="Z167" s="600"/>
      <c r="AA167" s="457"/>
    </row>
    <row r="168" spans="1:27" x14ac:dyDescent="0.25">
      <c r="A168" s="457"/>
      <c r="C168" s="145" t="str">
        <f>Translations!$B$574</f>
        <v>Switzerland</v>
      </c>
      <c r="D168" s="145" t="str">
        <f>Translations!$B$385</f>
        <v>Latvia</v>
      </c>
      <c r="E168" s="599"/>
      <c r="F168" s="599"/>
      <c r="G168" s="599"/>
      <c r="H168" s="599"/>
      <c r="I168" s="599"/>
      <c r="J168" s="599"/>
      <c r="K168" s="599"/>
      <c r="L168" s="599"/>
      <c r="M168" s="599"/>
      <c r="N168" s="599"/>
      <c r="O168" s="599"/>
      <c r="P168" s="599"/>
      <c r="Q168" s="599"/>
      <c r="R168" s="599"/>
      <c r="S168" s="599"/>
      <c r="T168" s="599"/>
      <c r="U168" s="599"/>
      <c r="V168" s="599"/>
      <c r="W168" s="345">
        <f t="shared" si="41"/>
        <v>0</v>
      </c>
      <c r="X168" s="345">
        <f t="shared" si="42"/>
        <v>0</v>
      </c>
      <c r="Y168" s="345">
        <f t="shared" si="43"/>
        <v>0</v>
      </c>
      <c r="Z168" s="600"/>
      <c r="AA168" s="457"/>
    </row>
    <row r="169" spans="1:27" x14ac:dyDescent="0.25">
      <c r="A169" s="457"/>
      <c r="C169" s="145" t="str">
        <f>Translations!$B$574</f>
        <v>Switzerland</v>
      </c>
      <c r="D169" s="145" t="str">
        <f>Translations!$B$386</f>
        <v>Liechtenstein</v>
      </c>
      <c r="E169" s="599"/>
      <c r="F169" s="599"/>
      <c r="G169" s="599"/>
      <c r="H169" s="599"/>
      <c r="I169" s="599"/>
      <c r="J169" s="599"/>
      <c r="K169" s="599"/>
      <c r="L169" s="599"/>
      <c r="M169" s="599"/>
      <c r="N169" s="599"/>
      <c r="O169" s="599"/>
      <c r="P169" s="599"/>
      <c r="Q169" s="599"/>
      <c r="R169" s="599"/>
      <c r="S169" s="599"/>
      <c r="T169" s="599"/>
      <c r="U169" s="599"/>
      <c r="V169" s="599"/>
      <c r="W169" s="345">
        <f t="shared" si="41"/>
        <v>0</v>
      </c>
      <c r="X169" s="345">
        <f t="shared" si="42"/>
        <v>0</v>
      </c>
      <c r="Y169" s="345">
        <f t="shared" si="43"/>
        <v>0</v>
      </c>
      <c r="Z169" s="600"/>
      <c r="AA169" s="457"/>
    </row>
    <row r="170" spans="1:27" x14ac:dyDescent="0.25">
      <c r="A170" s="457"/>
      <c r="C170" s="145" t="str">
        <f>Translations!$B$574</f>
        <v>Switzerland</v>
      </c>
      <c r="D170" s="145" t="str">
        <f>Translations!$B$387</f>
        <v>Lithuania</v>
      </c>
      <c r="E170" s="599"/>
      <c r="F170" s="599"/>
      <c r="G170" s="599"/>
      <c r="H170" s="599"/>
      <c r="I170" s="599"/>
      <c r="J170" s="599"/>
      <c r="K170" s="599"/>
      <c r="L170" s="599"/>
      <c r="M170" s="599"/>
      <c r="N170" s="599"/>
      <c r="O170" s="599"/>
      <c r="P170" s="599"/>
      <c r="Q170" s="599"/>
      <c r="R170" s="599"/>
      <c r="S170" s="599"/>
      <c r="T170" s="599"/>
      <c r="U170" s="599"/>
      <c r="V170" s="599"/>
      <c r="W170" s="345">
        <f t="shared" si="41"/>
        <v>0</v>
      </c>
      <c r="X170" s="345">
        <f t="shared" si="42"/>
        <v>0</v>
      </c>
      <c r="Y170" s="345">
        <f t="shared" si="43"/>
        <v>0</v>
      </c>
      <c r="Z170" s="600"/>
      <c r="AA170" s="457"/>
    </row>
    <row r="171" spans="1:27" x14ac:dyDescent="0.25">
      <c r="A171" s="457"/>
      <c r="C171" s="145" t="str">
        <f>Translations!$B$574</f>
        <v>Switzerland</v>
      </c>
      <c r="D171" s="145" t="str">
        <f>Translations!$B$388</f>
        <v>Luxembourg</v>
      </c>
      <c r="E171" s="599"/>
      <c r="F171" s="599"/>
      <c r="G171" s="599"/>
      <c r="H171" s="599"/>
      <c r="I171" s="599"/>
      <c r="J171" s="599"/>
      <c r="K171" s="599"/>
      <c r="L171" s="599"/>
      <c r="M171" s="599"/>
      <c r="N171" s="599"/>
      <c r="O171" s="599"/>
      <c r="P171" s="599"/>
      <c r="Q171" s="599"/>
      <c r="R171" s="599"/>
      <c r="S171" s="599"/>
      <c r="T171" s="599"/>
      <c r="U171" s="599"/>
      <c r="V171" s="599"/>
      <c r="W171" s="345">
        <f t="shared" si="41"/>
        <v>0</v>
      </c>
      <c r="X171" s="345">
        <f t="shared" si="42"/>
        <v>0</v>
      </c>
      <c r="Y171" s="345">
        <f t="shared" si="43"/>
        <v>0</v>
      </c>
      <c r="Z171" s="600"/>
      <c r="AA171" s="457"/>
    </row>
    <row r="172" spans="1:27" x14ac:dyDescent="0.25">
      <c r="A172" s="457"/>
      <c r="C172" s="145" t="str">
        <f>Translations!$B$574</f>
        <v>Switzerland</v>
      </c>
      <c r="D172" s="145" t="str">
        <f>Translations!$B$389</f>
        <v>Malta</v>
      </c>
      <c r="E172" s="599"/>
      <c r="F172" s="599"/>
      <c r="G172" s="599"/>
      <c r="H172" s="599"/>
      <c r="I172" s="599"/>
      <c r="J172" s="599"/>
      <c r="K172" s="599"/>
      <c r="L172" s="599"/>
      <c r="M172" s="599"/>
      <c r="N172" s="599"/>
      <c r="O172" s="599"/>
      <c r="P172" s="599"/>
      <c r="Q172" s="599"/>
      <c r="R172" s="599"/>
      <c r="S172" s="599"/>
      <c r="T172" s="599"/>
      <c r="U172" s="599"/>
      <c r="V172" s="599"/>
      <c r="W172" s="345">
        <f t="shared" si="41"/>
        <v>0</v>
      </c>
      <c r="X172" s="345">
        <f t="shared" si="42"/>
        <v>0</v>
      </c>
      <c r="Y172" s="345">
        <f t="shared" si="43"/>
        <v>0</v>
      </c>
      <c r="Z172" s="600"/>
      <c r="AA172" s="457"/>
    </row>
    <row r="173" spans="1:27" x14ac:dyDescent="0.25">
      <c r="A173" s="457"/>
      <c r="C173" s="145" t="str">
        <f>Translations!$B$574</f>
        <v>Switzerland</v>
      </c>
      <c r="D173" s="145" t="str">
        <f>Translations!$B$390</f>
        <v>Netherlands</v>
      </c>
      <c r="E173" s="599"/>
      <c r="F173" s="599"/>
      <c r="G173" s="599"/>
      <c r="H173" s="599"/>
      <c r="I173" s="599"/>
      <c r="J173" s="599"/>
      <c r="K173" s="599"/>
      <c r="L173" s="599"/>
      <c r="M173" s="599"/>
      <c r="N173" s="599"/>
      <c r="O173" s="599"/>
      <c r="P173" s="599"/>
      <c r="Q173" s="599"/>
      <c r="R173" s="599"/>
      <c r="S173" s="599"/>
      <c r="T173" s="599"/>
      <c r="U173" s="599"/>
      <c r="V173" s="599"/>
      <c r="W173" s="345">
        <f t="shared" si="41"/>
        <v>0</v>
      </c>
      <c r="X173" s="345">
        <f t="shared" si="42"/>
        <v>0</v>
      </c>
      <c r="Y173" s="345">
        <f t="shared" si="43"/>
        <v>0</v>
      </c>
      <c r="Z173" s="600"/>
      <c r="AA173" s="457"/>
    </row>
    <row r="174" spans="1:27" x14ac:dyDescent="0.25">
      <c r="A174" s="457"/>
      <c r="C174" s="145" t="str">
        <f>Translations!$B$574</f>
        <v>Switzerland</v>
      </c>
      <c r="D174" s="145" t="str">
        <f>Translations!$B$391</f>
        <v>Norway</v>
      </c>
      <c r="E174" s="599"/>
      <c r="F174" s="599"/>
      <c r="G174" s="599"/>
      <c r="H174" s="599"/>
      <c r="I174" s="599"/>
      <c r="J174" s="599"/>
      <c r="K174" s="599"/>
      <c r="L174" s="599"/>
      <c r="M174" s="599"/>
      <c r="N174" s="599"/>
      <c r="O174" s="599"/>
      <c r="P174" s="599"/>
      <c r="Q174" s="599"/>
      <c r="R174" s="599"/>
      <c r="S174" s="599"/>
      <c r="T174" s="599"/>
      <c r="U174" s="599"/>
      <c r="V174" s="599"/>
      <c r="W174" s="345">
        <f t="shared" si="41"/>
        <v>0</v>
      </c>
      <c r="X174" s="345">
        <f t="shared" si="42"/>
        <v>0</v>
      </c>
      <c r="Y174" s="345">
        <f t="shared" si="43"/>
        <v>0</v>
      </c>
      <c r="Z174" s="600"/>
      <c r="AA174" s="457"/>
    </row>
    <row r="175" spans="1:27" x14ac:dyDescent="0.25">
      <c r="A175" s="457"/>
      <c r="C175" s="145" t="str">
        <f>Translations!$B$574</f>
        <v>Switzerland</v>
      </c>
      <c r="D175" s="145" t="str">
        <f>Translations!$B$392</f>
        <v>Poland</v>
      </c>
      <c r="E175" s="599"/>
      <c r="F175" s="599"/>
      <c r="G175" s="599"/>
      <c r="H175" s="599"/>
      <c r="I175" s="599"/>
      <c r="J175" s="599"/>
      <c r="K175" s="599"/>
      <c r="L175" s="599"/>
      <c r="M175" s="599"/>
      <c r="N175" s="599"/>
      <c r="O175" s="599"/>
      <c r="P175" s="599"/>
      <c r="Q175" s="599"/>
      <c r="R175" s="599"/>
      <c r="S175" s="599"/>
      <c r="T175" s="599"/>
      <c r="U175" s="599"/>
      <c r="V175" s="599"/>
      <c r="W175" s="345">
        <f t="shared" si="41"/>
        <v>0</v>
      </c>
      <c r="X175" s="345">
        <f t="shared" si="42"/>
        <v>0</v>
      </c>
      <c r="Y175" s="345">
        <f t="shared" si="43"/>
        <v>0</v>
      </c>
      <c r="Z175" s="600"/>
      <c r="AA175" s="457"/>
    </row>
    <row r="176" spans="1:27" x14ac:dyDescent="0.25">
      <c r="A176" s="457"/>
      <c r="C176" s="145" t="str">
        <f>Translations!$B$574</f>
        <v>Switzerland</v>
      </c>
      <c r="D176" s="145" t="str">
        <f>Translations!$B$393</f>
        <v>Portugal</v>
      </c>
      <c r="E176" s="599"/>
      <c r="F176" s="599"/>
      <c r="G176" s="599"/>
      <c r="H176" s="599"/>
      <c r="I176" s="599"/>
      <c r="J176" s="599"/>
      <c r="K176" s="599"/>
      <c r="L176" s="599"/>
      <c r="M176" s="599"/>
      <c r="N176" s="599"/>
      <c r="O176" s="599"/>
      <c r="P176" s="599"/>
      <c r="Q176" s="599"/>
      <c r="R176" s="599"/>
      <c r="S176" s="599"/>
      <c r="T176" s="599"/>
      <c r="U176" s="599"/>
      <c r="V176" s="599"/>
      <c r="W176" s="345">
        <f t="shared" si="41"/>
        <v>0</v>
      </c>
      <c r="X176" s="345">
        <f t="shared" si="42"/>
        <v>0</v>
      </c>
      <c r="Y176" s="345">
        <f t="shared" si="43"/>
        <v>0</v>
      </c>
      <c r="Z176" s="600"/>
      <c r="AA176" s="457"/>
    </row>
    <row r="177" spans="1:29" x14ac:dyDescent="0.25">
      <c r="A177" s="457"/>
      <c r="C177" s="145" t="str">
        <f>Translations!$B$574</f>
        <v>Switzerland</v>
      </c>
      <c r="D177" s="145" t="str">
        <f>Translations!$B$394</f>
        <v>Romania</v>
      </c>
      <c r="E177" s="599"/>
      <c r="F177" s="599"/>
      <c r="G177" s="599"/>
      <c r="H177" s="599"/>
      <c r="I177" s="599"/>
      <c r="J177" s="599"/>
      <c r="K177" s="599"/>
      <c r="L177" s="599"/>
      <c r="M177" s="599"/>
      <c r="N177" s="599"/>
      <c r="O177" s="599"/>
      <c r="P177" s="599"/>
      <c r="Q177" s="599"/>
      <c r="R177" s="599"/>
      <c r="S177" s="599"/>
      <c r="T177" s="599"/>
      <c r="U177" s="599"/>
      <c r="V177" s="599"/>
      <c r="W177" s="345">
        <f t="shared" si="41"/>
        <v>0</v>
      </c>
      <c r="X177" s="345">
        <f t="shared" si="42"/>
        <v>0</v>
      </c>
      <c r="Y177" s="345">
        <f t="shared" si="43"/>
        <v>0</v>
      </c>
      <c r="Z177" s="600"/>
      <c r="AA177" s="457"/>
    </row>
    <row r="178" spans="1:29" x14ac:dyDescent="0.25">
      <c r="A178" s="457"/>
      <c r="C178" s="145" t="str">
        <f>Translations!$B$574</f>
        <v>Switzerland</v>
      </c>
      <c r="D178" s="145" t="str">
        <f>Translations!$B$395</f>
        <v>Slovakia</v>
      </c>
      <c r="E178" s="599"/>
      <c r="F178" s="599"/>
      <c r="G178" s="599"/>
      <c r="H178" s="599"/>
      <c r="I178" s="599"/>
      <c r="J178" s="599"/>
      <c r="K178" s="599"/>
      <c r="L178" s="599"/>
      <c r="M178" s="599"/>
      <c r="N178" s="599"/>
      <c r="O178" s="599"/>
      <c r="P178" s="599"/>
      <c r="Q178" s="599"/>
      <c r="R178" s="599"/>
      <c r="S178" s="599"/>
      <c r="T178" s="599"/>
      <c r="U178" s="599"/>
      <c r="V178" s="599"/>
      <c r="W178" s="345">
        <f t="shared" si="41"/>
        <v>0</v>
      </c>
      <c r="X178" s="345">
        <f t="shared" si="42"/>
        <v>0</v>
      </c>
      <c r="Y178" s="345">
        <f t="shared" si="43"/>
        <v>0</v>
      </c>
      <c r="Z178" s="600"/>
      <c r="AA178" s="457"/>
    </row>
    <row r="179" spans="1:29" x14ac:dyDescent="0.25">
      <c r="A179" s="457"/>
      <c r="C179" s="145" t="str">
        <f>Translations!$B$574</f>
        <v>Switzerland</v>
      </c>
      <c r="D179" s="145" t="str">
        <f>Translations!$B$396</f>
        <v>Slovenia</v>
      </c>
      <c r="E179" s="599"/>
      <c r="F179" s="599"/>
      <c r="G179" s="599"/>
      <c r="H179" s="599"/>
      <c r="I179" s="599"/>
      <c r="J179" s="599"/>
      <c r="K179" s="599"/>
      <c r="L179" s="599"/>
      <c r="M179" s="599"/>
      <c r="N179" s="599"/>
      <c r="O179" s="599"/>
      <c r="P179" s="599"/>
      <c r="Q179" s="599"/>
      <c r="R179" s="599"/>
      <c r="S179" s="599"/>
      <c r="T179" s="599"/>
      <c r="U179" s="599"/>
      <c r="V179" s="599"/>
      <c r="W179" s="345">
        <f t="shared" si="41"/>
        <v>0</v>
      </c>
      <c r="X179" s="345">
        <f t="shared" si="42"/>
        <v>0</v>
      </c>
      <c r="Y179" s="345">
        <f t="shared" si="43"/>
        <v>0</v>
      </c>
      <c r="Z179" s="600"/>
      <c r="AA179" s="457"/>
    </row>
    <row r="180" spans="1:29" x14ac:dyDescent="0.25">
      <c r="A180" s="457"/>
      <c r="C180" s="145" t="str">
        <f>Translations!$B$574</f>
        <v>Switzerland</v>
      </c>
      <c r="D180" s="145" t="str">
        <f>Translations!$B$397</f>
        <v>Spain</v>
      </c>
      <c r="E180" s="599"/>
      <c r="F180" s="599"/>
      <c r="G180" s="599"/>
      <c r="H180" s="599"/>
      <c r="I180" s="599"/>
      <c r="J180" s="599"/>
      <c r="K180" s="599"/>
      <c r="L180" s="599"/>
      <c r="M180" s="599"/>
      <c r="N180" s="599"/>
      <c r="O180" s="599"/>
      <c r="P180" s="599"/>
      <c r="Q180" s="599"/>
      <c r="R180" s="599"/>
      <c r="S180" s="599"/>
      <c r="T180" s="599"/>
      <c r="U180" s="599"/>
      <c r="V180" s="599"/>
      <c r="W180" s="345">
        <f t="shared" si="41"/>
        <v>0</v>
      </c>
      <c r="X180" s="345">
        <f t="shared" si="42"/>
        <v>0</v>
      </c>
      <c r="Y180" s="345">
        <f t="shared" si="43"/>
        <v>0</v>
      </c>
      <c r="Z180" s="600"/>
      <c r="AA180" s="457"/>
    </row>
    <row r="181" spans="1:29" x14ac:dyDescent="0.25">
      <c r="A181" s="457"/>
      <c r="C181" s="145" t="str">
        <f>Translations!$B$574</f>
        <v>Switzerland</v>
      </c>
      <c r="D181" s="145" t="str">
        <f>Translations!$B$398</f>
        <v>Sweden</v>
      </c>
      <c r="E181" s="599"/>
      <c r="F181" s="599"/>
      <c r="G181" s="599"/>
      <c r="H181" s="599"/>
      <c r="I181" s="599"/>
      <c r="J181" s="599"/>
      <c r="K181" s="599"/>
      <c r="L181" s="599"/>
      <c r="M181" s="599"/>
      <c r="N181" s="599"/>
      <c r="O181" s="599"/>
      <c r="P181" s="599"/>
      <c r="Q181" s="599"/>
      <c r="R181" s="599"/>
      <c r="S181" s="599"/>
      <c r="T181" s="599"/>
      <c r="U181" s="599"/>
      <c r="V181" s="599"/>
      <c r="W181" s="345">
        <f t="shared" si="41"/>
        <v>0</v>
      </c>
      <c r="X181" s="345">
        <f t="shared" si="42"/>
        <v>0</v>
      </c>
      <c r="Y181" s="345">
        <f t="shared" si="43"/>
        <v>0</v>
      </c>
      <c r="Z181" s="600"/>
      <c r="AA181" s="457"/>
    </row>
    <row r="182" spans="1:29" x14ac:dyDescent="0.25">
      <c r="A182" s="457"/>
      <c r="C182" s="145" t="str">
        <f>Translations!$B$574</f>
        <v>Switzerland</v>
      </c>
      <c r="D182" s="145" t="str">
        <f>Translations!$B$399</f>
        <v>United Kingdom</v>
      </c>
      <c r="E182" s="599"/>
      <c r="F182" s="599"/>
      <c r="G182" s="599"/>
      <c r="H182" s="599"/>
      <c r="I182" s="599"/>
      <c r="J182" s="599"/>
      <c r="K182" s="599"/>
      <c r="L182" s="599"/>
      <c r="M182" s="599"/>
      <c r="N182" s="599"/>
      <c r="O182" s="599"/>
      <c r="P182" s="599"/>
      <c r="Q182" s="599"/>
      <c r="R182" s="599"/>
      <c r="S182" s="599"/>
      <c r="T182" s="599"/>
      <c r="U182" s="599"/>
      <c r="V182" s="599"/>
      <c r="W182" s="345">
        <f t="shared" si="41"/>
        <v>0</v>
      </c>
      <c r="X182" s="345">
        <f t="shared" si="42"/>
        <v>0</v>
      </c>
      <c r="Y182" s="345">
        <f t="shared" si="43"/>
        <v>0</v>
      </c>
      <c r="Z182" s="600"/>
      <c r="AA182" s="457"/>
    </row>
    <row r="183" spans="1:29" ht="39.65" customHeight="1" thickBot="1" x14ac:dyDescent="0.3">
      <c r="A183" s="457"/>
      <c r="C183" s="1279" t="str">
        <f>Translations!$B$1356</f>
        <v>Aggregated CO2 emissions from all flights departing from Switzerland to an EEA Member State or to the UK:</v>
      </c>
      <c r="D183" s="1281"/>
      <c r="E183" s="163">
        <f>SUM(E152:E182)</f>
        <v>0</v>
      </c>
      <c r="F183" s="163">
        <f t="shared" ref="F183:Z183" si="44">SUM(F152:F182)</f>
        <v>0</v>
      </c>
      <c r="G183" s="163">
        <f t="shared" si="44"/>
        <v>0</v>
      </c>
      <c r="H183" s="163">
        <f t="shared" si="44"/>
        <v>0</v>
      </c>
      <c r="I183" s="163">
        <f t="shared" si="44"/>
        <v>0</v>
      </c>
      <c r="J183" s="163">
        <f t="shared" si="44"/>
        <v>0</v>
      </c>
      <c r="K183" s="163">
        <f t="shared" si="44"/>
        <v>0</v>
      </c>
      <c r="L183" s="163">
        <f t="shared" si="44"/>
        <v>0</v>
      </c>
      <c r="M183" s="163">
        <f t="shared" si="44"/>
        <v>0</v>
      </c>
      <c r="N183" s="163">
        <f t="shared" si="44"/>
        <v>0</v>
      </c>
      <c r="O183" s="163">
        <f t="shared" si="44"/>
        <v>0</v>
      </c>
      <c r="P183" s="163">
        <f t="shared" si="44"/>
        <v>0</v>
      </c>
      <c r="Q183" s="163">
        <f t="shared" si="44"/>
        <v>0</v>
      </c>
      <c r="R183" s="163">
        <f t="shared" si="44"/>
        <v>0</v>
      </c>
      <c r="S183" s="163">
        <f t="shared" si="44"/>
        <v>0</v>
      </c>
      <c r="T183" s="163">
        <f t="shared" si="44"/>
        <v>0</v>
      </c>
      <c r="U183" s="163">
        <f t="shared" si="44"/>
        <v>0</v>
      </c>
      <c r="V183" s="163">
        <f t="shared" si="44"/>
        <v>0</v>
      </c>
      <c r="W183" s="345">
        <f t="shared" si="44"/>
        <v>0</v>
      </c>
      <c r="X183" s="345">
        <f t="shared" si="44"/>
        <v>0</v>
      </c>
      <c r="Y183" s="345">
        <f t="shared" si="44"/>
        <v>0</v>
      </c>
      <c r="Z183" s="347">
        <f t="shared" si="44"/>
        <v>0</v>
      </c>
      <c r="AA183" s="457"/>
    </row>
    <row r="184" spans="1:29" x14ac:dyDescent="0.25">
      <c r="A184" s="457"/>
      <c r="B184" s="457"/>
      <c r="C184" s="463"/>
      <c r="D184" s="463"/>
      <c r="E184" s="463"/>
      <c r="F184" s="463"/>
      <c r="G184" s="463"/>
      <c r="H184" s="463"/>
      <c r="I184" s="463"/>
      <c r="J184" s="463"/>
      <c r="K184" s="463"/>
      <c r="L184" s="463"/>
      <c r="M184" s="463"/>
      <c r="N184" s="463"/>
      <c r="O184" s="463"/>
      <c r="P184" s="463"/>
      <c r="Q184" s="463"/>
      <c r="R184" s="463"/>
      <c r="S184" s="463"/>
      <c r="T184" s="463"/>
      <c r="U184" s="463"/>
      <c r="V184" s="463"/>
      <c r="W184" s="457"/>
      <c r="X184" s="457"/>
      <c r="Y184" s="457"/>
      <c r="Z184" s="457"/>
      <c r="AA184" s="457"/>
    </row>
    <row r="185" spans="1:29" x14ac:dyDescent="0.25">
      <c r="C185" s="122"/>
      <c r="D185" s="122"/>
      <c r="E185" s="122"/>
      <c r="F185" s="122"/>
      <c r="G185" s="122"/>
      <c r="H185" s="122"/>
      <c r="I185" s="122"/>
      <c r="J185" s="122"/>
      <c r="K185" s="122"/>
      <c r="L185" s="122"/>
      <c r="M185" s="122"/>
      <c r="N185" s="122"/>
      <c r="O185" s="122"/>
      <c r="P185" s="122"/>
      <c r="Q185" s="122"/>
      <c r="R185" s="122"/>
      <c r="S185" s="122"/>
      <c r="T185" s="122"/>
      <c r="U185" s="122"/>
      <c r="V185" s="122"/>
    </row>
    <row r="186" spans="1:29" x14ac:dyDescent="0.25">
      <c r="C186" s="1249" t="str">
        <f>Translations!$B$1555</f>
        <v>&lt;&lt;&lt; Click here to proceed to section 9 "Aircraft data" &gt;&gt;&gt;</v>
      </c>
      <c r="D186" s="1249"/>
      <c r="E186" s="1249"/>
      <c r="F186" s="1249"/>
      <c r="G186" s="1249"/>
      <c r="H186" s="122"/>
      <c r="I186" s="122"/>
      <c r="J186" s="122"/>
      <c r="K186" s="122"/>
      <c r="L186" s="122"/>
      <c r="M186" s="122"/>
      <c r="N186" s="122"/>
      <c r="O186" s="122"/>
      <c r="P186" s="122"/>
      <c r="Q186" s="122"/>
      <c r="R186" s="122"/>
      <c r="S186" s="122"/>
      <c r="T186" s="122"/>
      <c r="U186" s="122"/>
      <c r="V186" s="122"/>
    </row>
    <row r="189" spans="1:29" s="118" customFormat="1" hidden="1" x14ac:dyDescent="0.25">
      <c r="B189" s="582" t="s">
        <v>203</v>
      </c>
      <c r="AC189" s="118" t="s">
        <v>204</v>
      </c>
    </row>
    <row r="190" spans="1:29" s="118" customFormat="1" ht="25.5" hidden="1" customHeight="1" x14ac:dyDescent="0.35">
      <c r="C190" s="699" t="s">
        <v>205</v>
      </c>
      <c r="D190" s="700"/>
      <c r="E190" s="700">
        <v>1</v>
      </c>
      <c r="F190" s="700">
        <v>2</v>
      </c>
      <c r="G190" s="700">
        <v>3</v>
      </c>
      <c r="H190" s="700">
        <v>4</v>
      </c>
      <c r="I190" s="700">
        <v>5</v>
      </c>
      <c r="J190" s="700">
        <v>6</v>
      </c>
      <c r="K190" s="700">
        <v>7</v>
      </c>
      <c r="L190" s="700">
        <v>8</v>
      </c>
      <c r="M190" s="700">
        <v>9</v>
      </c>
      <c r="N190" s="700">
        <v>10</v>
      </c>
      <c r="O190" s="700">
        <v>11</v>
      </c>
      <c r="P190" s="700">
        <v>12</v>
      </c>
      <c r="Q190" s="700">
        <v>13</v>
      </c>
      <c r="R190" s="700">
        <v>14</v>
      </c>
      <c r="S190" s="700">
        <v>15</v>
      </c>
      <c r="T190" s="700">
        <v>16</v>
      </c>
      <c r="U190" s="700">
        <v>17</v>
      </c>
      <c r="V190" s="701">
        <v>18</v>
      </c>
      <c r="W190" s="558"/>
      <c r="X190" s="558"/>
      <c r="Y190" s="558"/>
      <c r="Z190" s="558"/>
      <c r="AA190" s="558"/>
      <c r="AC190" s="118" t="s">
        <v>204</v>
      </c>
    </row>
    <row r="191" spans="1:29" s="118" customFormat="1" ht="25.5" hidden="1" customHeight="1" x14ac:dyDescent="0.35">
      <c r="C191" s="578" t="s">
        <v>206</v>
      </c>
      <c r="D191" s="579"/>
      <c r="E191" s="581"/>
      <c r="F191" s="581"/>
      <c r="G191" s="581"/>
      <c r="H191" s="579" t="b">
        <f t="shared" ref="H191:V191" si="45">INDEX(CNTR_FuelListCompleteData,H$190-3)</f>
        <v>0</v>
      </c>
      <c r="I191" s="579" t="b">
        <f t="shared" si="45"/>
        <v>0</v>
      </c>
      <c r="J191" s="579" t="b">
        <f t="shared" si="45"/>
        <v>0</v>
      </c>
      <c r="K191" s="579" t="b">
        <f t="shared" si="45"/>
        <v>0</v>
      </c>
      <c r="L191" s="579" t="b">
        <f t="shared" si="45"/>
        <v>0</v>
      </c>
      <c r="M191" s="579" t="b">
        <f t="shared" si="45"/>
        <v>0</v>
      </c>
      <c r="N191" s="579" t="b">
        <f t="shared" si="45"/>
        <v>0</v>
      </c>
      <c r="O191" s="579" t="b">
        <f t="shared" si="45"/>
        <v>0</v>
      </c>
      <c r="P191" s="579" t="b">
        <f t="shared" si="45"/>
        <v>0</v>
      </c>
      <c r="Q191" s="579" t="b">
        <f t="shared" si="45"/>
        <v>0</v>
      </c>
      <c r="R191" s="579" t="b">
        <f t="shared" si="45"/>
        <v>0</v>
      </c>
      <c r="S191" s="579" t="b">
        <f t="shared" si="45"/>
        <v>0</v>
      </c>
      <c r="T191" s="579" t="b">
        <f t="shared" si="45"/>
        <v>0</v>
      </c>
      <c r="U191" s="579" t="b">
        <f t="shared" si="45"/>
        <v>0</v>
      </c>
      <c r="V191" s="580" t="b">
        <f t="shared" si="45"/>
        <v>0</v>
      </c>
      <c r="W191" s="558"/>
      <c r="X191" s="558"/>
      <c r="Y191" s="558"/>
      <c r="Z191" s="558"/>
      <c r="AA191" s="558"/>
      <c r="AC191" s="118" t="s">
        <v>204</v>
      </c>
    </row>
    <row r="192" spans="1:29" s="118" customFormat="1" ht="25.5" hidden="1" customHeight="1" x14ac:dyDescent="0.35">
      <c r="C192" s="732" t="s">
        <v>41</v>
      </c>
      <c r="D192" s="579"/>
      <c r="E192" s="581"/>
      <c r="F192" s="581"/>
      <c r="G192" s="581"/>
      <c r="H192" s="579" t="b">
        <f t="shared" ref="H192:V192" si="46">AND(SUM($W$27:$Y$27,INDICATOR_ETS_TotalEmissions,$W$135:$Y$135,INDICATOR_CHETS_TotalEmissions)&gt;0,H$191&lt;&gt;TRUE)</f>
        <v>0</v>
      </c>
      <c r="I192" s="579" t="b">
        <f t="shared" si="46"/>
        <v>0</v>
      </c>
      <c r="J192" s="579" t="b">
        <f t="shared" si="46"/>
        <v>0</v>
      </c>
      <c r="K192" s="579" t="b">
        <f t="shared" si="46"/>
        <v>0</v>
      </c>
      <c r="L192" s="579" t="b">
        <f t="shared" si="46"/>
        <v>0</v>
      </c>
      <c r="M192" s="579" t="b">
        <f t="shared" si="46"/>
        <v>0</v>
      </c>
      <c r="N192" s="579" t="b">
        <f t="shared" si="46"/>
        <v>0</v>
      </c>
      <c r="O192" s="579" t="b">
        <f t="shared" si="46"/>
        <v>0</v>
      </c>
      <c r="P192" s="579" t="b">
        <f t="shared" si="46"/>
        <v>0</v>
      </c>
      <c r="Q192" s="579" t="b">
        <f t="shared" si="46"/>
        <v>0</v>
      </c>
      <c r="R192" s="579" t="b">
        <f t="shared" si="46"/>
        <v>0</v>
      </c>
      <c r="S192" s="579" t="b">
        <f t="shared" si="46"/>
        <v>0</v>
      </c>
      <c r="T192" s="579" t="b">
        <f t="shared" si="46"/>
        <v>0</v>
      </c>
      <c r="U192" s="579" t="b">
        <f t="shared" si="46"/>
        <v>0</v>
      </c>
      <c r="V192" s="580" t="b">
        <f t="shared" si="46"/>
        <v>0</v>
      </c>
      <c r="W192" s="558"/>
      <c r="X192" s="558"/>
      <c r="Y192" s="558"/>
      <c r="Z192" s="558"/>
      <c r="AA192" s="558"/>
      <c r="AC192" s="118" t="s">
        <v>204</v>
      </c>
    </row>
    <row r="193" spans="3:29" s="118" customFormat="1" ht="25.5" hidden="1" customHeight="1" x14ac:dyDescent="0.35">
      <c r="C193" s="578" t="s">
        <v>207</v>
      </c>
      <c r="D193" s="579"/>
      <c r="E193" s="581"/>
      <c r="F193" s="581"/>
      <c r="G193" s="581"/>
      <c r="H193" s="579" t="str">
        <f t="shared" ref="H193:V193" si="47">IF(INDEX(CNTR_FuelListNames,H$190-3)="", Text_Fuel &amp; " " &amp;H190, INDEX(CNTR_FuelListNames,H$190-3))</f>
        <v>Fuel 4</v>
      </c>
      <c r="I193" s="579" t="str">
        <f t="shared" si="47"/>
        <v>Fuel 5</v>
      </c>
      <c r="J193" s="579" t="str">
        <f t="shared" si="47"/>
        <v>Fuel 6</v>
      </c>
      <c r="K193" s="579" t="str">
        <f t="shared" si="47"/>
        <v>Fuel 7</v>
      </c>
      <c r="L193" s="579" t="str">
        <f t="shared" si="47"/>
        <v>Fuel 8</v>
      </c>
      <c r="M193" s="579" t="str">
        <f t="shared" si="47"/>
        <v>Fuel 9</v>
      </c>
      <c r="N193" s="579" t="str">
        <f t="shared" si="47"/>
        <v>Fuel 10</v>
      </c>
      <c r="O193" s="579" t="str">
        <f t="shared" si="47"/>
        <v>Fuel 11</v>
      </c>
      <c r="P193" s="579" t="str">
        <f t="shared" si="47"/>
        <v>Fuel 12</v>
      </c>
      <c r="Q193" s="579" t="str">
        <f t="shared" si="47"/>
        <v>Fuel 13</v>
      </c>
      <c r="R193" s="579" t="str">
        <f t="shared" si="47"/>
        <v>Fuel 14</v>
      </c>
      <c r="S193" s="579" t="str">
        <f t="shared" si="47"/>
        <v>Fuel 15</v>
      </c>
      <c r="T193" s="579" t="str">
        <f t="shared" si="47"/>
        <v>Fuel 16</v>
      </c>
      <c r="U193" s="579" t="str">
        <f t="shared" si="47"/>
        <v>Fuel 17</v>
      </c>
      <c r="V193" s="580" t="str">
        <f t="shared" si="47"/>
        <v>Fuel 18</v>
      </c>
      <c r="W193" s="558"/>
      <c r="X193" s="558"/>
      <c r="Y193" s="558"/>
      <c r="Z193" s="558"/>
      <c r="AA193" s="558"/>
      <c r="AC193" s="118" t="s">
        <v>204</v>
      </c>
    </row>
    <row r="194" spans="3:29" s="575" customFormat="1" ht="25.5" hidden="1" customHeight="1" x14ac:dyDescent="0.35">
      <c r="C194" s="578" t="s">
        <v>208</v>
      </c>
      <c r="D194" s="579"/>
      <c r="E194" s="581" t="b">
        <v>0</v>
      </c>
      <c r="F194" s="581" t="b">
        <v>0</v>
      </c>
      <c r="G194" s="581" t="b">
        <v>0</v>
      </c>
      <c r="H194" s="579" t="b">
        <f t="shared" ref="H194:V194" si="48">INDEX(CNTR_FuelListIsZero,H$190-3)=TRUE</f>
        <v>0</v>
      </c>
      <c r="I194" s="579" t="b">
        <f t="shared" si="48"/>
        <v>0</v>
      </c>
      <c r="J194" s="579" t="b">
        <f t="shared" si="48"/>
        <v>0</v>
      </c>
      <c r="K194" s="579" t="b">
        <f t="shared" si="48"/>
        <v>0</v>
      </c>
      <c r="L194" s="579" t="b">
        <f t="shared" si="48"/>
        <v>0</v>
      </c>
      <c r="M194" s="579" t="b">
        <f t="shared" si="48"/>
        <v>0</v>
      </c>
      <c r="N194" s="579" t="b">
        <f t="shared" si="48"/>
        <v>0</v>
      </c>
      <c r="O194" s="579" t="b">
        <f t="shared" si="48"/>
        <v>0</v>
      </c>
      <c r="P194" s="579" t="b">
        <f t="shared" si="48"/>
        <v>0</v>
      </c>
      <c r="Q194" s="579" t="b">
        <f t="shared" si="48"/>
        <v>0</v>
      </c>
      <c r="R194" s="579" t="b">
        <f t="shared" si="48"/>
        <v>0</v>
      </c>
      <c r="S194" s="579" t="b">
        <f t="shared" si="48"/>
        <v>0</v>
      </c>
      <c r="T194" s="579" t="b">
        <f t="shared" si="48"/>
        <v>0</v>
      </c>
      <c r="U194" s="579" t="b">
        <f t="shared" si="48"/>
        <v>0</v>
      </c>
      <c r="V194" s="580" t="b">
        <f t="shared" si="48"/>
        <v>0</v>
      </c>
      <c r="W194" s="576"/>
      <c r="X194" s="576"/>
      <c r="Y194" s="576"/>
      <c r="Z194" s="576"/>
      <c r="AA194" s="576"/>
      <c r="AC194" s="118" t="s">
        <v>204</v>
      </c>
    </row>
    <row r="195" spans="3:29" s="118" customFormat="1" ht="25.5" hidden="1" customHeight="1" x14ac:dyDescent="0.35">
      <c r="C195" s="578" t="s">
        <v>209</v>
      </c>
      <c r="D195" s="579"/>
      <c r="E195" s="579">
        <f>IF(ISNUMBER(INDEX('Emissions overview'!$L$57:$L$74,E$190)),INDEX('Emissions overview'!$L$57:$L$74,E$190),"")</f>
        <v>3.16</v>
      </c>
      <c r="F195" s="579">
        <f>IF(ISNUMBER(INDEX('Emissions overview'!$L$57:$L$74,F$190)),INDEX('Emissions overview'!$L$57:$L$74,F$190),"")</f>
        <v>3.1</v>
      </c>
      <c r="G195" s="579">
        <f>IF(ISNUMBER(INDEX('Emissions overview'!$L$57:$L$74,G$190)),INDEX('Emissions overview'!$L$57:$L$74,G$190),"")</f>
        <v>3.1</v>
      </c>
      <c r="H195" s="579" t="str">
        <f>IF(ISNUMBER(INDEX('Emissions overview'!$L$57:$L$74,H$190)),INDEX('Emissions overview'!$L$57:$L$74,H$190),"")</f>
        <v/>
      </c>
      <c r="I195" s="579" t="str">
        <f>IF(ISNUMBER(INDEX('Emissions overview'!$L$57:$L$74,I$190)),INDEX('Emissions overview'!$L$57:$L$74,I$190),"")</f>
        <v/>
      </c>
      <c r="J195" s="579" t="str">
        <f>IF(ISNUMBER(INDEX('Emissions overview'!$L$57:$L$74,J$190)),INDEX('Emissions overview'!$L$57:$L$74,J$190),"")</f>
        <v/>
      </c>
      <c r="K195" s="579" t="str">
        <f>IF(ISNUMBER(INDEX('Emissions overview'!$L$57:$L$74,K$190)),INDEX('Emissions overview'!$L$57:$L$74,K$190),"")</f>
        <v/>
      </c>
      <c r="L195" s="579" t="str">
        <f>IF(ISNUMBER(INDEX('Emissions overview'!$L$57:$L$74,L$190)),INDEX('Emissions overview'!$L$57:$L$74,L$190),"")</f>
        <v/>
      </c>
      <c r="M195" s="579" t="str">
        <f>IF(ISNUMBER(INDEX('Emissions overview'!$L$57:$L$74,M$190)),INDEX('Emissions overview'!$L$57:$L$74,M$190),"")</f>
        <v/>
      </c>
      <c r="N195" s="579" t="str">
        <f>IF(ISNUMBER(INDEX('Emissions overview'!$L$57:$L$74,N$190)),INDEX('Emissions overview'!$L$57:$L$74,N$190),"")</f>
        <v/>
      </c>
      <c r="O195" s="579" t="str">
        <f>IF(ISNUMBER(INDEX('Emissions overview'!$L$57:$L$74,O$190)),INDEX('Emissions overview'!$L$57:$L$74,O$190),"")</f>
        <v/>
      </c>
      <c r="P195" s="579" t="str">
        <f>IF(ISNUMBER(INDEX('Emissions overview'!$L$57:$L$74,P$190)),INDEX('Emissions overview'!$L$57:$L$74,P$190),"")</f>
        <v/>
      </c>
      <c r="Q195" s="579" t="str">
        <f>IF(ISNUMBER(INDEX('Emissions overview'!$L$57:$L$74,Q$190)),INDEX('Emissions overview'!$L$57:$L$74,Q$190),"")</f>
        <v/>
      </c>
      <c r="R195" s="579" t="str">
        <f>IF(ISNUMBER(INDEX('Emissions overview'!$L$57:$L$74,R$190)),INDEX('Emissions overview'!$L$57:$L$74,R$190),"")</f>
        <v/>
      </c>
      <c r="S195" s="579" t="str">
        <f>IF(ISNUMBER(INDEX('Emissions overview'!$L$57:$L$74,S$190)),INDEX('Emissions overview'!$L$57:$L$74,S$190),"")</f>
        <v/>
      </c>
      <c r="T195" s="579" t="str">
        <f>IF(ISNUMBER(INDEX('Emissions overview'!$L$57:$L$74,T$190)),INDEX('Emissions overview'!$L$57:$L$74,T$190),"")</f>
        <v/>
      </c>
      <c r="U195" s="579" t="str">
        <f>IF(ISNUMBER(INDEX('Emissions overview'!$L$57:$L$74,U$190)),INDEX('Emissions overview'!$L$57:$L$74,U$190),"")</f>
        <v/>
      </c>
      <c r="V195" s="580" t="str">
        <f>IF(ISNUMBER(INDEX('Emissions overview'!$L$57:$L$74,V$190)),INDEX('Emissions overview'!$L$57:$L$74,V$190),"")</f>
        <v/>
      </c>
      <c r="W195" s="558"/>
      <c r="X195" s="558"/>
      <c r="Y195" s="558"/>
      <c r="Z195" s="558"/>
      <c r="AA195" s="558"/>
      <c r="AC195" s="118" t="s">
        <v>204</v>
      </c>
    </row>
    <row r="196" spans="3:29" s="118" customFormat="1" ht="25.5" hidden="1" customHeight="1" x14ac:dyDescent="0.35">
      <c r="C196" s="702" t="s">
        <v>210</v>
      </c>
      <c r="D196" s="703"/>
      <c r="E196" s="703">
        <f t="shared" ref="E196:G196" si="49">IF(E194=TRUE,0,E195)</f>
        <v>3.16</v>
      </c>
      <c r="F196" s="703">
        <f t="shared" si="49"/>
        <v>3.1</v>
      </c>
      <c r="G196" s="703">
        <f t="shared" si="49"/>
        <v>3.1</v>
      </c>
      <c r="H196" s="703" t="str">
        <f>IF(H194=TRUE,0,H195)</f>
        <v/>
      </c>
      <c r="I196" s="703" t="str">
        <f t="shared" ref="I196:V196" si="50">IF(I194=TRUE,0,I195)</f>
        <v/>
      </c>
      <c r="J196" s="703" t="str">
        <f t="shared" si="50"/>
        <v/>
      </c>
      <c r="K196" s="703" t="str">
        <f t="shared" si="50"/>
        <v/>
      </c>
      <c r="L196" s="703" t="str">
        <f t="shared" si="50"/>
        <v/>
      </c>
      <c r="M196" s="703" t="str">
        <f t="shared" si="50"/>
        <v/>
      </c>
      <c r="N196" s="703" t="str">
        <f t="shared" si="50"/>
        <v/>
      </c>
      <c r="O196" s="703" t="str">
        <f t="shared" si="50"/>
        <v/>
      </c>
      <c r="P196" s="703" t="str">
        <f t="shared" si="50"/>
        <v/>
      </c>
      <c r="Q196" s="703" t="str">
        <f t="shared" si="50"/>
        <v/>
      </c>
      <c r="R196" s="703" t="str">
        <f t="shared" si="50"/>
        <v/>
      </c>
      <c r="S196" s="703" t="str">
        <f t="shared" si="50"/>
        <v/>
      </c>
      <c r="T196" s="703" t="str">
        <f t="shared" si="50"/>
        <v/>
      </c>
      <c r="U196" s="703" t="str">
        <f t="shared" si="50"/>
        <v/>
      </c>
      <c r="V196" s="704" t="str">
        <f t="shared" si="50"/>
        <v/>
      </c>
      <c r="W196" s="558"/>
      <c r="X196" s="558"/>
      <c r="Y196" s="558"/>
      <c r="Z196" s="558"/>
      <c r="AA196" s="558"/>
      <c r="AC196" s="118" t="s">
        <v>204</v>
      </c>
    </row>
    <row r="197" spans="3:29" s="118" customFormat="1" hidden="1" x14ac:dyDescent="0.25">
      <c r="AC197" s="118" t="s">
        <v>204</v>
      </c>
    </row>
  </sheetData>
  <sheetProtection formatCells="0" formatColumns="0" formatRows="0" insertColumns="0" insertRows="0"/>
  <mergeCells count="69">
    <mergeCell ref="B2:K2"/>
    <mergeCell ref="L2:U2"/>
    <mergeCell ref="V2:AA2"/>
    <mergeCell ref="C123:D123"/>
    <mergeCell ref="C91:D91"/>
    <mergeCell ref="E95:V95"/>
    <mergeCell ref="Z95:Z96"/>
    <mergeCell ref="C6:Z6"/>
    <mergeCell ref="C7:Z7"/>
    <mergeCell ref="C8:Z8"/>
    <mergeCell ref="Y11:Y12"/>
    <mergeCell ref="Z11:Z12"/>
    <mergeCell ref="W11:W12"/>
    <mergeCell ref="X11:X12"/>
    <mergeCell ref="C9:Z9"/>
    <mergeCell ref="Z25:Z26"/>
    <mergeCell ref="C135:D135"/>
    <mergeCell ref="C131:Z131"/>
    <mergeCell ref="C136:D136"/>
    <mergeCell ref="C137:D137"/>
    <mergeCell ref="C128:Z128"/>
    <mergeCell ref="C129:Z129"/>
    <mergeCell ref="C130:Z130"/>
    <mergeCell ref="E133:V133"/>
    <mergeCell ref="Y133:Y134"/>
    <mergeCell ref="Z133:Z134"/>
    <mergeCell ref="W133:W134"/>
    <mergeCell ref="X133:X134"/>
    <mergeCell ref="E150:V150"/>
    <mergeCell ref="Y150:Y151"/>
    <mergeCell ref="Z150:Z151"/>
    <mergeCell ref="C183:D183"/>
    <mergeCell ref="C143:Z143"/>
    <mergeCell ref="Y144:Y145"/>
    <mergeCell ref="Z144:Z145"/>
    <mergeCell ref="C145:D145"/>
    <mergeCell ref="C148:Y148"/>
    <mergeCell ref="C149:Z149"/>
    <mergeCell ref="W144:W145"/>
    <mergeCell ref="W150:W151"/>
    <mergeCell ref="X144:X145"/>
    <mergeCell ref="X150:X151"/>
    <mergeCell ref="C186:G186"/>
    <mergeCell ref="E11:V11"/>
    <mergeCell ref="C15:D15"/>
    <mergeCell ref="C16:D16"/>
    <mergeCell ref="C17:D17"/>
    <mergeCell ref="C13:D13"/>
    <mergeCell ref="E63:V63"/>
    <mergeCell ref="C93:Y93"/>
    <mergeCell ref="E25:V25"/>
    <mergeCell ref="C26:D26"/>
    <mergeCell ref="C14:D14"/>
    <mergeCell ref="Y95:Y96"/>
    <mergeCell ref="E144:V144"/>
    <mergeCell ref="C94:Z94"/>
    <mergeCell ref="W95:W96"/>
    <mergeCell ref="X95:X96"/>
    <mergeCell ref="C22:Z22"/>
    <mergeCell ref="Y63:Y64"/>
    <mergeCell ref="Z63:Z64"/>
    <mergeCell ref="C23:Z23"/>
    <mergeCell ref="C62:Z62"/>
    <mergeCell ref="C61:Z61"/>
    <mergeCell ref="Y25:Y26"/>
    <mergeCell ref="W63:W64"/>
    <mergeCell ref="X25:X26"/>
    <mergeCell ref="X63:X64"/>
    <mergeCell ref="W25:W26"/>
  </mergeCells>
  <conditionalFormatting sqref="H12:V17 H26:V58 H64:V91 H96:V123 H134:V137 H145:V146 H151:V183">
    <cfRule type="expression" dxfId="13" priority="1">
      <formula>H$192=TRUE</formula>
    </cfRule>
  </conditionalFormatting>
  <dataValidations count="3">
    <dataValidation type="list" allowBlank="1" showInputMessage="1" showErrorMessage="1" sqref="C97:C121" xr:uid="{00000000-0002-0000-0400-000000000000}">
      <formula1>worldcountries</formula1>
    </dataValidation>
    <dataValidation type="list" allowBlank="1" showInputMessage="1" showErrorMessage="1" sqref="C65:C89 D97:D121" xr:uid="{00000000-0002-0000-0400-000001000000}">
      <formula1>memberstates</formula1>
    </dataValidation>
    <dataValidation type="list" allowBlank="1" showInputMessage="1" showErrorMessage="1" sqref="D65:D89" xr:uid="{00000000-0002-0000-0400-000002000000}">
      <formula1>MemberStatesWithSwiss</formula1>
    </dataValidation>
  </dataValidations>
  <hyperlinks>
    <hyperlink ref="C186:G186"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6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K66"/>
  <sheetViews>
    <sheetView showGridLines="0" zoomScale="115" zoomScaleNormal="115" workbookViewId="0">
      <selection activeCell="C1" sqref="C1"/>
    </sheetView>
  </sheetViews>
  <sheetFormatPr baseColWidth="10" defaultColWidth="10.54296875" defaultRowHeight="12.5" x14ac:dyDescent="0.25"/>
  <cols>
    <col min="1" max="1" width="3.1796875" style="372" customWidth="1"/>
    <col min="2" max="2" width="3.453125" style="119" bestFit="1" customWidth="1"/>
    <col min="3" max="6" width="20.54296875" style="65" customWidth="1"/>
    <col min="7" max="8" width="10.54296875" style="65" customWidth="1"/>
    <col min="9" max="10" width="8.54296875" style="65" customWidth="1"/>
    <col min="11" max="11" width="8.54296875" style="65" hidden="1" customWidth="1"/>
    <col min="12" max="12" width="3.1796875" style="65" customWidth="1"/>
    <col min="13" max="16384" width="10.54296875" style="65"/>
  </cols>
  <sheetData>
    <row r="2" spans="1:11" ht="15.5" x14ac:dyDescent="0.25">
      <c r="B2" s="1022">
        <v>9</v>
      </c>
      <c r="C2" s="1291" t="str">
        <f>Translations!$B$848</f>
        <v>Aircraft data</v>
      </c>
      <c r="D2" s="1291"/>
      <c r="E2" s="1291"/>
      <c r="F2" s="1291"/>
      <c r="G2" s="1291"/>
      <c r="H2" s="1291"/>
      <c r="I2" s="1023"/>
      <c r="J2" s="1023"/>
      <c r="K2" s="1023"/>
    </row>
    <row r="4" spans="1:11" ht="12.75" customHeight="1" x14ac:dyDescent="0.25">
      <c r="B4" s="367" t="s">
        <v>25</v>
      </c>
      <c r="C4" s="1156" t="str">
        <f>Translations!$B$1145</f>
        <v>Provide details for each aircraft used during the year covered by this report for which you are the aircraft operator.</v>
      </c>
      <c r="D4" s="1156"/>
      <c r="E4" s="1156"/>
      <c r="F4" s="1156"/>
      <c r="G4" s="1156"/>
      <c r="H4" s="1156"/>
      <c r="I4" s="1034"/>
      <c r="J4" s="1034"/>
      <c r="K4" s="1034"/>
    </row>
    <row r="5" spans="1:11" ht="39.75" customHeight="1" thickBot="1" x14ac:dyDescent="0.3">
      <c r="C5" s="1116" t="str">
        <f>Translations!$B$1289</f>
        <v>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v>
      </c>
      <c r="D5" s="1142"/>
      <c r="E5" s="1142"/>
      <c r="F5" s="1142"/>
      <c r="G5" s="1142"/>
      <c r="H5" s="1142"/>
      <c r="I5" s="1034"/>
      <c r="J5" s="1034"/>
      <c r="K5" s="1034"/>
    </row>
    <row r="6" spans="1:11" s="57" customFormat="1" ht="39.65" customHeight="1" x14ac:dyDescent="0.25">
      <c r="A6" s="373"/>
      <c r="B6" s="368"/>
      <c r="C6" s="1294" t="str">
        <f>Translations!$B$1005</f>
        <v>Aircraft type (ICAO aircraft type designator)</v>
      </c>
      <c r="D6" s="1294" t="str">
        <f>Translations!$B$1006</f>
        <v>Aircraft subtype (as specified in the monitoring plan, if applicable)</v>
      </c>
      <c r="E6" s="1294" t="str">
        <f>Translations!$B$1007</f>
        <v>Aircraft registration number</v>
      </c>
      <c r="F6" s="1294" t="str">
        <f>Translations!$B$1008</f>
        <v>Owner of the aircraft (if known)
 In the case of leased-in aircraft, the lessor</v>
      </c>
      <c r="G6" s="1292" t="str">
        <f>Translations!$B$1009</f>
        <v>If the aircraft has not belonged to your fleet for the whole reporting year:</v>
      </c>
      <c r="H6" s="1293"/>
      <c r="I6" s="1296" t="str">
        <f>Translations!$B$1149</f>
        <v>used for EU ETS</v>
      </c>
      <c r="J6" s="1300" t="str">
        <f>Translations!$B$1290</f>
        <v>used for CH ETS</v>
      </c>
      <c r="K6" s="1298" t="str">
        <f>Translations!$B$1150</f>
        <v>used for CORSIA (if applicable)</v>
      </c>
    </row>
    <row r="7" spans="1:11" s="57" customFormat="1" ht="13.4" customHeight="1" x14ac:dyDescent="0.25">
      <c r="A7" s="373"/>
      <c r="B7" s="368"/>
      <c r="C7" s="1295"/>
      <c r="D7" s="1295"/>
      <c r="E7" s="1295"/>
      <c r="F7" s="1295"/>
      <c r="G7" s="50" t="str">
        <f>Translations!$B$1010</f>
        <v>Starting date</v>
      </c>
      <c r="H7" s="50" t="str">
        <f>Translations!$B$1011</f>
        <v>End date</v>
      </c>
      <c r="I7" s="1297"/>
      <c r="J7" s="1301"/>
      <c r="K7" s="1299"/>
    </row>
    <row r="8" spans="1:11" x14ac:dyDescent="0.25">
      <c r="B8" s="369"/>
      <c r="C8" s="83"/>
      <c r="D8" s="83"/>
      <c r="E8" s="83"/>
      <c r="F8" s="83"/>
      <c r="G8" s="82"/>
      <c r="H8" s="82"/>
      <c r="I8" s="602"/>
      <c r="J8" s="603"/>
      <c r="K8" s="1024"/>
    </row>
    <row r="9" spans="1:11" x14ac:dyDescent="0.25">
      <c r="B9" s="369"/>
      <c r="C9" s="83"/>
      <c r="D9" s="83"/>
      <c r="E9" s="83"/>
      <c r="F9" s="83"/>
      <c r="G9" s="82"/>
      <c r="H9" s="82"/>
      <c r="I9" s="602"/>
      <c r="J9" s="603"/>
      <c r="K9" s="1024"/>
    </row>
    <row r="10" spans="1:11" x14ac:dyDescent="0.25">
      <c r="B10" s="369"/>
      <c r="C10" s="83"/>
      <c r="D10" s="83"/>
      <c r="E10" s="83"/>
      <c r="F10" s="83"/>
      <c r="G10" s="82"/>
      <c r="H10" s="82"/>
      <c r="I10" s="602"/>
      <c r="J10" s="603"/>
      <c r="K10" s="1024"/>
    </row>
    <row r="11" spans="1:11" x14ac:dyDescent="0.25">
      <c r="B11" s="369"/>
      <c r="C11" s="83"/>
      <c r="D11" s="83"/>
      <c r="E11" s="83"/>
      <c r="F11" s="83"/>
      <c r="G11" s="82"/>
      <c r="H11" s="82"/>
      <c r="I11" s="602"/>
      <c r="J11" s="603"/>
      <c r="K11" s="1024"/>
    </row>
    <row r="12" spans="1:11" x14ac:dyDescent="0.25">
      <c r="B12" s="369"/>
      <c r="C12" s="83"/>
      <c r="D12" s="83"/>
      <c r="E12" s="83"/>
      <c r="F12" s="83"/>
      <c r="G12" s="82"/>
      <c r="H12" s="82"/>
      <c r="I12" s="602"/>
      <c r="J12" s="603"/>
      <c r="K12" s="1024"/>
    </row>
    <row r="13" spans="1:11" x14ac:dyDescent="0.25">
      <c r="B13" s="369"/>
      <c r="C13" s="83"/>
      <c r="D13" s="83"/>
      <c r="E13" s="83"/>
      <c r="F13" s="83"/>
      <c r="G13" s="82"/>
      <c r="H13" s="82"/>
      <c r="I13" s="602"/>
      <c r="J13" s="603"/>
      <c r="K13" s="1024"/>
    </row>
    <row r="14" spans="1:11" x14ac:dyDescent="0.25">
      <c r="B14" s="369"/>
      <c r="C14" s="83"/>
      <c r="D14" s="83"/>
      <c r="E14" s="83"/>
      <c r="F14" s="83"/>
      <c r="G14" s="82"/>
      <c r="H14" s="82"/>
      <c r="I14" s="602"/>
      <c r="J14" s="603"/>
      <c r="K14" s="1024"/>
    </row>
    <row r="15" spans="1:11" x14ac:dyDescent="0.25">
      <c r="B15" s="369"/>
      <c r="C15" s="83"/>
      <c r="D15" s="83"/>
      <c r="E15" s="83"/>
      <c r="F15" s="83"/>
      <c r="G15" s="82"/>
      <c r="H15" s="82"/>
      <c r="I15" s="602"/>
      <c r="J15" s="603"/>
      <c r="K15" s="1024"/>
    </row>
    <row r="16" spans="1:11" x14ac:dyDescent="0.25">
      <c r="B16" s="369"/>
      <c r="C16" s="83"/>
      <c r="D16" s="83"/>
      <c r="E16" s="83"/>
      <c r="F16" s="83"/>
      <c r="G16" s="82"/>
      <c r="H16" s="82"/>
      <c r="I16" s="602"/>
      <c r="J16" s="603"/>
      <c r="K16" s="1024"/>
    </row>
    <row r="17" spans="2:11" x14ac:dyDescent="0.25">
      <c r="B17" s="369"/>
      <c r="C17" s="83"/>
      <c r="D17" s="83"/>
      <c r="E17" s="83"/>
      <c r="F17" s="83"/>
      <c r="G17" s="82"/>
      <c r="H17" s="82"/>
      <c r="I17" s="602"/>
      <c r="J17" s="603"/>
      <c r="K17" s="1024"/>
    </row>
    <row r="18" spans="2:11" x14ac:dyDescent="0.25">
      <c r="B18" s="369"/>
      <c r="C18" s="83"/>
      <c r="D18" s="83"/>
      <c r="E18" s="83"/>
      <c r="F18" s="83"/>
      <c r="G18" s="82"/>
      <c r="H18" s="82"/>
      <c r="I18" s="602"/>
      <c r="J18" s="603"/>
      <c r="K18" s="1024"/>
    </row>
    <row r="19" spans="2:11" x14ac:dyDescent="0.25">
      <c r="B19" s="369"/>
      <c r="C19" s="83"/>
      <c r="D19" s="83"/>
      <c r="E19" s="83"/>
      <c r="F19" s="83"/>
      <c r="G19" s="82"/>
      <c r="H19" s="82"/>
      <c r="I19" s="602"/>
      <c r="J19" s="603"/>
      <c r="K19" s="1024"/>
    </row>
    <row r="20" spans="2:11" x14ac:dyDescent="0.25">
      <c r="B20" s="369"/>
      <c r="C20" s="83"/>
      <c r="D20" s="83"/>
      <c r="E20" s="83"/>
      <c r="F20" s="83"/>
      <c r="G20" s="82"/>
      <c r="H20" s="82"/>
      <c r="I20" s="602"/>
      <c r="J20" s="603"/>
      <c r="K20" s="1024"/>
    </row>
    <row r="21" spans="2:11" x14ac:dyDescent="0.25">
      <c r="B21" s="369"/>
      <c r="C21" s="83"/>
      <c r="D21" s="83"/>
      <c r="E21" s="83"/>
      <c r="F21" s="83"/>
      <c r="G21" s="82"/>
      <c r="H21" s="82"/>
      <c r="I21" s="602"/>
      <c r="J21" s="603"/>
      <c r="K21" s="1024"/>
    </row>
    <row r="22" spans="2:11" x14ac:dyDescent="0.25">
      <c r="B22" s="369"/>
      <c r="C22" s="83"/>
      <c r="D22" s="83"/>
      <c r="E22" s="83"/>
      <c r="F22" s="83"/>
      <c r="G22" s="82"/>
      <c r="H22" s="82"/>
      <c r="I22" s="602"/>
      <c r="J22" s="603"/>
      <c r="K22" s="1024"/>
    </row>
    <row r="23" spans="2:11" x14ac:dyDescent="0.25">
      <c r="B23" s="369"/>
      <c r="C23" s="83"/>
      <c r="D23" s="83"/>
      <c r="E23" s="83"/>
      <c r="F23" s="83"/>
      <c r="G23" s="82"/>
      <c r="H23" s="82"/>
      <c r="I23" s="602"/>
      <c r="J23" s="603"/>
      <c r="K23" s="1024"/>
    </row>
    <row r="24" spans="2:11" x14ac:dyDescent="0.25">
      <c r="B24" s="369"/>
      <c r="C24" s="83"/>
      <c r="D24" s="83"/>
      <c r="E24" s="83"/>
      <c r="F24" s="83"/>
      <c r="G24" s="82"/>
      <c r="H24" s="82"/>
      <c r="I24" s="602"/>
      <c r="J24" s="603"/>
      <c r="K24" s="1024"/>
    </row>
    <row r="25" spans="2:11" x14ac:dyDescent="0.25">
      <c r="B25" s="369"/>
      <c r="C25" s="83"/>
      <c r="D25" s="83"/>
      <c r="E25" s="83"/>
      <c r="F25" s="83"/>
      <c r="G25" s="82"/>
      <c r="H25" s="82"/>
      <c r="I25" s="602"/>
      <c r="J25" s="603"/>
      <c r="K25" s="1024"/>
    </row>
    <row r="26" spans="2:11" x14ac:dyDescent="0.25">
      <c r="B26" s="369"/>
      <c r="C26" s="83"/>
      <c r="D26" s="83"/>
      <c r="E26" s="83"/>
      <c r="F26" s="83"/>
      <c r="G26" s="82"/>
      <c r="H26" s="82"/>
      <c r="I26" s="602"/>
      <c r="J26" s="603"/>
      <c r="K26" s="1024"/>
    </row>
    <row r="27" spans="2:11" x14ac:dyDescent="0.25">
      <c r="B27" s="369"/>
      <c r="C27" s="83"/>
      <c r="D27" s="83"/>
      <c r="E27" s="83"/>
      <c r="F27" s="83"/>
      <c r="G27" s="82"/>
      <c r="H27" s="82"/>
      <c r="I27" s="602"/>
      <c r="J27" s="603"/>
      <c r="K27" s="1024"/>
    </row>
    <row r="28" spans="2:11" x14ac:dyDescent="0.25">
      <c r="B28" s="369"/>
      <c r="C28" s="83"/>
      <c r="D28" s="83"/>
      <c r="E28" s="83"/>
      <c r="F28" s="83"/>
      <c r="G28" s="82"/>
      <c r="H28" s="82"/>
      <c r="I28" s="602"/>
      <c r="J28" s="603"/>
      <c r="K28" s="1024"/>
    </row>
    <row r="29" spans="2:11" x14ac:dyDescent="0.25">
      <c r="B29" s="369"/>
      <c r="C29" s="83"/>
      <c r="D29" s="83"/>
      <c r="E29" s="83"/>
      <c r="F29" s="83"/>
      <c r="G29" s="82"/>
      <c r="H29" s="82"/>
      <c r="I29" s="602"/>
      <c r="J29" s="603"/>
      <c r="K29" s="1024"/>
    </row>
    <row r="30" spans="2:11" x14ac:dyDescent="0.25">
      <c r="B30" s="369"/>
      <c r="C30" s="83"/>
      <c r="D30" s="83"/>
      <c r="E30" s="83"/>
      <c r="F30" s="83"/>
      <c r="G30" s="82"/>
      <c r="H30" s="82"/>
      <c r="I30" s="602"/>
      <c r="J30" s="603"/>
      <c r="K30" s="1024"/>
    </row>
    <row r="31" spans="2:11" x14ac:dyDescent="0.25">
      <c r="B31" s="369"/>
      <c r="C31" s="83"/>
      <c r="D31" s="83"/>
      <c r="E31" s="83"/>
      <c r="F31" s="83"/>
      <c r="G31" s="82"/>
      <c r="H31" s="82"/>
      <c r="I31" s="602"/>
      <c r="J31" s="603"/>
      <c r="K31" s="1024"/>
    </row>
    <row r="32" spans="2:11" x14ac:dyDescent="0.25">
      <c r="B32" s="369"/>
      <c r="C32" s="83"/>
      <c r="D32" s="83"/>
      <c r="E32" s="83"/>
      <c r="F32" s="83"/>
      <c r="G32" s="82"/>
      <c r="H32" s="82"/>
      <c r="I32" s="602"/>
      <c r="J32" s="603"/>
      <c r="K32" s="1024"/>
    </row>
    <row r="33" spans="2:11" x14ac:dyDescent="0.25">
      <c r="B33" s="369"/>
      <c r="C33" s="83"/>
      <c r="D33" s="83"/>
      <c r="E33" s="83"/>
      <c r="F33" s="83"/>
      <c r="G33" s="82"/>
      <c r="H33" s="82"/>
      <c r="I33" s="602"/>
      <c r="J33" s="603"/>
      <c r="K33" s="1024"/>
    </row>
    <row r="34" spans="2:11" x14ac:dyDescent="0.25">
      <c r="B34" s="369"/>
      <c r="C34" s="83"/>
      <c r="D34" s="83"/>
      <c r="E34" s="83"/>
      <c r="F34" s="83"/>
      <c r="G34" s="82"/>
      <c r="H34" s="82"/>
      <c r="I34" s="602"/>
      <c r="J34" s="603"/>
      <c r="K34" s="1024"/>
    </row>
    <row r="35" spans="2:11" x14ac:dyDescent="0.25">
      <c r="B35" s="369"/>
      <c r="C35" s="83"/>
      <c r="D35" s="83"/>
      <c r="E35" s="83"/>
      <c r="F35" s="83"/>
      <c r="G35" s="82"/>
      <c r="H35" s="82"/>
      <c r="I35" s="602"/>
      <c r="J35" s="603"/>
      <c r="K35" s="1024"/>
    </row>
    <row r="36" spans="2:11" x14ac:dyDescent="0.25">
      <c r="B36" s="369"/>
      <c r="C36" s="83"/>
      <c r="D36" s="83"/>
      <c r="E36" s="83"/>
      <c r="F36" s="83"/>
      <c r="G36" s="82"/>
      <c r="H36" s="82"/>
      <c r="I36" s="602"/>
      <c r="J36" s="603"/>
      <c r="K36" s="1024"/>
    </row>
    <row r="37" spans="2:11" x14ac:dyDescent="0.25">
      <c r="B37" s="369"/>
      <c r="C37" s="83"/>
      <c r="D37" s="83"/>
      <c r="E37" s="83"/>
      <c r="F37" s="83"/>
      <c r="G37" s="82"/>
      <c r="H37" s="82"/>
      <c r="I37" s="602"/>
      <c r="J37" s="603"/>
      <c r="K37" s="1024"/>
    </row>
    <row r="38" spans="2:11" x14ac:dyDescent="0.25">
      <c r="B38" s="369"/>
      <c r="C38" s="83"/>
      <c r="D38" s="83"/>
      <c r="E38" s="83"/>
      <c r="F38" s="83"/>
      <c r="G38" s="82"/>
      <c r="H38" s="82"/>
      <c r="I38" s="602"/>
      <c r="J38" s="603"/>
      <c r="K38" s="1024"/>
    </row>
    <row r="39" spans="2:11" x14ac:dyDescent="0.25">
      <c r="B39" s="369"/>
      <c r="C39" s="83"/>
      <c r="D39" s="83"/>
      <c r="E39" s="83"/>
      <c r="F39" s="83"/>
      <c r="G39" s="82"/>
      <c r="H39" s="82"/>
      <c r="I39" s="602"/>
      <c r="J39" s="603"/>
      <c r="K39" s="1024"/>
    </row>
    <row r="40" spans="2:11" x14ac:dyDescent="0.25">
      <c r="B40" s="369"/>
      <c r="C40" s="83"/>
      <c r="D40" s="83"/>
      <c r="E40" s="83"/>
      <c r="F40" s="83"/>
      <c r="G40" s="82"/>
      <c r="H40" s="82"/>
      <c r="I40" s="602"/>
      <c r="J40" s="603"/>
      <c r="K40" s="1024"/>
    </row>
    <row r="41" spans="2:11" x14ac:dyDescent="0.25">
      <c r="B41" s="369"/>
      <c r="C41" s="83"/>
      <c r="D41" s="83"/>
      <c r="E41" s="83"/>
      <c r="F41" s="83"/>
      <c r="G41" s="82"/>
      <c r="H41" s="82"/>
      <c r="I41" s="602"/>
      <c r="J41" s="603"/>
      <c r="K41" s="1024"/>
    </row>
    <row r="42" spans="2:11" x14ac:dyDescent="0.25">
      <c r="B42" s="369"/>
      <c r="C42" s="83"/>
      <c r="D42" s="83"/>
      <c r="E42" s="83"/>
      <c r="F42" s="83"/>
      <c r="G42" s="82"/>
      <c r="H42" s="82"/>
      <c r="I42" s="602"/>
      <c r="J42" s="603"/>
      <c r="K42" s="1024"/>
    </row>
    <row r="43" spans="2:11" x14ac:dyDescent="0.25">
      <c r="B43" s="369"/>
      <c r="C43" s="83"/>
      <c r="D43" s="83"/>
      <c r="E43" s="83"/>
      <c r="F43" s="83"/>
      <c r="G43" s="82"/>
      <c r="H43" s="82"/>
      <c r="I43" s="602"/>
      <c r="J43" s="603"/>
      <c r="K43" s="1024"/>
    </row>
    <row r="44" spans="2:11" x14ac:dyDescent="0.25">
      <c r="B44" s="369"/>
      <c r="C44" s="83"/>
      <c r="D44" s="83"/>
      <c r="E44" s="83"/>
      <c r="F44" s="83"/>
      <c r="G44" s="82"/>
      <c r="H44" s="82"/>
      <c r="I44" s="602"/>
      <c r="J44" s="603"/>
      <c r="K44" s="1024"/>
    </row>
    <row r="45" spans="2:11" x14ac:dyDescent="0.25">
      <c r="B45" s="369"/>
      <c r="C45" s="83"/>
      <c r="D45" s="83"/>
      <c r="E45" s="83"/>
      <c r="F45" s="83"/>
      <c r="G45" s="82"/>
      <c r="H45" s="82"/>
      <c r="I45" s="602"/>
      <c r="J45" s="603"/>
      <c r="K45" s="1024"/>
    </row>
    <row r="46" spans="2:11" x14ac:dyDescent="0.25">
      <c r="B46" s="369"/>
      <c r="C46" s="83"/>
      <c r="D46" s="83"/>
      <c r="E46" s="83"/>
      <c r="F46" s="83"/>
      <c r="G46" s="82"/>
      <c r="H46" s="82"/>
      <c r="I46" s="602"/>
      <c r="J46" s="603"/>
      <c r="K46" s="1024"/>
    </row>
    <row r="47" spans="2:11" x14ac:dyDescent="0.25">
      <c r="B47" s="369"/>
      <c r="C47" s="83"/>
      <c r="D47" s="83"/>
      <c r="E47" s="83"/>
      <c r="F47" s="83"/>
      <c r="G47" s="82"/>
      <c r="H47" s="82"/>
      <c r="I47" s="602"/>
      <c r="J47" s="603"/>
      <c r="K47" s="1024"/>
    </row>
    <row r="48" spans="2:11" x14ac:dyDescent="0.25">
      <c r="B48" s="369"/>
      <c r="C48" s="83"/>
      <c r="D48" s="83"/>
      <c r="E48" s="83"/>
      <c r="F48" s="83"/>
      <c r="G48" s="82"/>
      <c r="H48" s="82"/>
      <c r="I48" s="602"/>
      <c r="J48" s="603"/>
      <c r="K48" s="1024"/>
    </row>
    <row r="49" spans="2:11" x14ac:dyDescent="0.25">
      <c r="B49" s="369"/>
      <c r="C49" s="83"/>
      <c r="D49" s="83"/>
      <c r="E49" s="83"/>
      <c r="F49" s="83"/>
      <c r="G49" s="82"/>
      <c r="H49" s="82"/>
      <c r="I49" s="602"/>
      <c r="J49" s="603"/>
      <c r="K49" s="1024"/>
    </row>
    <row r="50" spans="2:11" x14ac:dyDescent="0.25">
      <c r="B50" s="369"/>
      <c r="C50" s="83"/>
      <c r="D50" s="83"/>
      <c r="E50" s="83"/>
      <c r="F50" s="83"/>
      <c r="G50" s="82"/>
      <c r="H50" s="82"/>
      <c r="I50" s="602"/>
      <c r="J50" s="603"/>
      <c r="K50" s="1024"/>
    </row>
    <row r="51" spans="2:11" x14ac:dyDescent="0.25">
      <c r="B51" s="369"/>
      <c r="C51" s="83"/>
      <c r="D51" s="83"/>
      <c r="E51" s="83"/>
      <c r="F51" s="83"/>
      <c r="G51" s="82"/>
      <c r="H51" s="82"/>
      <c r="I51" s="602"/>
      <c r="J51" s="603"/>
      <c r="K51" s="1024"/>
    </row>
    <row r="52" spans="2:11" x14ac:dyDescent="0.25">
      <c r="B52" s="369"/>
      <c r="C52" s="83"/>
      <c r="D52" s="83"/>
      <c r="E52" s="83"/>
      <c r="F52" s="83"/>
      <c r="G52" s="82"/>
      <c r="H52" s="82"/>
      <c r="I52" s="602"/>
      <c r="J52" s="603"/>
      <c r="K52" s="1024"/>
    </row>
    <row r="53" spans="2:11" x14ac:dyDescent="0.25">
      <c r="B53" s="369"/>
      <c r="C53" s="83"/>
      <c r="D53" s="83"/>
      <c r="E53" s="83"/>
      <c r="F53" s="83"/>
      <c r="G53" s="82"/>
      <c r="H53" s="82"/>
      <c r="I53" s="602"/>
      <c r="J53" s="603"/>
      <c r="K53" s="1024"/>
    </row>
    <row r="54" spans="2:11" x14ac:dyDescent="0.25">
      <c r="B54" s="369"/>
      <c r="C54" s="83"/>
      <c r="D54" s="83"/>
      <c r="E54" s="83"/>
      <c r="F54" s="83"/>
      <c r="G54" s="82"/>
      <c r="H54" s="82"/>
      <c r="I54" s="602"/>
      <c r="J54" s="603"/>
      <c r="K54" s="1024"/>
    </row>
    <row r="55" spans="2:11" x14ac:dyDescent="0.25">
      <c r="B55" s="369"/>
      <c r="C55" s="83"/>
      <c r="D55" s="83"/>
      <c r="E55" s="83"/>
      <c r="F55" s="83"/>
      <c r="G55" s="82"/>
      <c r="H55" s="82"/>
      <c r="I55" s="602"/>
      <c r="J55" s="603"/>
      <c r="K55" s="1024"/>
    </row>
    <row r="56" spans="2:11" x14ac:dyDescent="0.25">
      <c r="B56" s="369"/>
      <c r="C56" s="83"/>
      <c r="D56" s="83"/>
      <c r="E56" s="83"/>
      <c r="F56" s="83"/>
      <c r="G56" s="82"/>
      <c r="H56" s="82"/>
      <c r="I56" s="602"/>
      <c r="J56" s="603"/>
      <c r="K56" s="1024"/>
    </row>
    <row r="57" spans="2:11" x14ac:dyDescent="0.25">
      <c r="B57" s="369"/>
      <c r="C57" s="83"/>
      <c r="D57" s="83"/>
      <c r="E57" s="83"/>
      <c r="F57" s="83"/>
      <c r="G57" s="82"/>
      <c r="H57" s="82"/>
      <c r="I57" s="602"/>
      <c r="J57" s="603"/>
      <c r="K57" s="1024"/>
    </row>
    <row r="58" spans="2:11" x14ac:dyDescent="0.25">
      <c r="B58" s="369"/>
      <c r="C58" s="83"/>
      <c r="D58" s="83"/>
      <c r="E58" s="83"/>
      <c r="F58" s="83"/>
      <c r="G58" s="82"/>
      <c r="H58" s="82"/>
      <c r="I58" s="602"/>
      <c r="J58" s="603"/>
      <c r="K58" s="1024"/>
    </row>
    <row r="59" spans="2:11" x14ac:dyDescent="0.25">
      <c r="B59" s="369"/>
      <c r="C59" s="83"/>
      <c r="D59" s="83"/>
      <c r="E59" s="83"/>
      <c r="F59" s="83"/>
      <c r="G59" s="82"/>
      <c r="H59" s="82"/>
      <c r="I59" s="602"/>
      <c r="J59" s="603"/>
      <c r="K59" s="1024"/>
    </row>
    <row r="60" spans="2:11" x14ac:dyDescent="0.25">
      <c r="B60" s="369"/>
      <c r="C60" s="83"/>
      <c r="D60" s="83"/>
      <c r="E60" s="83"/>
      <c r="F60" s="83"/>
      <c r="G60" s="82"/>
      <c r="H60" s="82"/>
      <c r="I60" s="602"/>
      <c r="J60" s="603"/>
      <c r="K60" s="1024"/>
    </row>
    <row r="61" spans="2:11" x14ac:dyDescent="0.25">
      <c r="B61" s="369"/>
      <c r="C61" s="83"/>
      <c r="D61" s="83"/>
      <c r="E61" s="83"/>
      <c r="F61" s="83"/>
      <c r="G61" s="82"/>
      <c r="H61" s="82"/>
      <c r="I61" s="602"/>
      <c r="J61" s="603"/>
      <c r="K61" s="1024"/>
    </row>
    <row r="62" spans="2:11" ht="13" thickBot="1" x14ac:dyDescent="0.3">
      <c r="B62" s="369"/>
      <c r="C62" s="370" t="s">
        <v>73</v>
      </c>
      <c r="D62" s="370" t="s">
        <v>73</v>
      </c>
      <c r="E62" s="370" t="s">
        <v>73</v>
      </c>
      <c r="F62" s="370" t="s">
        <v>73</v>
      </c>
      <c r="G62" s="371" t="s">
        <v>73</v>
      </c>
      <c r="H62" s="371" t="s">
        <v>73</v>
      </c>
      <c r="I62" s="604" t="s">
        <v>73</v>
      </c>
      <c r="J62" s="605" t="s">
        <v>73</v>
      </c>
      <c r="K62" s="1025" t="s">
        <v>73</v>
      </c>
    </row>
    <row r="64" spans="2:11" ht="26.5" customHeight="1" x14ac:dyDescent="0.25">
      <c r="C64" s="1302" t="str">
        <f>Translations!$B$1156</f>
        <v>Please continue by adding further rows as needed (above the "end" markers). This must be done by copying an empty row and inserting it thereafter. A simple "insert row" command will NOT be sufficent.</v>
      </c>
      <c r="D64" s="1034"/>
      <c r="E64" s="1034"/>
      <c r="F64" s="1034"/>
      <c r="G64" s="1034"/>
      <c r="H64" s="1034"/>
      <c r="I64" s="1034"/>
      <c r="J64" s="1034"/>
      <c r="K64" s="1034"/>
    </row>
    <row r="66" spans="3:7" x14ac:dyDescent="0.25">
      <c r="C66" s="1249" t="s">
        <v>211</v>
      </c>
      <c r="D66" s="1249"/>
      <c r="E66" s="1249"/>
      <c r="F66" s="1249"/>
      <c r="G66" s="1249"/>
    </row>
  </sheetData>
  <sheetProtection sheet="1" objects="1" scenarios="1" formatCells="0" formatColumns="0" formatRows="0" insertColumns="0" insertRows="0"/>
  <mergeCells count="13">
    <mergeCell ref="C66:G66"/>
    <mergeCell ref="C2:H2"/>
    <mergeCell ref="G6:H6"/>
    <mergeCell ref="C6:C7"/>
    <mergeCell ref="D6:D7"/>
    <mergeCell ref="E6:E7"/>
    <mergeCell ref="F6:F7"/>
    <mergeCell ref="C4:K4"/>
    <mergeCell ref="C5:K5"/>
    <mergeCell ref="I6:I7"/>
    <mergeCell ref="K6:K7"/>
    <mergeCell ref="J6:J7"/>
    <mergeCell ref="C64:K64"/>
  </mergeCells>
  <conditionalFormatting sqref="I8:J62">
    <cfRule type="expression" dxfId="12" priority="3">
      <formula>CONTR_onlyCORSIA=TRUE</formula>
    </cfRule>
  </conditionalFormatting>
  <conditionalFormatting sqref="K8:K62">
    <cfRule type="expression" dxfId="11" priority="2">
      <formula>CONTR_CORSIAapplied=FALSE</formula>
    </cfRule>
  </conditionalFormatting>
  <dataValidations count="1">
    <dataValidation type="list" allowBlank="1" showInputMessage="1" showErrorMessage="1" sqref="I8:K61" xr:uid="{00000000-0002-0000-0500-000000000000}">
      <formula1>TrueFalse</formula1>
    </dataValidation>
  </dataValidations>
  <hyperlinks>
    <hyperlink ref="C66:G66"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15" zoomScaleNormal="115" zoomScaleSheetLayoutView="140" workbookViewId="0">
      <selection activeCell="K25" sqref="K25"/>
    </sheetView>
  </sheetViews>
  <sheetFormatPr baseColWidth="10" defaultColWidth="11.453125" defaultRowHeight="12.5" x14ac:dyDescent="0.25"/>
  <cols>
    <col min="1" max="1" width="3.1796875" style="54" customWidth="1"/>
    <col min="2" max="2" width="4.1796875" style="54" customWidth="1"/>
    <col min="3" max="3" width="11.453125" style="54" customWidth="1"/>
    <col min="4" max="4" width="10.81640625" style="54" customWidth="1"/>
    <col min="5" max="6" width="13.54296875" style="54" customWidth="1"/>
    <col min="7" max="7" width="10.453125" style="54" customWidth="1"/>
    <col min="8" max="8" width="11.1796875" style="54" customWidth="1"/>
    <col min="9" max="10" width="13.54296875" style="54" customWidth="1"/>
    <col min="11" max="16384" width="11.453125" style="54"/>
  </cols>
  <sheetData>
    <row r="1" spans="1:10" x14ac:dyDescent="0.25">
      <c r="B1" s="100"/>
      <c r="E1" s="109"/>
      <c r="F1" s="109"/>
    </row>
    <row r="2" spans="1:10" ht="30" customHeight="1" x14ac:dyDescent="0.25">
      <c r="B2" s="1112" t="str">
        <f>Translations!$B$20</f>
        <v>Specific further information</v>
      </c>
      <c r="C2" s="1112"/>
      <c r="D2" s="1112"/>
      <c r="E2" s="1112"/>
      <c r="F2" s="1112"/>
      <c r="G2" s="1112"/>
      <c r="H2" s="1112"/>
      <c r="I2" s="1112"/>
      <c r="J2" s="1112"/>
    </row>
    <row r="3" spans="1:10" x14ac:dyDescent="0.25">
      <c r="B3" s="100"/>
      <c r="E3" s="109"/>
      <c r="F3" s="109"/>
    </row>
    <row r="4" spans="1:10" ht="15.5" x14ac:dyDescent="0.35">
      <c r="B4" s="1013">
        <v>10</v>
      </c>
      <c r="C4" s="1014" t="str">
        <f>Translations!$B$366</f>
        <v>Comments</v>
      </c>
      <c r="D4" s="1014"/>
      <c r="E4" s="1014"/>
      <c r="F4" s="1014"/>
      <c r="G4" s="1014"/>
      <c r="H4" s="1014"/>
      <c r="I4" s="1014"/>
      <c r="J4" s="1014"/>
    </row>
    <row r="6" spans="1:10" ht="13" x14ac:dyDescent="0.3">
      <c r="B6" s="74" t="str">
        <f>Translations!$B$367</f>
        <v>Space for further comments:</v>
      </c>
    </row>
    <row r="7" spans="1:10" x14ac:dyDescent="0.25">
      <c r="B7" s="92"/>
      <c r="C7" s="91"/>
      <c r="D7" s="91"/>
      <c r="E7" s="91"/>
      <c r="F7" s="91"/>
      <c r="G7" s="91"/>
      <c r="H7" s="91"/>
      <c r="I7" s="91"/>
      <c r="J7" s="90"/>
    </row>
    <row r="8" spans="1:10" ht="15" x14ac:dyDescent="0.3">
      <c r="A8" s="73"/>
      <c r="B8" s="89"/>
      <c r="C8" s="88"/>
      <c r="D8" s="88"/>
      <c r="E8" s="88"/>
      <c r="F8" s="88"/>
      <c r="G8" s="88"/>
      <c r="H8" s="88"/>
      <c r="I8" s="88"/>
      <c r="J8" s="87"/>
    </row>
    <row r="9" spans="1:10" x14ac:dyDescent="0.25">
      <c r="B9" s="89"/>
      <c r="C9" s="88"/>
      <c r="D9" s="88"/>
      <c r="E9" s="88"/>
      <c r="F9" s="88"/>
      <c r="G9" s="88"/>
      <c r="H9" s="88"/>
      <c r="I9" s="88"/>
      <c r="J9" s="87"/>
    </row>
    <row r="10" spans="1:10" x14ac:dyDescent="0.25">
      <c r="B10" s="89"/>
      <c r="C10" s="88"/>
      <c r="D10" s="88"/>
      <c r="E10" s="88"/>
      <c r="F10" s="88"/>
      <c r="G10" s="88"/>
      <c r="H10" s="88"/>
      <c r="I10" s="88"/>
      <c r="J10" s="87"/>
    </row>
    <row r="11" spans="1:10" x14ac:dyDescent="0.25">
      <c r="B11" s="89"/>
      <c r="C11" s="88"/>
      <c r="D11" s="88"/>
      <c r="E11" s="88"/>
      <c r="F11" s="88"/>
      <c r="G11" s="88"/>
      <c r="H11" s="88"/>
      <c r="I11" s="88"/>
      <c r="J11" s="87"/>
    </row>
    <row r="12" spans="1:10" x14ac:dyDescent="0.25">
      <c r="B12" s="89"/>
      <c r="C12" s="88"/>
      <c r="D12" s="88"/>
      <c r="E12" s="88"/>
      <c r="F12" s="88"/>
      <c r="G12" s="88"/>
      <c r="H12" s="88"/>
      <c r="I12" s="88"/>
      <c r="J12" s="87"/>
    </row>
    <row r="13" spans="1:10" x14ac:dyDescent="0.25">
      <c r="B13" s="89"/>
      <c r="C13" s="88"/>
      <c r="D13" s="88"/>
      <c r="E13" s="88"/>
      <c r="F13" s="88"/>
      <c r="G13" s="88"/>
      <c r="H13" s="88"/>
      <c r="I13" s="88"/>
      <c r="J13" s="87"/>
    </row>
    <row r="14" spans="1:10" x14ac:dyDescent="0.25">
      <c r="B14" s="89"/>
      <c r="C14" s="88"/>
      <c r="D14" s="88"/>
      <c r="E14" s="88"/>
      <c r="F14" s="88"/>
      <c r="G14" s="88"/>
      <c r="H14" s="88"/>
      <c r="I14" s="88"/>
      <c r="J14" s="87"/>
    </row>
    <row r="15" spans="1:10" x14ac:dyDescent="0.25">
      <c r="B15" s="89"/>
      <c r="C15" s="88"/>
      <c r="D15" s="88"/>
      <c r="E15" s="88"/>
      <c r="F15" s="88"/>
      <c r="G15" s="88"/>
      <c r="H15" s="88"/>
      <c r="I15" s="88"/>
      <c r="J15" s="87"/>
    </row>
    <row r="16" spans="1:10" x14ac:dyDescent="0.25">
      <c r="B16" s="89"/>
      <c r="C16" s="88"/>
      <c r="D16" s="88"/>
      <c r="E16" s="88"/>
      <c r="F16" s="88"/>
      <c r="G16" s="88"/>
      <c r="H16" s="88"/>
      <c r="I16" s="88"/>
      <c r="J16" s="87"/>
    </row>
    <row r="17" spans="2:10" x14ac:dyDescent="0.25">
      <c r="B17" s="89"/>
      <c r="C17" s="88"/>
      <c r="D17" s="88"/>
      <c r="E17" s="88"/>
      <c r="F17" s="88"/>
      <c r="G17" s="88"/>
      <c r="H17" s="88"/>
      <c r="I17" s="88"/>
      <c r="J17" s="87"/>
    </row>
    <row r="18" spans="2:10" x14ac:dyDescent="0.25">
      <c r="B18" s="89"/>
      <c r="C18" s="88"/>
      <c r="D18" s="88"/>
      <c r="E18" s="88"/>
      <c r="F18" s="88"/>
      <c r="G18" s="88"/>
      <c r="H18" s="88"/>
      <c r="I18" s="88"/>
      <c r="J18" s="87"/>
    </row>
    <row r="19" spans="2:10" x14ac:dyDescent="0.25">
      <c r="B19" s="89"/>
      <c r="C19" s="88"/>
      <c r="D19" s="88"/>
      <c r="E19" s="88"/>
      <c r="F19" s="88"/>
      <c r="G19" s="88"/>
      <c r="H19" s="88"/>
      <c r="I19" s="88"/>
      <c r="J19" s="87"/>
    </row>
    <row r="20" spans="2:10" x14ac:dyDescent="0.25">
      <c r="B20" s="89"/>
      <c r="C20" s="88"/>
      <c r="D20" s="88"/>
      <c r="E20" s="88"/>
      <c r="F20" s="88"/>
      <c r="G20" s="88"/>
      <c r="H20" s="88"/>
      <c r="I20" s="88"/>
      <c r="J20" s="87"/>
    </row>
    <row r="21" spans="2:10" x14ac:dyDescent="0.25">
      <c r="B21" s="89"/>
      <c r="C21" s="88"/>
      <c r="D21" s="88"/>
      <c r="E21" s="88"/>
      <c r="F21" s="88"/>
      <c r="G21" s="88"/>
      <c r="H21" s="88"/>
      <c r="I21" s="88"/>
      <c r="J21" s="87"/>
    </row>
    <row r="22" spans="2:10" x14ac:dyDescent="0.25">
      <c r="B22" s="89"/>
      <c r="C22" s="88"/>
      <c r="D22" s="88"/>
      <c r="E22" s="88"/>
      <c r="F22" s="88"/>
      <c r="G22" s="88"/>
      <c r="H22" s="88"/>
      <c r="I22" s="88"/>
      <c r="J22" s="87"/>
    </row>
    <row r="23" spans="2:10" x14ac:dyDescent="0.25">
      <c r="B23" s="89"/>
      <c r="C23" s="88"/>
      <c r="D23" s="88"/>
      <c r="E23" s="88"/>
      <c r="F23" s="88"/>
      <c r="G23" s="88"/>
      <c r="H23" s="88"/>
      <c r="I23" s="88"/>
      <c r="J23" s="87"/>
    </row>
    <row r="24" spans="2:10" x14ac:dyDescent="0.25">
      <c r="B24" s="89"/>
      <c r="C24" s="88"/>
      <c r="D24" s="88"/>
      <c r="E24" s="88"/>
      <c r="F24" s="88"/>
      <c r="G24" s="88"/>
      <c r="H24" s="312"/>
      <c r="I24" s="88"/>
      <c r="J24" s="87"/>
    </row>
    <row r="25" spans="2:10" x14ac:dyDescent="0.25">
      <c r="B25" s="89"/>
      <c r="C25" s="88"/>
      <c r="D25" s="88"/>
      <c r="E25" s="88"/>
      <c r="F25" s="88"/>
      <c r="G25" s="88"/>
      <c r="H25" s="88"/>
      <c r="I25" s="88"/>
      <c r="J25" s="87"/>
    </row>
    <row r="26" spans="2:10" x14ac:dyDescent="0.25">
      <c r="B26" s="89"/>
      <c r="C26" s="88"/>
      <c r="D26" s="88"/>
      <c r="E26" s="88"/>
      <c r="F26" s="88"/>
      <c r="G26" s="88"/>
      <c r="H26" s="88"/>
      <c r="I26" s="88"/>
      <c r="J26" s="87"/>
    </row>
    <row r="27" spans="2:10" x14ac:dyDescent="0.25">
      <c r="B27" s="89"/>
      <c r="C27" s="88"/>
      <c r="D27" s="88"/>
      <c r="E27" s="88"/>
      <c r="F27" s="88"/>
      <c r="G27" s="88"/>
      <c r="H27" s="88"/>
      <c r="I27" s="88"/>
      <c r="J27" s="87"/>
    </row>
    <row r="28" spans="2:10" x14ac:dyDescent="0.25">
      <c r="B28" s="89"/>
      <c r="C28" s="88"/>
      <c r="D28" s="88"/>
      <c r="E28" s="88"/>
      <c r="F28" s="88"/>
      <c r="G28" s="88"/>
      <c r="H28" s="88"/>
      <c r="I28" s="88"/>
      <c r="J28" s="87"/>
    </row>
    <row r="29" spans="2:10" x14ac:dyDescent="0.25">
      <c r="B29" s="89"/>
      <c r="C29" s="88"/>
      <c r="D29" s="88"/>
      <c r="E29" s="88"/>
      <c r="F29" s="88"/>
      <c r="G29" s="88"/>
      <c r="H29" s="88"/>
      <c r="I29" s="88"/>
      <c r="J29" s="87"/>
    </row>
    <row r="30" spans="2:10" x14ac:dyDescent="0.25">
      <c r="B30" s="89"/>
      <c r="C30" s="88"/>
      <c r="D30" s="88"/>
      <c r="E30" s="88"/>
      <c r="F30" s="88"/>
      <c r="G30" s="88"/>
      <c r="H30" s="88"/>
      <c r="I30" s="88"/>
      <c r="J30" s="87"/>
    </row>
    <row r="31" spans="2:10" x14ac:dyDescent="0.25">
      <c r="B31" s="89"/>
      <c r="C31" s="88"/>
      <c r="D31" s="88"/>
      <c r="E31" s="88"/>
      <c r="F31" s="88"/>
      <c r="G31" s="88"/>
      <c r="H31" s="88"/>
      <c r="I31" s="88"/>
      <c r="J31" s="87"/>
    </row>
    <row r="32" spans="2:10" x14ac:dyDescent="0.25">
      <c r="B32" s="86"/>
      <c r="C32" s="85"/>
      <c r="D32" s="85"/>
      <c r="E32" s="85"/>
      <c r="F32" s="85"/>
      <c r="G32" s="85"/>
      <c r="H32" s="85"/>
      <c r="I32" s="85"/>
      <c r="J32" s="84"/>
    </row>
    <row r="35" spans="2:10" x14ac:dyDescent="0.25">
      <c r="B35" s="1140" t="str">
        <f>Translations!$B$1013</f>
        <v>&lt;&lt;&lt; Click here to proceed to section 11 "Emissions per aerodrome pair" &gt;&gt;&gt;</v>
      </c>
      <c r="C35" s="1140"/>
      <c r="D35" s="1140"/>
      <c r="E35" s="1140"/>
      <c r="F35" s="1140"/>
      <c r="G35" s="1141"/>
      <c r="H35" s="1141"/>
      <c r="I35" s="1141"/>
      <c r="J35" s="1141"/>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7030A0"/>
  </sheetPr>
  <dimension ref="A1:S261"/>
  <sheetViews>
    <sheetView topLeftCell="B232" zoomScale="115" zoomScaleNormal="115" workbookViewId="0">
      <selection activeCell="L251" sqref="L251"/>
    </sheetView>
  </sheetViews>
  <sheetFormatPr baseColWidth="10" defaultColWidth="9.1796875" defaultRowHeight="14.5" x14ac:dyDescent="0.25"/>
  <cols>
    <col min="1" max="1" width="3.453125" style="610" hidden="1" customWidth="1"/>
    <col min="2" max="2" width="4.54296875" style="613" customWidth="1"/>
    <col min="3" max="3" width="12.453125" style="613" customWidth="1"/>
    <col min="4" max="4" width="14.1796875" style="613" customWidth="1"/>
    <col min="5" max="5" width="30.54296875" style="613" customWidth="1"/>
    <col min="6" max="11" width="14.1796875" style="613" customWidth="1"/>
    <col min="12" max="12" width="4.54296875" style="613" customWidth="1"/>
    <col min="13" max="18" width="14.1796875" style="611" hidden="1" customWidth="1"/>
    <col min="19" max="19" width="3.54296875" style="611" hidden="1" customWidth="1"/>
    <col min="20" max="16384" width="9.1796875" style="613"/>
  </cols>
  <sheetData>
    <row r="1" spans="1:19" s="610" customFormat="1" hidden="1" x14ac:dyDescent="0.25">
      <c r="A1" s="609" t="s">
        <v>30</v>
      </c>
      <c r="M1" s="609" t="s">
        <v>30</v>
      </c>
      <c r="N1" s="609" t="s">
        <v>30</v>
      </c>
      <c r="O1" s="609" t="s">
        <v>30</v>
      </c>
      <c r="P1" s="609" t="s">
        <v>30</v>
      </c>
      <c r="Q1" s="609" t="s">
        <v>30</v>
      </c>
      <c r="R1" s="609" t="s">
        <v>30</v>
      </c>
      <c r="S1" s="609" t="s">
        <v>30</v>
      </c>
    </row>
    <row r="3" spans="1:19" ht="30" customHeight="1" x14ac:dyDescent="0.25">
      <c r="C3" s="1112" t="str">
        <f>Translations!$B$1556</f>
        <v>Fuel attribution by Aerodromes</v>
      </c>
      <c r="D3" s="1112"/>
      <c r="E3" s="1112"/>
      <c r="F3" s="1112"/>
      <c r="G3" s="1112"/>
      <c r="H3" s="1112"/>
      <c r="I3" s="1112"/>
      <c r="J3" s="1112"/>
      <c r="K3" s="1112"/>
    </row>
    <row r="5" spans="1:19" ht="15.5" x14ac:dyDescent="0.25">
      <c r="C5" s="1015" t="s">
        <v>2</v>
      </c>
      <c r="D5" s="1018" t="str">
        <f>Translations!$B$1557</f>
        <v>Proportional fuel attribution at aerodromes</v>
      </c>
      <c r="E5" s="1018"/>
      <c r="F5" s="1018"/>
      <c r="G5" s="1018"/>
      <c r="H5" s="1018"/>
      <c r="I5" s="1018"/>
      <c r="J5" s="1018"/>
      <c r="K5" s="1018"/>
      <c r="M5" s="612"/>
      <c r="N5" s="612"/>
      <c r="O5" s="612"/>
      <c r="P5" s="612"/>
      <c r="Q5" s="612"/>
      <c r="R5" s="612"/>
      <c r="S5" s="612"/>
    </row>
    <row r="6" spans="1:19" s="606" customFormat="1" ht="5.15" customHeight="1" x14ac:dyDescent="0.25">
      <c r="A6" s="610"/>
      <c r="M6" s="607"/>
      <c r="N6" s="607"/>
      <c r="O6" s="607"/>
      <c r="P6" s="607"/>
      <c r="Q6" s="607"/>
      <c r="R6" s="607"/>
      <c r="S6" s="607"/>
    </row>
    <row r="7" spans="1:19" ht="39.65" customHeight="1" x14ac:dyDescent="0.25">
      <c r="C7" s="1312" t="str">
        <f>Translations!$B$1558</f>
        <v>As an aircraft operator, you have to attribute alternative aviation fuels (i.e. all fuels except the fossil standard fuels Jet A, Jet A1, Jet B and AvGas) and their emissions proportionally between EU ETS flights and other flights. This is regulatated in Article 53a of the MRR for alternative aviation fuels in general (in particular for zero-rated fuels) and in Article 54a regarding aviation fuels eligible for support pursuant to Article 3c(6) of the EU ETS Directive. In this section only quantities of neat alterntive aviation fuels are to be reported.</v>
      </c>
      <c r="D7" s="1312"/>
      <c r="E7" s="1312"/>
      <c r="F7" s="1312"/>
      <c r="G7" s="1312"/>
      <c r="H7" s="1312"/>
      <c r="I7" s="1312"/>
      <c r="J7" s="1312"/>
      <c r="K7" s="1312"/>
      <c r="L7" s="608"/>
    </row>
    <row r="8" spans="1:19" ht="13.4" customHeight="1" x14ac:dyDescent="0.25">
      <c r="C8" s="1312" t="str">
        <f>Translations!$B$1559</f>
        <v>This section shall be used solely for the purpose of EU ETS, alternative fuels used under CH ETS shall not be reported under this section.</v>
      </c>
      <c r="D8" s="1312"/>
      <c r="E8" s="1312"/>
      <c r="F8" s="1312"/>
      <c r="G8" s="1312"/>
      <c r="H8" s="1312"/>
      <c r="I8" s="1312"/>
      <c r="J8" s="1312"/>
      <c r="K8" s="1312"/>
      <c r="L8" s="608"/>
    </row>
    <row r="9" spans="1:19" ht="13.4" customHeight="1" x14ac:dyDescent="0.25">
      <c r="C9" s="1312" t="str">
        <f>Translations!$B$1560</f>
        <v>The following rules apply:</v>
      </c>
      <c r="D9" s="1312"/>
      <c r="E9" s="1312"/>
      <c r="F9" s="1312"/>
      <c r="G9" s="1312"/>
      <c r="H9" s="1312"/>
      <c r="I9" s="1312"/>
      <c r="J9" s="1312"/>
      <c r="K9" s="1312"/>
      <c r="L9" s="608"/>
    </row>
    <row r="10" spans="1:19" ht="13.4" customHeight="1" x14ac:dyDescent="0.25">
      <c r="C10" s="1310" t="str">
        <f>Translations!$B$1561</f>
        <v>A. The fuel is delivered directly to the aircraft in physically identifiable batches</v>
      </c>
      <c r="D10" s="1310"/>
      <c r="E10" s="1310"/>
      <c r="F10" s="1310"/>
      <c r="G10" s="1310"/>
      <c r="H10" s="1310"/>
      <c r="I10" s="1310"/>
      <c r="J10" s="1310"/>
      <c r="K10" s="1310"/>
      <c r="L10" s="608"/>
    </row>
    <row r="11" spans="1:19" ht="27.65" customHeight="1" x14ac:dyDescent="0.25">
      <c r="C11" s="1312" t="str">
        <f>Translations!$B$1562</f>
        <v xml:space="preserve">In this case, the alternative fuel is attributed to the flight directly following the uplift. Where several subsequent flights are carried out without fuel uplift between these flights ("tankering"), the aircraft operator shall split the amount of the alternative fuel and assign it to these flights proportionally to the emissions from those flights calculated using the preliminary emission factor. </v>
      </c>
      <c r="D11" s="1312"/>
      <c r="E11" s="1312"/>
      <c r="F11" s="1312"/>
      <c r="G11" s="1312"/>
      <c r="H11" s="1312"/>
      <c r="I11" s="1312"/>
      <c r="J11" s="1312"/>
      <c r="K11" s="1312"/>
      <c r="L11" s="608"/>
    </row>
    <row r="12" spans="1:19" ht="13.4" customHeight="1" x14ac:dyDescent="0.25">
      <c r="C12" s="1310" t="str">
        <f>Translations!$B$1563</f>
        <v>B. The fuel delivered cannot be physically attributed to a specific flight,e.g. because it is physically delivered only to a tank/pipeline system at the aerodrome</v>
      </c>
      <c r="D12" s="1310"/>
      <c r="E12" s="1310"/>
      <c r="F12" s="1310"/>
      <c r="G12" s="1310"/>
      <c r="H12" s="1310"/>
      <c r="I12" s="1310"/>
      <c r="J12" s="1310"/>
      <c r="K12" s="1310"/>
      <c r="L12" s="608"/>
    </row>
    <row r="13" spans="1:19" ht="13.4" customHeight="1" x14ac:dyDescent="0.25">
      <c r="C13" s="1312" t="str">
        <f>Translations!$B$1564</f>
        <v>In this case, the alternative fuel is attributed proportionally using the following formulae:</v>
      </c>
      <c r="D13" s="1312"/>
      <c r="E13" s="1312"/>
      <c r="F13" s="1312"/>
      <c r="G13" s="1312"/>
      <c r="H13" s="1312"/>
      <c r="I13" s="1312"/>
      <c r="J13" s="1312"/>
      <c r="K13" s="1312"/>
      <c r="L13" s="608"/>
    </row>
    <row r="14" spans="1:19" ht="27.65" customHeight="1" x14ac:dyDescent="0.25">
      <c r="C14" s="1312"/>
      <c r="D14" s="1312"/>
      <c r="E14" s="1312"/>
      <c r="F14" s="1312"/>
      <c r="G14" s="1312"/>
      <c r="H14" s="1312"/>
      <c r="I14" s="1312"/>
      <c r="J14" s="1312"/>
      <c r="K14" s="1312"/>
      <c r="L14" s="608"/>
    </row>
    <row r="15" spans="1:19" ht="13.4" customHeight="1" x14ac:dyDescent="0.25">
      <c r="C15" s="1312" t="str">
        <f>Translations!$B$1565</f>
        <v>Where the variables have the following meaning:</v>
      </c>
      <c r="D15" s="1034"/>
      <c r="E15" s="1034"/>
      <c r="F15" s="1034"/>
      <c r="G15" s="1034"/>
      <c r="H15" s="1034"/>
      <c r="I15" s="1034"/>
      <c r="J15" s="1034"/>
      <c r="K15" s="1034"/>
      <c r="L15" s="608"/>
    </row>
    <row r="16" spans="1:19" ht="27.65" customHeight="1" x14ac:dyDescent="0.25">
      <c r="C16" s="761"/>
      <c r="D16" s="1318" t="str">
        <f>Translations!$B$1566</f>
        <v>Attributed fuel quantity of Fuel N at the specified aerodrome in tonnes (the amount of fuel to be reported for calculating its emissions).</v>
      </c>
      <c r="E16" s="1319"/>
      <c r="F16" s="1319"/>
      <c r="G16" s="1319"/>
      <c r="H16" s="1319"/>
      <c r="I16" s="1319"/>
      <c r="J16" s="1320"/>
      <c r="K16" s="1320"/>
      <c r="L16" s="608"/>
    </row>
    <row r="17" spans="3:12" ht="27.65" customHeight="1" x14ac:dyDescent="0.25">
      <c r="C17" s="761"/>
      <c r="D17" s="1318" t="str">
        <f>Translations!$B$1567</f>
        <v>Total quantity (in tonnes) of the Fuel N used by the aircaft operator at the specified aerodrome</v>
      </c>
      <c r="E17" s="1319"/>
      <c r="F17" s="1319"/>
      <c r="G17" s="1319"/>
      <c r="H17" s="1319"/>
      <c r="I17" s="1319"/>
      <c r="J17" s="1320"/>
      <c r="K17" s="1320"/>
      <c r="L17" s="608"/>
    </row>
    <row r="18" spans="3:12" ht="26.5" customHeight="1" x14ac:dyDescent="0.25">
      <c r="C18" s="761"/>
      <c r="D18" s="1318" t="str">
        <f>Translations!$B$1568</f>
        <v>Proportionality factor to be applied for all fuels uplifted at the same aerodrome (with exception of batches physically delivered to the aircraft).</v>
      </c>
      <c r="E18" s="1319"/>
      <c r="F18" s="1319"/>
      <c r="G18" s="1319"/>
      <c r="H18" s="1319"/>
      <c r="I18" s="1319"/>
      <c r="J18" s="1320"/>
      <c r="K18" s="1320"/>
      <c r="L18" s="608"/>
    </row>
    <row r="19" spans="3:12" ht="27.65" customHeight="1" x14ac:dyDescent="0.25">
      <c r="C19" s="761"/>
      <c r="D19" s="1318" t="str">
        <f>Translations!$B$1569</f>
        <v>Total emissions of all flights by the aircraft operator starting from this aerodrome using all fuels (including standard fuels) and which are "relevant" (see explanation below), calculated using the preliminary emission factor (i.e. without zero-rating).</v>
      </c>
      <c r="E19" s="1319"/>
      <c r="F19" s="1319"/>
      <c r="G19" s="1319"/>
      <c r="H19" s="1319"/>
      <c r="I19" s="1319"/>
      <c r="J19" s="1320"/>
      <c r="K19" s="1320"/>
      <c r="L19" s="608"/>
    </row>
    <row r="20" spans="3:12" ht="27.65" customHeight="1" x14ac:dyDescent="0.25">
      <c r="C20" s="761"/>
      <c r="D20" s="1318" t="str">
        <f>Translations!$B$1570</f>
        <v>Total emissions of all flights by the aircraft operator starting from this aerodrome using all fuels (including standard fuels), calculated using the preliminary emission factor (i.e. without zero-rating), including non-ETS flights.</v>
      </c>
      <c r="E20" s="1319"/>
      <c r="F20" s="1319"/>
      <c r="G20" s="1319"/>
      <c r="H20" s="1319"/>
      <c r="I20" s="1319"/>
      <c r="J20" s="1320"/>
      <c r="K20" s="1320"/>
      <c r="L20" s="608"/>
    </row>
    <row r="21" spans="3:12" ht="26.5" customHeight="1" x14ac:dyDescent="0.25">
      <c r="C21" s="1321" t="str">
        <f>Translations!$B$1571</f>
        <v>Which flights are relevant for the calculation of the proportionality factor depends on the reporting purpose:</v>
      </c>
      <c r="D21" s="1322"/>
      <c r="E21" s="1322"/>
      <c r="F21" s="1322"/>
      <c r="G21" s="1322"/>
      <c r="H21" s="1322"/>
      <c r="I21" s="1322"/>
      <c r="J21" s="1322"/>
      <c r="K21" s="1322"/>
      <c r="L21" s="608"/>
    </row>
    <row r="22" spans="3:12" ht="27.65" customHeight="1" x14ac:dyDescent="0.25">
      <c r="C22" s="1315" t="str">
        <f>Translations!$B$1572</f>
        <v>Reporting of alternative fuels in general (Article 53a of the MRR)</v>
      </c>
      <c r="D22" s="1178"/>
      <c r="E22" s="1316" t="str">
        <f>Translations!$B$1573</f>
        <v>All flights starting from this aerodrome for which allowances have to be surrendered pursuant to Article 12(3) of the EU ETS Directive, i.e. the flights under the "reduced scope" of the EU ETS.</v>
      </c>
      <c r="F22" s="1317"/>
      <c r="G22" s="1317"/>
      <c r="H22" s="1317"/>
      <c r="I22" s="1317"/>
      <c r="J22" s="1317"/>
      <c r="K22" s="1317"/>
      <c r="L22" s="608"/>
    </row>
    <row r="23" spans="3:12" ht="26.5" customHeight="1" x14ac:dyDescent="0.25">
      <c r="C23" s="1325" t="str">
        <f>Translations!$B$1574</f>
        <v>Reporting of eligible aviation fuels for applying for support under Art. 3c(6) of the EU ETS Directive (Article 54a of the MRR)</v>
      </c>
      <c r="D23" s="1326"/>
      <c r="E23" s="1323" t="str">
        <f>Translations!$B$1575</f>
        <v>All flights starting from this aerodrome for which allowances have to be surrendered pursuant to Article 12(3) of the EU ETS Directive, i.e. all flights under the "reduced scope" of the EU ETS</v>
      </c>
      <c r="F23" s="1324"/>
      <c r="G23" s="1324"/>
      <c r="H23" s="1324"/>
      <c r="I23" s="1324"/>
      <c r="J23" s="1324"/>
      <c r="K23" s="1324"/>
      <c r="L23" s="608"/>
    </row>
    <row r="24" spans="3:12" ht="13.4" customHeight="1" x14ac:dyDescent="0.25">
      <c r="C24" s="1312"/>
      <c r="D24" s="1327"/>
      <c r="E24" s="1329" t="str">
        <f>Translations!$B$1576</f>
        <v>AND</v>
      </c>
      <c r="F24" s="1062"/>
      <c r="G24" s="1062"/>
      <c r="H24" s="1062"/>
      <c r="I24" s="1062"/>
      <c r="J24" s="1062"/>
      <c r="K24" s="1062"/>
      <c r="L24" s="608"/>
    </row>
    <row r="25" spans="3:12" ht="39.65" customHeight="1" x14ac:dyDescent="0.25">
      <c r="C25" s="1306"/>
      <c r="D25" s="1328"/>
      <c r="E25" s="1330" t="str">
        <f>Translations!$B$1577</f>
        <v>flights starting from this aerodrome covered by Article 3c(8) of the EU ETS Directive, i.e. flights between an aerodrome located in an outermost region of a Member State and an aerodrome located in the same Member State, including another aerodrome located in the same outermost region or in another outermost region of the same Member State.</v>
      </c>
      <c r="F25" s="1331"/>
      <c r="G25" s="1331"/>
      <c r="H25" s="1331"/>
      <c r="I25" s="1331"/>
      <c r="J25" s="1331"/>
      <c r="K25" s="1331"/>
      <c r="L25" s="608"/>
    </row>
    <row r="26" spans="3:12" ht="5.15" customHeight="1" x14ac:dyDescent="0.25">
      <c r="C26" s="566"/>
      <c r="D26" s="566"/>
      <c r="E26" s="537"/>
      <c r="F26" s="537"/>
      <c r="G26" s="537"/>
      <c r="H26" s="537"/>
      <c r="I26" s="537"/>
      <c r="J26" s="537"/>
      <c r="K26" s="537"/>
      <c r="L26" s="608"/>
    </row>
    <row r="27" spans="3:12" ht="13.4" customHeight="1" x14ac:dyDescent="0.25">
      <c r="C27" s="1310" t="str">
        <f>Translations!$B$1578</f>
        <v>Therefore, for filling the table below, you should perform the following steps:</v>
      </c>
      <c r="D27" s="1310"/>
      <c r="E27" s="1310"/>
      <c r="F27" s="1310"/>
      <c r="G27" s="1310"/>
      <c r="H27" s="1310"/>
      <c r="I27" s="1310"/>
      <c r="J27" s="1310"/>
      <c r="K27" s="1310"/>
      <c r="L27" s="608"/>
    </row>
    <row r="28" spans="3:12" ht="27.65" customHeight="1" x14ac:dyDescent="0.25">
      <c r="C28" s="1312" t="str">
        <f>Translations!$B$1579</f>
        <v>Step 1: Generate a list of all aerodromes at which your aircraft have uplifted alternative aviation fuels. Where more than one fuel (as defined in section 5 of this template) is relevant at an aerodrome, you have to provide separate rows in the table for each fuel. Only neat fuels are to be reported. Therefore, the fossil fraction and standard fuels do not have to be listed here.</v>
      </c>
      <c r="D28" s="1312"/>
      <c r="E28" s="1312"/>
      <c r="F28" s="1312"/>
      <c r="G28" s="1312"/>
      <c r="H28" s="1312"/>
      <c r="I28" s="1312"/>
      <c r="J28" s="1312"/>
      <c r="K28" s="1312"/>
      <c r="L28" s="608"/>
    </row>
    <row r="29" spans="3:12" ht="41.15" customHeight="1" x14ac:dyDescent="0.25">
      <c r="C29" s="1312" t="str">
        <f>Translations!$B$1580</f>
        <v>Step 2 (only if you want to apply for support in form of free allowances pursuant to Article 3c(6) of the EU ETS Directive): Identify for each aerodrome whether it is eligible for 100% support in accordance with point (c) of the third sub-paragraph of Article 3c(6), i.e. airports situated on islands smaller than 10 000 km2 and with no road or rail link with the mainland, airports which are insufficiently large to be defined as Union airports in accordance with the ReFuelEU Aviation Regulation and airports located in an outermost region.</v>
      </c>
      <c r="D29" s="1312"/>
      <c r="E29" s="1312"/>
      <c r="F29" s="1312"/>
      <c r="G29" s="1312"/>
      <c r="H29" s="1312"/>
      <c r="I29" s="1312"/>
      <c r="J29" s="1312"/>
      <c r="K29" s="1312"/>
      <c r="L29" s="608"/>
    </row>
    <row r="30" spans="3:12" ht="13.4" customHeight="1" x14ac:dyDescent="0.25">
      <c r="C30" s="1312" t="str">
        <f>Translations!$B$1581</f>
        <v>Step 3: For each identified fuel and aerodrome, determine the total quantity of this (neat) fuel used at this aerodrome.</v>
      </c>
      <c r="D30" s="1312"/>
      <c r="E30" s="1312"/>
      <c r="F30" s="1312"/>
      <c r="G30" s="1312"/>
      <c r="H30" s="1312"/>
      <c r="I30" s="1312"/>
      <c r="J30" s="1312"/>
      <c r="K30" s="1312"/>
      <c r="L30" s="608"/>
    </row>
    <row r="31" spans="3:12" ht="13.4" customHeight="1" x14ac:dyDescent="0.25">
      <c r="C31" s="1312" t="str">
        <f>Translations!$B$1582</f>
        <v>Step 4: For each identified aerodrome, determine the proportionality factor which applies to alternative aviation fuels in general, in particular for zero-rating, pursuant to Article 53a of the MRR .</v>
      </c>
      <c r="D31" s="1312"/>
      <c r="E31" s="1312"/>
      <c r="F31" s="1312"/>
      <c r="G31" s="1312"/>
      <c r="H31" s="1312"/>
      <c r="I31" s="1312"/>
      <c r="J31" s="1312"/>
      <c r="K31" s="1312"/>
      <c r="L31" s="608"/>
    </row>
    <row r="32" spans="3:12" ht="27.65" customHeight="1" x14ac:dyDescent="0.25">
      <c r="C32" s="1312" t="str">
        <f>Translations!$B$1583</f>
        <v>Step 5 (only if you want to apply for support under Article 3c(6) of the EU ETS Directive and the fuel is eligible for such support): For each identified aerodrome, determine the proportionality factor which applies to eligible aviation fuels pursuant to Article 54a of the MRR.</v>
      </c>
      <c r="D32" s="1312"/>
      <c r="E32" s="1312"/>
      <c r="F32" s="1312"/>
      <c r="G32" s="1312"/>
      <c r="H32" s="1312"/>
      <c r="I32" s="1312"/>
      <c r="J32" s="1312"/>
      <c r="K32" s="1312"/>
      <c r="L32" s="608"/>
    </row>
    <row r="33" spans="3:12" ht="13.4" customHeight="1" x14ac:dyDescent="0.25">
      <c r="C33" s="1310" t="str">
        <f>Translations!$B$1584</f>
        <v>The results of the above steps are to be entered in the table below, with specific guidance for each column as follows:</v>
      </c>
      <c r="D33" s="1310"/>
      <c r="E33" s="1310"/>
      <c r="F33" s="1310"/>
      <c r="G33" s="1310"/>
      <c r="H33" s="1310"/>
      <c r="I33" s="1310"/>
      <c r="J33" s="1310"/>
      <c r="K33" s="1310"/>
      <c r="L33" s="608"/>
    </row>
    <row r="34" spans="3:12" ht="13.4" customHeight="1" x14ac:dyDescent="0.25">
      <c r="C34" s="1315" t="str">
        <f>Translations!$B$1585</f>
        <v>Aerodrome</v>
      </c>
      <c r="D34" s="1178"/>
      <c r="E34" s="1316" t="str">
        <f>Translations!$B$1586</f>
        <v>Please use the 4-letter ICAO designator (same as in sections 11 and 12 of this template)</v>
      </c>
      <c r="F34" s="1317"/>
      <c r="G34" s="1317"/>
      <c r="H34" s="1317"/>
      <c r="I34" s="1317"/>
      <c r="J34" s="1317"/>
      <c r="K34" s="1317"/>
      <c r="L34" s="608"/>
    </row>
    <row r="35" spans="3:12" ht="27.65" customHeight="1" x14ac:dyDescent="0.25">
      <c r="C35" s="1315" t="str">
        <f>Translations!$B$1587</f>
        <v>Eligibility for 100% support (Art. 3c(6) EU ETS Directive)</v>
      </c>
      <c r="D35" s="1178"/>
      <c r="E35" s="1316" t="str">
        <f>Translations!$B$1588</f>
        <v>Enter "TRUE" or "FALSE" in accordance with step 2 explained above. If left empty, "FALSE" is assumed. Note that this information is used for the automatic calculation in section 10b of this template, in the sheet "FEETS Application".</v>
      </c>
      <c r="F35" s="1317"/>
      <c r="G35" s="1317"/>
      <c r="H35" s="1317"/>
      <c r="I35" s="1317"/>
      <c r="J35" s="1317"/>
      <c r="K35" s="1317"/>
      <c r="L35" s="608"/>
    </row>
    <row r="36" spans="3:12" ht="13.4" customHeight="1" x14ac:dyDescent="0.25">
      <c r="C36" s="1315" t="str">
        <f>Translations!$B$1589</f>
        <v>Alternative aviation fuel name</v>
      </c>
      <c r="D36" s="1178"/>
      <c r="E36" s="1316" t="str">
        <f>Translations!$B$1590</f>
        <v>Pick the fuel name from the drop-down list, which is automatically generated from all fuels for which complete information has been entered in section 5.</v>
      </c>
      <c r="F36" s="1317"/>
      <c r="G36" s="1317"/>
      <c r="H36" s="1317"/>
      <c r="I36" s="1317"/>
      <c r="J36" s="1317"/>
      <c r="K36" s="1317"/>
      <c r="L36" s="608"/>
    </row>
    <row r="37" spans="3:12" ht="26.5" customHeight="1" x14ac:dyDescent="0.25">
      <c r="C37" s="1315" t="str">
        <f>Translations!$B$1591</f>
        <v>Total alternative aviation fuel used [tonnes]</v>
      </c>
      <c r="D37" s="1178"/>
      <c r="E37" s="1316" t="str">
        <f>Translations!$B$1592</f>
        <v>Enter here the total amount of this neat fuel in tonnes used at this aerodrome for ALL your flights departing from this aerodrome in accordance with step 3.</v>
      </c>
      <c r="F37" s="1317"/>
      <c r="G37" s="1317"/>
      <c r="H37" s="1317"/>
      <c r="I37" s="1317"/>
      <c r="J37" s="1317"/>
      <c r="K37" s="1317"/>
      <c r="L37" s="608"/>
    </row>
    <row r="38" spans="3:12" ht="27.65" customHeight="1" x14ac:dyDescent="0.25">
      <c r="C38" s="1315" t="str">
        <f>Translations!$B$1593</f>
        <v>Proportionality factor (Art. 53a) [%]</v>
      </c>
      <c r="D38" s="1178"/>
      <c r="E38" s="1316" t="str">
        <f>Translations!$B$1594</f>
        <v>Enter here the proprtionality factor determined in step 4. Note that you can enter either a value between 0 and 1 (without %-sign), or a value between 0% and 100% (this is the default format). You can add all significant digits after the comma, and adjust displayed number format, if relevant. If left empty, a value of zero is assumed.</v>
      </c>
      <c r="F38" s="1317"/>
      <c r="G38" s="1317"/>
      <c r="H38" s="1317"/>
      <c r="I38" s="1317"/>
      <c r="J38" s="1317"/>
      <c r="K38" s="1317"/>
      <c r="L38" s="608"/>
    </row>
    <row r="39" spans="3:12" ht="27.65" customHeight="1" x14ac:dyDescent="0.25">
      <c r="C39" s="1315" t="str">
        <f>Translations!$B$1595</f>
        <v>Proportionality factor for eligible fuels (Art. 54a) [%]</v>
      </c>
      <c r="D39" s="1178"/>
      <c r="E39" s="1316" t="str">
        <f>Translations!$B$1596</f>
        <v>Enter here the proprtionality factor determined in step 5, if applicable. Note that you can enter either a value between 0 and 1 (without %-sign), or a value between 0% and 100% (this is the default format). You can add all significant digits after the comma, and adjust displayed number format, if relevant. If left empty, a value of zero is assumed.</v>
      </c>
      <c r="F39" s="1317"/>
      <c r="G39" s="1317"/>
      <c r="H39" s="1317"/>
      <c r="I39" s="1317"/>
      <c r="J39" s="1317"/>
      <c r="K39" s="1317"/>
      <c r="L39" s="608"/>
    </row>
    <row r="40" spans="3:12" ht="13.4" customHeight="1" x14ac:dyDescent="0.25">
      <c r="C40" s="1325" t="str">
        <f>Translations!$B$1597</f>
        <v>Attributed fuel (tonnes)</v>
      </c>
      <c r="D40" s="1332"/>
      <c r="E40" s="1323" t="str">
        <f>Translations!$B$1598</f>
        <v>The template calculates here automatically the amount of neat fuel atributed in line with the proportionality factor pursuant to Art. 53a.</v>
      </c>
      <c r="F40" s="1324"/>
      <c r="G40" s="1324"/>
      <c r="H40" s="1324"/>
      <c r="I40" s="1324"/>
      <c r="J40" s="1324"/>
      <c r="K40" s="1324"/>
      <c r="L40" s="608"/>
    </row>
    <row r="41" spans="3:12" ht="13.4" customHeight="1" x14ac:dyDescent="0.25">
      <c r="C41" s="1306"/>
      <c r="D41" s="1244"/>
      <c r="E41" s="1307" t="str">
        <f>Translations!$B$1599</f>
        <v xml:space="preserve">Please note that the result here is the quantity of fuel used to be reported in sections 5c and 5d. </v>
      </c>
      <c r="F41" s="1308"/>
      <c r="G41" s="1308"/>
      <c r="H41" s="1308"/>
      <c r="I41" s="1308"/>
      <c r="J41" s="1308"/>
      <c r="K41" s="1308"/>
      <c r="L41" s="608"/>
    </row>
    <row r="42" spans="3:12" ht="27.65" customHeight="1" x14ac:dyDescent="0.25">
      <c r="C42" s="1315" t="str">
        <f>Translations!$B$1600</f>
        <v>Attributed zero-rated fuel (tonnes)</v>
      </c>
      <c r="D42" s="1178"/>
      <c r="E42" s="1316" t="str">
        <f>Translations!$B$1601</f>
        <v>If the fuel selected is declared as being zero-rated (section 5), here the same quantity as in the previous column is displayed. Otherwise the cell is made grey.</v>
      </c>
      <c r="F42" s="1317"/>
      <c r="G42" s="1317"/>
      <c r="H42" s="1317"/>
      <c r="I42" s="1317"/>
      <c r="J42" s="1317"/>
      <c r="K42" s="1317"/>
      <c r="L42" s="608"/>
    </row>
    <row r="43" spans="3:12" ht="27.65" customHeight="1" x14ac:dyDescent="0.25">
      <c r="C43" s="1315" t="str">
        <f>Translations!$B$1602</f>
        <v>Fuel eligible for support (tonnes)</v>
      </c>
      <c r="D43" s="1178"/>
      <c r="E43" s="1316" t="str">
        <f>Translations!$B$1603</f>
        <v>The template calculates here automatically the amount of neat fuel atributed in line with the proportionality factor pursuant to Art. 54a of the MRR for fuels eligible for support under Article 3c(6) of the EU ETS Directive. Note that this information is used for the automatic calculation in section 10b of this template, in the sheet "FEETS Application".</v>
      </c>
      <c r="F43" s="1317"/>
      <c r="G43" s="1317"/>
      <c r="H43" s="1317"/>
      <c r="I43" s="1317"/>
      <c r="J43" s="1317"/>
      <c r="K43" s="1317"/>
      <c r="L43" s="608"/>
    </row>
    <row r="44" spans="3:12" ht="5.15" customHeight="1" x14ac:dyDescent="0.25">
      <c r="C44" s="566"/>
      <c r="D44" s="299"/>
      <c r="E44" s="537"/>
      <c r="F44" s="537"/>
      <c r="G44" s="537"/>
      <c r="H44" s="537"/>
      <c r="I44" s="537"/>
      <c r="J44" s="537"/>
      <c r="K44" s="537"/>
      <c r="L44" s="608"/>
    </row>
    <row r="45" spans="3:12" ht="13.4" customHeight="1" x14ac:dyDescent="0.25">
      <c r="C45" s="1310" t="str">
        <f>Translations!$B$1604</f>
        <v>Further notes on filling this table:</v>
      </c>
      <c r="D45" s="1310"/>
      <c r="E45" s="1310"/>
      <c r="F45" s="1310"/>
      <c r="G45" s="1310"/>
      <c r="H45" s="1310"/>
      <c r="I45" s="1310"/>
      <c r="J45" s="1310"/>
      <c r="K45" s="1310"/>
      <c r="L45" s="608"/>
    </row>
    <row r="46" spans="3:12" ht="27.65" customHeight="1" x14ac:dyDescent="0.25">
      <c r="C46" s="1314" t="str">
        <f>Translations!$B$1605</f>
        <v>Please, list all aearodromes where an alternative aviation fuel was used and the corresponding proportionality that applies at that aerodrome. Please, ensure that the resulting amount of neat alternative fuels claimed is correct.</v>
      </c>
      <c r="D46" s="1314"/>
      <c r="E46" s="1314"/>
      <c r="F46" s="1314"/>
      <c r="G46" s="1314"/>
      <c r="H46" s="1314"/>
      <c r="I46" s="1314"/>
      <c r="J46" s="1314"/>
      <c r="K46" s="1314"/>
      <c r="L46" s="608"/>
    </row>
    <row r="47" spans="3:12" x14ac:dyDescent="0.25">
      <c r="C47" s="1312" t="str">
        <f>Translations!$B$1606</f>
        <v xml:space="preserve">In case of situation A (direct physical delivery to aircraft), please use the following approach for filling the table: </v>
      </c>
      <c r="D47" s="1312"/>
      <c r="E47" s="1312"/>
      <c r="F47" s="1312"/>
      <c r="G47" s="1312"/>
      <c r="H47" s="1312"/>
      <c r="I47" s="1312"/>
      <c r="J47" s="1312"/>
      <c r="K47" s="1312"/>
    </row>
    <row r="48" spans="3:12" x14ac:dyDescent="0.25">
      <c r="C48" s="769" t="s">
        <v>1895</v>
      </c>
      <c r="D48" s="1311" t="str">
        <f>Translations!$B$1607</f>
        <v>Enter a proportionality factor of 100% for the quantity physically delivered.</v>
      </c>
      <c r="E48" s="1062"/>
      <c r="F48" s="1062"/>
      <c r="G48" s="1062"/>
      <c r="H48" s="1062"/>
      <c r="I48" s="1062"/>
      <c r="J48" s="1062"/>
      <c r="K48" s="1062"/>
    </row>
    <row r="49" spans="1:19" ht="27.65" customHeight="1" x14ac:dyDescent="0.25">
      <c r="C49" s="769" t="s">
        <v>1895</v>
      </c>
      <c r="D49" s="1311" t="str">
        <f>Translations!$B$1608</f>
        <v>In case of tankering, you have to enter only the fuel quantity assigned to the first flight from the aerodrome of first departure. Then you have to create an additional row for the aerodrome from where the second flight departs, even if the respective fuel is not available at that aerodrome. Again 100% proportionality for that amount assigned to the second flight are to be reported.</v>
      </c>
      <c r="E49" s="1062"/>
      <c r="F49" s="1062"/>
      <c r="G49" s="1062"/>
      <c r="H49" s="1062"/>
      <c r="I49" s="1062"/>
      <c r="J49" s="1062"/>
      <c r="K49" s="1062"/>
    </row>
    <row r="50" spans="1:19" ht="13.4" customHeight="1" x14ac:dyDescent="0.25">
      <c r="C50" s="769" t="s">
        <v>1895</v>
      </c>
      <c r="D50" s="1311" t="str">
        <f>Translations!$B$1609</f>
        <v>If at an aerodrome both situations A and B apply, the respective fuel quantities have to be reported in separate rows, even if the same fuel at the same aerodrome is involved.</v>
      </c>
      <c r="E50" s="1062"/>
      <c r="F50" s="1062"/>
      <c r="G50" s="1062"/>
      <c r="H50" s="1062"/>
      <c r="I50" s="1062"/>
      <c r="J50" s="1062"/>
      <c r="K50" s="1062"/>
    </row>
    <row r="51" spans="1:19" ht="13.4" customHeight="1" x14ac:dyDescent="0.25">
      <c r="C51" s="1310" t="str">
        <f>Translations!$B$1610</f>
        <v>Note on CH ETS:</v>
      </c>
      <c r="D51" s="1310"/>
      <c r="E51" s="1310"/>
      <c r="F51" s="1310"/>
      <c r="G51" s="1310"/>
      <c r="H51" s="1310"/>
      <c r="I51" s="1310"/>
      <c r="J51" s="1310"/>
      <c r="K51" s="1310"/>
      <c r="L51" s="608"/>
    </row>
    <row r="52" spans="1:19" ht="13.4" customHeight="1" x14ac:dyDescent="0.25">
      <c r="C52" s="1314" t="str">
        <f>Translations!$B$1611</f>
        <v>The rules for attributing alternative fuels proportionally to ETS flights do NOT apply to CH ETS. Therefore, no Swiss aerodromes should be listed in this table.</v>
      </c>
      <c r="D52" s="1314"/>
      <c r="E52" s="1314"/>
      <c r="F52" s="1314"/>
      <c r="G52" s="1314"/>
      <c r="H52" s="1314"/>
      <c r="I52" s="1314"/>
      <c r="J52" s="1314"/>
      <c r="K52" s="1314"/>
      <c r="L52" s="608"/>
    </row>
    <row r="53" spans="1:19" ht="5.15" customHeight="1" x14ac:dyDescent="0.25">
      <c r="C53" s="1313"/>
      <c r="D53" s="1075"/>
      <c r="E53" s="513"/>
      <c r="F53" s="513"/>
      <c r="G53" s="513"/>
      <c r="H53" s="513"/>
      <c r="I53" s="513"/>
      <c r="J53" s="513"/>
      <c r="K53" s="513"/>
      <c r="M53" s="558"/>
      <c r="N53" s="558"/>
      <c r="O53" s="558"/>
      <c r="P53" s="558"/>
      <c r="Q53" s="558"/>
      <c r="R53" s="558"/>
      <c r="S53" s="558"/>
    </row>
    <row r="54" spans="1:19" ht="13.4" customHeight="1" x14ac:dyDescent="0.25">
      <c r="C54" s="373" t="str">
        <f>Translations!$B$1612</f>
        <v>Table for Attribution of alternative aviation fuels</v>
      </c>
    </row>
    <row r="55" spans="1:19" x14ac:dyDescent="0.25">
      <c r="C55" s="1309" t="str">
        <f>Translations!$B$1613</f>
        <v>Note: Due to the complexity of the formulae connected to the fuel types, it is not possible to add further rows!</v>
      </c>
      <c r="D55" s="1309"/>
      <c r="E55" s="1309"/>
      <c r="F55" s="1309"/>
      <c r="G55" s="1309"/>
      <c r="H55" s="1309"/>
      <c r="I55" s="1309"/>
      <c r="J55" s="1309"/>
      <c r="K55" s="1309"/>
    </row>
    <row r="56" spans="1:19" ht="13.4" customHeight="1" x14ac:dyDescent="0.25">
      <c r="C56" s="1303" t="str">
        <f>Translations!$B$1614</f>
        <v>When ready with entries in this sheet, please click here for returning to entering data in section 5c (fuel quantities used in sheet "Emissions overview").</v>
      </c>
      <c r="D56" s="1304"/>
      <c r="E56" s="1304"/>
      <c r="F56" s="1304"/>
      <c r="G56" s="1304"/>
      <c r="H56" s="1304"/>
      <c r="I56" s="1304"/>
      <c r="J56" s="1304"/>
      <c r="K56" s="1305"/>
    </row>
    <row r="57" spans="1:19" ht="5.15" customHeight="1" x14ac:dyDescent="0.25">
      <c r="C57" s="705"/>
    </row>
    <row r="58" spans="1:19" s="662" customFormat="1" ht="58" x14ac:dyDescent="0.25">
      <c r="A58" s="610"/>
      <c r="C58" s="663" t="str">
        <f>Translations!$B$1585</f>
        <v>Aerodrome</v>
      </c>
      <c r="D58" s="664" t="str">
        <f>Translations!$B$1587</f>
        <v>Eligibility for 100% support (Art. 3c(6) EU ETS Directive)</v>
      </c>
      <c r="E58" s="665" t="str">
        <f>Translations!$B$1589</f>
        <v>Alternative aviation fuel name</v>
      </c>
      <c r="F58" s="666" t="str">
        <f>Translations!$B$1591</f>
        <v>Total alternative aviation fuel used [tonnes]</v>
      </c>
      <c r="G58" s="666" t="str">
        <f>Translations!$B$1593</f>
        <v>Proportionality factor (Art. 53a) [%]</v>
      </c>
      <c r="H58" s="666" t="str">
        <f>Translations!$B$1595</f>
        <v>Proportionality factor for eligible fuels (Art. 54a) [%]</v>
      </c>
      <c r="I58" s="667" t="str">
        <f>Translations!$B$1597</f>
        <v>Attributed fuel (tonnes)</v>
      </c>
      <c r="J58" s="667" t="str">
        <f>Translations!$B$1600</f>
        <v>Attributed zero-rated fuel (tonnes)</v>
      </c>
      <c r="K58" s="668" t="str">
        <f>Translations!$B$1602</f>
        <v>Fuel eligible for support (tonnes)</v>
      </c>
      <c r="M58" s="614" t="s">
        <v>217</v>
      </c>
      <c r="N58" s="615" t="s">
        <v>1966</v>
      </c>
      <c r="O58" s="615" t="s">
        <v>218</v>
      </c>
      <c r="P58" s="615" t="s">
        <v>219</v>
      </c>
      <c r="Q58" s="615" t="s">
        <v>220</v>
      </c>
      <c r="R58" s="615" t="s">
        <v>221</v>
      </c>
      <c r="S58" s="766"/>
    </row>
    <row r="59" spans="1:19" x14ac:dyDescent="0.25">
      <c r="C59" s="616"/>
      <c r="D59" s="617"/>
      <c r="E59" s="618"/>
      <c r="F59" s="619"/>
      <c r="G59" s="733"/>
      <c r="H59" s="733"/>
      <c r="I59" s="736" t="str">
        <f>IF(ISNUMBER($F59), IFERROR($F59*G59,"--"),"")</f>
        <v/>
      </c>
      <c r="J59" s="736" t="str">
        <f>IF(AND(ISNUMBER($F59),N59=TRUE), IFERROR($F59*G59,"--"),"")</f>
        <v/>
      </c>
      <c r="K59" s="736" t="str">
        <f>IF(ISNUMBER($F59), IFERROR($F59*H59,"--"),"")</f>
        <v/>
      </c>
      <c r="M59" s="620" t="str">
        <f>IF(E59="","", IFERROR(IF(N59 = FALSE,  TRUE,  FALSE),  ""))</f>
        <v/>
      </c>
      <c r="N59" s="621" t="str">
        <f t="shared" ref="N59:N90" si="0">IFERROR(INDEX(CNTR_FuelListIsZero, MATCH(E59, CNTR_FuelListNames, 0)),"")</f>
        <v/>
      </c>
      <c r="O59" s="621" t="str">
        <f t="shared" ref="O59:O90" si="1">IF(E59="","",IFERROR(NOT(ISNUMBER(INDEX(CNTR_FuelListSupportRate, MATCH(E59, CNTR_FuelListNames, 0)))),  ""))</f>
        <v/>
      </c>
      <c r="P59" s="765" t="str">
        <f t="shared" ref="P59:P90" si="2">IFERROR( OR( INDEX(CNTR_FuelListCompleteData, MATCH(E59, CNTR_FuelListNames, 0)) = FALSE,   INDEX(CNTR_FuelListIsFossil, MATCH(E59, CNTR_FuelListNames, 0)) = TRUE),  "")</f>
        <v/>
      </c>
      <c r="Q59" s="621" t="str">
        <f t="shared" ref="Q59:Q90" si="3">IFERROR(IF(INDEX(CNTR_FuelListSubType, MATCH(E59, CNTR_FuelListNames, 0)) = "",  "",  INDEX(CNTR_FuelListSubType, MATCH(E59, CNTR_FuelListNames, 0))),  "")</f>
        <v/>
      </c>
      <c r="R59" s="706" t="str">
        <f t="shared" ref="R59:R90" si="4">IFERROR(IF( AND(D59=TRUE, ISNUMBER(INDEX(CNTR_FuelListSupportRate, MATCH( E59, CNTR_FuelListNames, 0)))),   1,   INDEX(CNTR_FuelListSupportRate, MATCH(E59, CNTR_FuelListNames, 0))),  "")</f>
        <v/>
      </c>
      <c r="S59" s="767"/>
    </row>
    <row r="60" spans="1:19" x14ac:dyDescent="0.25">
      <c r="C60" s="622"/>
      <c r="D60" s="623"/>
      <c r="E60" s="618"/>
      <c r="F60" s="624"/>
      <c r="G60" s="734"/>
      <c r="H60" s="734"/>
      <c r="I60" s="736" t="str">
        <f t="shared" ref="I60:I123" si="5">IF(ISNUMBER($F60), IFERROR($F60*G60,"--"),"")</f>
        <v/>
      </c>
      <c r="J60" s="736" t="str">
        <f t="shared" ref="J60:J123" si="6">IF(AND(ISNUMBER($F60),N60=TRUE), IFERROR($F60*G60,"--"),"")</f>
        <v/>
      </c>
      <c r="K60" s="736" t="str">
        <f t="shared" ref="K60:K123" si="7">IF(ISNUMBER($F60), IFERROR($F60*H60,"--"),"")</f>
        <v/>
      </c>
      <c r="M60" s="620" t="str">
        <f t="shared" ref="M60:M123" si="8">IF(E60="","", IFERROR(IF(N60 = FALSE,  TRUE,  FALSE),  ""))</f>
        <v/>
      </c>
      <c r="N60" s="621" t="str">
        <f t="shared" si="0"/>
        <v/>
      </c>
      <c r="O60" s="621" t="str">
        <f t="shared" si="1"/>
        <v/>
      </c>
      <c r="P60" s="765" t="str">
        <f t="shared" si="2"/>
        <v/>
      </c>
      <c r="Q60" s="621" t="str">
        <f t="shared" si="3"/>
        <v/>
      </c>
      <c r="R60" s="706" t="str">
        <f t="shared" si="4"/>
        <v/>
      </c>
      <c r="S60" s="767"/>
    </row>
    <row r="61" spans="1:19" x14ac:dyDescent="0.25">
      <c r="C61" s="622"/>
      <c r="D61" s="623"/>
      <c r="E61" s="618"/>
      <c r="F61" s="624"/>
      <c r="G61" s="734"/>
      <c r="H61" s="734"/>
      <c r="I61" s="736" t="str">
        <f t="shared" si="5"/>
        <v/>
      </c>
      <c r="J61" s="736" t="str">
        <f t="shared" si="6"/>
        <v/>
      </c>
      <c r="K61" s="736" t="str">
        <f t="shared" si="7"/>
        <v/>
      </c>
      <c r="M61" s="620" t="str">
        <f t="shared" si="8"/>
        <v/>
      </c>
      <c r="N61" s="621" t="str">
        <f t="shared" si="0"/>
        <v/>
      </c>
      <c r="O61" s="621" t="str">
        <f t="shared" si="1"/>
        <v/>
      </c>
      <c r="P61" s="765" t="str">
        <f t="shared" si="2"/>
        <v/>
      </c>
      <c r="Q61" s="621" t="str">
        <f t="shared" si="3"/>
        <v/>
      </c>
      <c r="R61" s="706" t="str">
        <f t="shared" si="4"/>
        <v/>
      </c>
      <c r="S61" s="767"/>
    </row>
    <row r="62" spans="1:19" x14ac:dyDescent="0.25">
      <c r="C62" s="622"/>
      <c r="D62" s="623"/>
      <c r="E62" s="618"/>
      <c r="F62" s="624"/>
      <c r="G62" s="734"/>
      <c r="H62" s="734"/>
      <c r="I62" s="736" t="str">
        <f t="shared" si="5"/>
        <v/>
      </c>
      <c r="J62" s="736" t="str">
        <f t="shared" si="6"/>
        <v/>
      </c>
      <c r="K62" s="736" t="str">
        <f t="shared" si="7"/>
        <v/>
      </c>
      <c r="M62" s="620" t="str">
        <f t="shared" si="8"/>
        <v/>
      </c>
      <c r="N62" s="621" t="str">
        <f t="shared" si="0"/>
        <v/>
      </c>
      <c r="O62" s="621" t="str">
        <f t="shared" si="1"/>
        <v/>
      </c>
      <c r="P62" s="765" t="str">
        <f t="shared" si="2"/>
        <v/>
      </c>
      <c r="Q62" s="621" t="str">
        <f t="shared" si="3"/>
        <v/>
      </c>
      <c r="R62" s="706" t="str">
        <f t="shared" si="4"/>
        <v/>
      </c>
      <c r="S62" s="767"/>
    </row>
    <row r="63" spans="1:19" x14ac:dyDescent="0.25">
      <c r="C63" s="622"/>
      <c r="D63" s="623"/>
      <c r="E63" s="618"/>
      <c r="F63" s="624"/>
      <c r="G63" s="734"/>
      <c r="H63" s="734"/>
      <c r="I63" s="736" t="str">
        <f t="shared" si="5"/>
        <v/>
      </c>
      <c r="J63" s="736" t="str">
        <f t="shared" si="6"/>
        <v/>
      </c>
      <c r="K63" s="736" t="str">
        <f t="shared" si="7"/>
        <v/>
      </c>
      <c r="M63" s="620" t="str">
        <f t="shared" si="8"/>
        <v/>
      </c>
      <c r="N63" s="621" t="str">
        <f t="shared" si="0"/>
        <v/>
      </c>
      <c r="O63" s="621" t="str">
        <f t="shared" si="1"/>
        <v/>
      </c>
      <c r="P63" s="765" t="str">
        <f t="shared" si="2"/>
        <v/>
      </c>
      <c r="Q63" s="621" t="str">
        <f t="shared" si="3"/>
        <v/>
      </c>
      <c r="R63" s="706" t="str">
        <f t="shared" si="4"/>
        <v/>
      </c>
      <c r="S63" s="767"/>
    </row>
    <row r="64" spans="1:19" x14ac:dyDescent="0.25">
      <c r="C64" s="622"/>
      <c r="D64" s="623"/>
      <c r="E64" s="618"/>
      <c r="F64" s="624"/>
      <c r="G64" s="734"/>
      <c r="H64" s="734"/>
      <c r="I64" s="736" t="str">
        <f t="shared" si="5"/>
        <v/>
      </c>
      <c r="J64" s="736" t="str">
        <f t="shared" si="6"/>
        <v/>
      </c>
      <c r="K64" s="736" t="str">
        <f t="shared" si="7"/>
        <v/>
      </c>
      <c r="M64" s="620" t="str">
        <f t="shared" si="8"/>
        <v/>
      </c>
      <c r="N64" s="621" t="str">
        <f t="shared" si="0"/>
        <v/>
      </c>
      <c r="O64" s="621" t="str">
        <f t="shared" si="1"/>
        <v/>
      </c>
      <c r="P64" s="765" t="str">
        <f t="shared" si="2"/>
        <v/>
      </c>
      <c r="Q64" s="621" t="str">
        <f t="shared" si="3"/>
        <v/>
      </c>
      <c r="R64" s="706" t="str">
        <f t="shared" si="4"/>
        <v/>
      </c>
      <c r="S64" s="767"/>
    </row>
    <row r="65" spans="3:19" x14ac:dyDescent="0.25">
      <c r="C65" s="622"/>
      <c r="D65" s="623"/>
      <c r="E65" s="618"/>
      <c r="F65" s="624"/>
      <c r="G65" s="734"/>
      <c r="H65" s="734"/>
      <c r="I65" s="736" t="str">
        <f t="shared" si="5"/>
        <v/>
      </c>
      <c r="J65" s="736" t="str">
        <f t="shared" si="6"/>
        <v/>
      </c>
      <c r="K65" s="736" t="str">
        <f t="shared" si="7"/>
        <v/>
      </c>
      <c r="M65" s="620" t="str">
        <f t="shared" si="8"/>
        <v/>
      </c>
      <c r="N65" s="621" t="str">
        <f t="shared" si="0"/>
        <v/>
      </c>
      <c r="O65" s="621" t="str">
        <f t="shared" si="1"/>
        <v/>
      </c>
      <c r="P65" s="765" t="str">
        <f t="shared" si="2"/>
        <v/>
      </c>
      <c r="Q65" s="621" t="str">
        <f t="shared" si="3"/>
        <v/>
      </c>
      <c r="R65" s="706" t="str">
        <f t="shared" si="4"/>
        <v/>
      </c>
      <c r="S65" s="767"/>
    </row>
    <row r="66" spans="3:19" x14ac:dyDescent="0.25">
      <c r="C66" s="622"/>
      <c r="D66" s="623"/>
      <c r="E66" s="618"/>
      <c r="F66" s="624"/>
      <c r="G66" s="734"/>
      <c r="H66" s="734"/>
      <c r="I66" s="736" t="str">
        <f t="shared" si="5"/>
        <v/>
      </c>
      <c r="J66" s="736" t="str">
        <f t="shared" si="6"/>
        <v/>
      </c>
      <c r="K66" s="736" t="str">
        <f t="shared" si="7"/>
        <v/>
      </c>
      <c r="M66" s="620" t="str">
        <f t="shared" si="8"/>
        <v/>
      </c>
      <c r="N66" s="621" t="str">
        <f t="shared" si="0"/>
        <v/>
      </c>
      <c r="O66" s="621" t="str">
        <f t="shared" si="1"/>
        <v/>
      </c>
      <c r="P66" s="765" t="str">
        <f t="shared" si="2"/>
        <v/>
      </c>
      <c r="Q66" s="621" t="str">
        <f t="shared" si="3"/>
        <v/>
      </c>
      <c r="R66" s="706" t="str">
        <f t="shared" si="4"/>
        <v/>
      </c>
      <c r="S66" s="767"/>
    </row>
    <row r="67" spans="3:19" x14ac:dyDescent="0.25">
      <c r="C67" s="622"/>
      <c r="D67" s="623"/>
      <c r="E67" s="618"/>
      <c r="F67" s="624"/>
      <c r="G67" s="734"/>
      <c r="H67" s="734"/>
      <c r="I67" s="736" t="str">
        <f t="shared" si="5"/>
        <v/>
      </c>
      <c r="J67" s="736" t="str">
        <f t="shared" si="6"/>
        <v/>
      </c>
      <c r="K67" s="736" t="str">
        <f t="shared" si="7"/>
        <v/>
      </c>
      <c r="M67" s="620" t="str">
        <f t="shared" si="8"/>
        <v/>
      </c>
      <c r="N67" s="621" t="str">
        <f t="shared" si="0"/>
        <v/>
      </c>
      <c r="O67" s="621" t="str">
        <f t="shared" si="1"/>
        <v/>
      </c>
      <c r="P67" s="765" t="str">
        <f t="shared" si="2"/>
        <v/>
      </c>
      <c r="Q67" s="621" t="str">
        <f t="shared" si="3"/>
        <v/>
      </c>
      <c r="R67" s="706" t="str">
        <f t="shared" si="4"/>
        <v/>
      </c>
      <c r="S67" s="767"/>
    </row>
    <row r="68" spans="3:19" x14ac:dyDescent="0.25">
      <c r="C68" s="622"/>
      <c r="D68" s="623"/>
      <c r="E68" s="618"/>
      <c r="F68" s="624"/>
      <c r="G68" s="734"/>
      <c r="H68" s="734"/>
      <c r="I68" s="736" t="str">
        <f t="shared" si="5"/>
        <v/>
      </c>
      <c r="J68" s="736" t="str">
        <f t="shared" si="6"/>
        <v/>
      </c>
      <c r="K68" s="736" t="str">
        <f t="shared" si="7"/>
        <v/>
      </c>
      <c r="M68" s="620" t="str">
        <f t="shared" si="8"/>
        <v/>
      </c>
      <c r="N68" s="621" t="str">
        <f t="shared" si="0"/>
        <v/>
      </c>
      <c r="O68" s="621" t="str">
        <f t="shared" si="1"/>
        <v/>
      </c>
      <c r="P68" s="765" t="str">
        <f t="shared" si="2"/>
        <v/>
      </c>
      <c r="Q68" s="621" t="str">
        <f t="shared" si="3"/>
        <v/>
      </c>
      <c r="R68" s="706" t="str">
        <f t="shared" si="4"/>
        <v/>
      </c>
      <c r="S68" s="767"/>
    </row>
    <row r="69" spans="3:19" x14ac:dyDescent="0.25">
      <c r="C69" s="622"/>
      <c r="D69" s="623"/>
      <c r="E69" s="618"/>
      <c r="F69" s="624"/>
      <c r="G69" s="734"/>
      <c r="H69" s="734"/>
      <c r="I69" s="736" t="str">
        <f t="shared" si="5"/>
        <v/>
      </c>
      <c r="J69" s="736" t="str">
        <f t="shared" si="6"/>
        <v/>
      </c>
      <c r="K69" s="736" t="str">
        <f t="shared" si="7"/>
        <v/>
      </c>
      <c r="M69" s="620" t="str">
        <f t="shared" si="8"/>
        <v/>
      </c>
      <c r="N69" s="621" t="str">
        <f t="shared" si="0"/>
        <v/>
      </c>
      <c r="O69" s="621" t="str">
        <f t="shared" si="1"/>
        <v/>
      </c>
      <c r="P69" s="765" t="str">
        <f t="shared" si="2"/>
        <v/>
      </c>
      <c r="Q69" s="621" t="str">
        <f t="shared" si="3"/>
        <v/>
      </c>
      <c r="R69" s="706" t="str">
        <f t="shared" si="4"/>
        <v/>
      </c>
      <c r="S69" s="767"/>
    </row>
    <row r="70" spans="3:19" x14ac:dyDescent="0.25">
      <c r="C70" s="622"/>
      <c r="D70" s="623"/>
      <c r="E70" s="618"/>
      <c r="F70" s="624"/>
      <c r="G70" s="734"/>
      <c r="H70" s="734"/>
      <c r="I70" s="736" t="str">
        <f t="shared" si="5"/>
        <v/>
      </c>
      <c r="J70" s="736" t="str">
        <f t="shared" si="6"/>
        <v/>
      </c>
      <c r="K70" s="736" t="str">
        <f t="shared" si="7"/>
        <v/>
      </c>
      <c r="M70" s="620" t="str">
        <f t="shared" si="8"/>
        <v/>
      </c>
      <c r="N70" s="621" t="str">
        <f t="shared" si="0"/>
        <v/>
      </c>
      <c r="O70" s="621" t="str">
        <f t="shared" si="1"/>
        <v/>
      </c>
      <c r="P70" s="765" t="str">
        <f t="shared" si="2"/>
        <v/>
      </c>
      <c r="Q70" s="621" t="str">
        <f t="shared" si="3"/>
        <v/>
      </c>
      <c r="R70" s="706" t="str">
        <f t="shared" si="4"/>
        <v/>
      </c>
      <c r="S70" s="767"/>
    </row>
    <row r="71" spans="3:19" x14ac:dyDescent="0.25">
      <c r="C71" s="622"/>
      <c r="D71" s="623"/>
      <c r="E71" s="618"/>
      <c r="F71" s="624"/>
      <c r="G71" s="734"/>
      <c r="H71" s="734"/>
      <c r="I71" s="736" t="str">
        <f t="shared" si="5"/>
        <v/>
      </c>
      <c r="J71" s="736" t="str">
        <f t="shared" si="6"/>
        <v/>
      </c>
      <c r="K71" s="736" t="str">
        <f t="shared" si="7"/>
        <v/>
      </c>
      <c r="M71" s="620" t="str">
        <f t="shared" si="8"/>
        <v/>
      </c>
      <c r="N71" s="621" t="str">
        <f t="shared" si="0"/>
        <v/>
      </c>
      <c r="O71" s="621" t="str">
        <f t="shared" si="1"/>
        <v/>
      </c>
      <c r="P71" s="765" t="str">
        <f t="shared" si="2"/>
        <v/>
      </c>
      <c r="Q71" s="621" t="str">
        <f t="shared" si="3"/>
        <v/>
      </c>
      <c r="R71" s="706" t="str">
        <f t="shared" si="4"/>
        <v/>
      </c>
      <c r="S71" s="767"/>
    </row>
    <row r="72" spans="3:19" x14ac:dyDescent="0.25">
      <c r="C72" s="622"/>
      <c r="D72" s="623"/>
      <c r="E72" s="618"/>
      <c r="F72" s="624"/>
      <c r="G72" s="734"/>
      <c r="H72" s="734"/>
      <c r="I72" s="736" t="str">
        <f t="shared" si="5"/>
        <v/>
      </c>
      <c r="J72" s="736" t="str">
        <f t="shared" si="6"/>
        <v/>
      </c>
      <c r="K72" s="736" t="str">
        <f t="shared" si="7"/>
        <v/>
      </c>
      <c r="M72" s="620" t="str">
        <f t="shared" si="8"/>
        <v/>
      </c>
      <c r="N72" s="621" t="str">
        <f t="shared" si="0"/>
        <v/>
      </c>
      <c r="O72" s="621" t="str">
        <f t="shared" si="1"/>
        <v/>
      </c>
      <c r="P72" s="765" t="str">
        <f t="shared" si="2"/>
        <v/>
      </c>
      <c r="Q72" s="621" t="str">
        <f t="shared" si="3"/>
        <v/>
      </c>
      <c r="R72" s="706" t="str">
        <f t="shared" si="4"/>
        <v/>
      </c>
      <c r="S72" s="767"/>
    </row>
    <row r="73" spans="3:19" x14ac:dyDescent="0.25">
      <c r="C73" s="622"/>
      <c r="D73" s="623"/>
      <c r="E73" s="618"/>
      <c r="F73" s="624"/>
      <c r="G73" s="734"/>
      <c r="H73" s="734"/>
      <c r="I73" s="736" t="str">
        <f t="shared" si="5"/>
        <v/>
      </c>
      <c r="J73" s="736" t="str">
        <f t="shared" si="6"/>
        <v/>
      </c>
      <c r="K73" s="736" t="str">
        <f t="shared" si="7"/>
        <v/>
      </c>
      <c r="M73" s="620" t="str">
        <f t="shared" si="8"/>
        <v/>
      </c>
      <c r="N73" s="621" t="str">
        <f t="shared" si="0"/>
        <v/>
      </c>
      <c r="O73" s="621" t="str">
        <f t="shared" si="1"/>
        <v/>
      </c>
      <c r="P73" s="765" t="str">
        <f t="shared" si="2"/>
        <v/>
      </c>
      <c r="Q73" s="621" t="str">
        <f t="shared" si="3"/>
        <v/>
      </c>
      <c r="R73" s="706" t="str">
        <f t="shared" si="4"/>
        <v/>
      </c>
      <c r="S73" s="767"/>
    </row>
    <row r="74" spans="3:19" x14ac:dyDescent="0.25">
      <c r="C74" s="622"/>
      <c r="D74" s="623"/>
      <c r="E74" s="618"/>
      <c r="F74" s="624"/>
      <c r="G74" s="734"/>
      <c r="H74" s="734"/>
      <c r="I74" s="736" t="str">
        <f t="shared" si="5"/>
        <v/>
      </c>
      <c r="J74" s="736" t="str">
        <f t="shared" si="6"/>
        <v/>
      </c>
      <c r="K74" s="736" t="str">
        <f t="shared" si="7"/>
        <v/>
      </c>
      <c r="M74" s="620" t="str">
        <f t="shared" si="8"/>
        <v/>
      </c>
      <c r="N74" s="621" t="str">
        <f t="shared" si="0"/>
        <v/>
      </c>
      <c r="O74" s="621" t="str">
        <f t="shared" si="1"/>
        <v/>
      </c>
      <c r="P74" s="765" t="str">
        <f t="shared" si="2"/>
        <v/>
      </c>
      <c r="Q74" s="621" t="str">
        <f t="shared" si="3"/>
        <v/>
      </c>
      <c r="R74" s="706" t="str">
        <f t="shared" si="4"/>
        <v/>
      </c>
      <c r="S74" s="767"/>
    </row>
    <row r="75" spans="3:19" x14ac:dyDescent="0.25">
      <c r="C75" s="622"/>
      <c r="D75" s="623"/>
      <c r="E75" s="618"/>
      <c r="F75" s="624"/>
      <c r="G75" s="734"/>
      <c r="H75" s="734"/>
      <c r="I75" s="736" t="str">
        <f t="shared" si="5"/>
        <v/>
      </c>
      <c r="J75" s="736" t="str">
        <f t="shared" si="6"/>
        <v/>
      </c>
      <c r="K75" s="736" t="str">
        <f t="shared" si="7"/>
        <v/>
      </c>
      <c r="M75" s="620" t="str">
        <f t="shared" si="8"/>
        <v/>
      </c>
      <c r="N75" s="621" t="str">
        <f t="shared" si="0"/>
        <v/>
      </c>
      <c r="O75" s="621" t="str">
        <f t="shared" si="1"/>
        <v/>
      </c>
      <c r="P75" s="765" t="str">
        <f t="shared" si="2"/>
        <v/>
      </c>
      <c r="Q75" s="621" t="str">
        <f t="shared" si="3"/>
        <v/>
      </c>
      <c r="R75" s="706" t="str">
        <f t="shared" si="4"/>
        <v/>
      </c>
      <c r="S75" s="767"/>
    </row>
    <row r="76" spans="3:19" x14ac:dyDescent="0.25">
      <c r="C76" s="622"/>
      <c r="D76" s="623"/>
      <c r="E76" s="618"/>
      <c r="F76" s="624"/>
      <c r="G76" s="734"/>
      <c r="H76" s="734"/>
      <c r="I76" s="736" t="str">
        <f t="shared" si="5"/>
        <v/>
      </c>
      <c r="J76" s="736" t="str">
        <f t="shared" si="6"/>
        <v/>
      </c>
      <c r="K76" s="736" t="str">
        <f t="shared" si="7"/>
        <v/>
      </c>
      <c r="M76" s="620" t="str">
        <f t="shared" si="8"/>
        <v/>
      </c>
      <c r="N76" s="621" t="str">
        <f t="shared" si="0"/>
        <v/>
      </c>
      <c r="O76" s="621" t="str">
        <f t="shared" si="1"/>
        <v/>
      </c>
      <c r="P76" s="765" t="str">
        <f t="shared" si="2"/>
        <v/>
      </c>
      <c r="Q76" s="621" t="str">
        <f t="shared" si="3"/>
        <v/>
      </c>
      <c r="R76" s="706" t="str">
        <f t="shared" si="4"/>
        <v/>
      </c>
      <c r="S76" s="767"/>
    </row>
    <row r="77" spans="3:19" x14ac:dyDescent="0.25">
      <c r="C77" s="622"/>
      <c r="D77" s="623"/>
      <c r="E77" s="618"/>
      <c r="F77" s="624"/>
      <c r="G77" s="734"/>
      <c r="H77" s="734"/>
      <c r="I77" s="736" t="str">
        <f t="shared" si="5"/>
        <v/>
      </c>
      <c r="J77" s="736" t="str">
        <f t="shared" si="6"/>
        <v/>
      </c>
      <c r="K77" s="736" t="str">
        <f t="shared" si="7"/>
        <v/>
      </c>
      <c r="M77" s="620" t="str">
        <f t="shared" si="8"/>
        <v/>
      </c>
      <c r="N77" s="621" t="str">
        <f t="shared" si="0"/>
        <v/>
      </c>
      <c r="O77" s="621" t="str">
        <f t="shared" si="1"/>
        <v/>
      </c>
      <c r="P77" s="765" t="str">
        <f t="shared" si="2"/>
        <v/>
      </c>
      <c r="Q77" s="621" t="str">
        <f t="shared" si="3"/>
        <v/>
      </c>
      <c r="R77" s="706" t="str">
        <f t="shared" si="4"/>
        <v/>
      </c>
      <c r="S77" s="767"/>
    </row>
    <row r="78" spans="3:19" x14ac:dyDescent="0.25">
      <c r="C78" s="622"/>
      <c r="D78" s="623"/>
      <c r="E78" s="618"/>
      <c r="F78" s="624"/>
      <c r="G78" s="734"/>
      <c r="H78" s="734"/>
      <c r="I78" s="736" t="str">
        <f t="shared" si="5"/>
        <v/>
      </c>
      <c r="J78" s="736" t="str">
        <f t="shared" si="6"/>
        <v/>
      </c>
      <c r="K78" s="736" t="str">
        <f t="shared" si="7"/>
        <v/>
      </c>
      <c r="M78" s="620" t="str">
        <f t="shared" si="8"/>
        <v/>
      </c>
      <c r="N78" s="621" t="str">
        <f t="shared" si="0"/>
        <v/>
      </c>
      <c r="O78" s="621" t="str">
        <f t="shared" si="1"/>
        <v/>
      </c>
      <c r="P78" s="765" t="str">
        <f t="shared" si="2"/>
        <v/>
      </c>
      <c r="Q78" s="621" t="str">
        <f t="shared" si="3"/>
        <v/>
      </c>
      <c r="R78" s="706" t="str">
        <f t="shared" si="4"/>
        <v/>
      </c>
      <c r="S78" s="767"/>
    </row>
    <row r="79" spans="3:19" x14ac:dyDescent="0.25">
      <c r="C79" s="622"/>
      <c r="D79" s="623"/>
      <c r="E79" s="618"/>
      <c r="F79" s="624"/>
      <c r="G79" s="734"/>
      <c r="H79" s="734"/>
      <c r="I79" s="736" t="str">
        <f t="shared" si="5"/>
        <v/>
      </c>
      <c r="J79" s="736" t="str">
        <f t="shared" si="6"/>
        <v/>
      </c>
      <c r="K79" s="736" t="str">
        <f t="shared" si="7"/>
        <v/>
      </c>
      <c r="M79" s="620" t="str">
        <f t="shared" si="8"/>
        <v/>
      </c>
      <c r="N79" s="621" t="str">
        <f t="shared" si="0"/>
        <v/>
      </c>
      <c r="O79" s="621" t="str">
        <f t="shared" si="1"/>
        <v/>
      </c>
      <c r="P79" s="765" t="str">
        <f t="shared" si="2"/>
        <v/>
      </c>
      <c r="Q79" s="621" t="str">
        <f t="shared" si="3"/>
        <v/>
      </c>
      <c r="R79" s="706" t="str">
        <f t="shared" si="4"/>
        <v/>
      </c>
      <c r="S79" s="767"/>
    </row>
    <row r="80" spans="3:19" x14ac:dyDescent="0.25">
      <c r="C80" s="622"/>
      <c r="D80" s="623"/>
      <c r="E80" s="618"/>
      <c r="F80" s="624"/>
      <c r="G80" s="734"/>
      <c r="H80" s="734"/>
      <c r="I80" s="736" t="str">
        <f t="shared" si="5"/>
        <v/>
      </c>
      <c r="J80" s="736" t="str">
        <f t="shared" si="6"/>
        <v/>
      </c>
      <c r="K80" s="736" t="str">
        <f t="shared" si="7"/>
        <v/>
      </c>
      <c r="M80" s="620" t="str">
        <f t="shared" si="8"/>
        <v/>
      </c>
      <c r="N80" s="621" t="str">
        <f t="shared" si="0"/>
        <v/>
      </c>
      <c r="O80" s="621" t="str">
        <f t="shared" si="1"/>
        <v/>
      </c>
      <c r="P80" s="765" t="str">
        <f t="shared" si="2"/>
        <v/>
      </c>
      <c r="Q80" s="621" t="str">
        <f t="shared" si="3"/>
        <v/>
      </c>
      <c r="R80" s="706" t="str">
        <f t="shared" si="4"/>
        <v/>
      </c>
      <c r="S80" s="767"/>
    </row>
    <row r="81" spans="3:19" x14ac:dyDescent="0.25">
      <c r="C81" s="622"/>
      <c r="D81" s="623"/>
      <c r="E81" s="618"/>
      <c r="F81" s="624"/>
      <c r="G81" s="734"/>
      <c r="H81" s="734"/>
      <c r="I81" s="736" t="str">
        <f t="shared" si="5"/>
        <v/>
      </c>
      <c r="J81" s="736" t="str">
        <f t="shared" si="6"/>
        <v/>
      </c>
      <c r="K81" s="736" t="str">
        <f t="shared" si="7"/>
        <v/>
      </c>
      <c r="M81" s="620" t="str">
        <f t="shared" si="8"/>
        <v/>
      </c>
      <c r="N81" s="621" t="str">
        <f t="shared" si="0"/>
        <v/>
      </c>
      <c r="O81" s="621" t="str">
        <f t="shared" si="1"/>
        <v/>
      </c>
      <c r="P81" s="765" t="str">
        <f t="shared" si="2"/>
        <v/>
      </c>
      <c r="Q81" s="621" t="str">
        <f t="shared" si="3"/>
        <v/>
      </c>
      <c r="R81" s="706" t="str">
        <f t="shared" si="4"/>
        <v/>
      </c>
      <c r="S81" s="767"/>
    </row>
    <row r="82" spans="3:19" x14ac:dyDescent="0.25">
      <c r="C82" s="622"/>
      <c r="D82" s="623"/>
      <c r="E82" s="618"/>
      <c r="F82" s="624"/>
      <c r="G82" s="734"/>
      <c r="H82" s="734"/>
      <c r="I82" s="736" t="str">
        <f t="shared" si="5"/>
        <v/>
      </c>
      <c r="J82" s="736" t="str">
        <f t="shared" si="6"/>
        <v/>
      </c>
      <c r="K82" s="736" t="str">
        <f t="shared" si="7"/>
        <v/>
      </c>
      <c r="M82" s="620" t="str">
        <f t="shared" si="8"/>
        <v/>
      </c>
      <c r="N82" s="621" t="str">
        <f t="shared" si="0"/>
        <v/>
      </c>
      <c r="O82" s="621" t="str">
        <f t="shared" si="1"/>
        <v/>
      </c>
      <c r="P82" s="765" t="str">
        <f t="shared" si="2"/>
        <v/>
      </c>
      <c r="Q82" s="621" t="str">
        <f t="shared" si="3"/>
        <v/>
      </c>
      <c r="R82" s="706" t="str">
        <f t="shared" si="4"/>
        <v/>
      </c>
      <c r="S82" s="767"/>
    </row>
    <row r="83" spans="3:19" x14ac:dyDescent="0.25">
      <c r="C83" s="622"/>
      <c r="D83" s="623"/>
      <c r="E83" s="618"/>
      <c r="F83" s="624"/>
      <c r="G83" s="734"/>
      <c r="H83" s="734"/>
      <c r="I83" s="736" t="str">
        <f t="shared" si="5"/>
        <v/>
      </c>
      <c r="J83" s="736" t="str">
        <f t="shared" si="6"/>
        <v/>
      </c>
      <c r="K83" s="736" t="str">
        <f t="shared" si="7"/>
        <v/>
      </c>
      <c r="M83" s="620" t="str">
        <f t="shared" si="8"/>
        <v/>
      </c>
      <c r="N83" s="621" t="str">
        <f t="shared" si="0"/>
        <v/>
      </c>
      <c r="O83" s="621" t="str">
        <f t="shared" si="1"/>
        <v/>
      </c>
      <c r="P83" s="765" t="str">
        <f t="shared" si="2"/>
        <v/>
      </c>
      <c r="Q83" s="621" t="str">
        <f t="shared" si="3"/>
        <v/>
      </c>
      <c r="R83" s="706" t="str">
        <f t="shared" si="4"/>
        <v/>
      </c>
      <c r="S83" s="767"/>
    </row>
    <row r="84" spans="3:19" x14ac:dyDescent="0.25">
      <c r="C84" s="622"/>
      <c r="D84" s="623"/>
      <c r="E84" s="618"/>
      <c r="F84" s="624"/>
      <c r="G84" s="734"/>
      <c r="H84" s="734"/>
      <c r="I84" s="736" t="str">
        <f t="shared" si="5"/>
        <v/>
      </c>
      <c r="J84" s="736" t="str">
        <f t="shared" si="6"/>
        <v/>
      </c>
      <c r="K84" s="736" t="str">
        <f t="shared" si="7"/>
        <v/>
      </c>
      <c r="M84" s="620" t="str">
        <f t="shared" si="8"/>
        <v/>
      </c>
      <c r="N84" s="621" t="str">
        <f t="shared" si="0"/>
        <v/>
      </c>
      <c r="O84" s="621" t="str">
        <f t="shared" si="1"/>
        <v/>
      </c>
      <c r="P84" s="765" t="str">
        <f t="shared" si="2"/>
        <v/>
      </c>
      <c r="Q84" s="621" t="str">
        <f t="shared" si="3"/>
        <v/>
      </c>
      <c r="R84" s="706" t="str">
        <f t="shared" si="4"/>
        <v/>
      </c>
      <c r="S84" s="767"/>
    </row>
    <row r="85" spans="3:19" x14ac:dyDescent="0.25">
      <c r="C85" s="622"/>
      <c r="D85" s="623"/>
      <c r="E85" s="618"/>
      <c r="F85" s="624"/>
      <c r="G85" s="734"/>
      <c r="H85" s="734"/>
      <c r="I85" s="736" t="str">
        <f t="shared" si="5"/>
        <v/>
      </c>
      <c r="J85" s="736" t="str">
        <f t="shared" si="6"/>
        <v/>
      </c>
      <c r="K85" s="736" t="str">
        <f t="shared" si="7"/>
        <v/>
      </c>
      <c r="M85" s="620" t="str">
        <f t="shared" si="8"/>
        <v/>
      </c>
      <c r="N85" s="621" t="str">
        <f t="shared" si="0"/>
        <v/>
      </c>
      <c r="O85" s="621" t="str">
        <f t="shared" si="1"/>
        <v/>
      </c>
      <c r="P85" s="765" t="str">
        <f t="shared" si="2"/>
        <v/>
      </c>
      <c r="Q85" s="621" t="str">
        <f t="shared" si="3"/>
        <v/>
      </c>
      <c r="R85" s="706" t="str">
        <f t="shared" si="4"/>
        <v/>
      </c>
      <c r="S85" s="767"/>
    </row>
    <row r="86" spans="3:19" x14ac:dyDescent="0.25">
      <c r="C86" s="622"/>
      <c r="D86" s="623"/>
      <c r="E86" s="618"/>
      <c r="F86" s="624"/>
      <c r="G86" s="734"/>
      <c r="H86" s="734"/>
      <c r="I86" s="736" t="str">
        <f t="shared" si="5"/>
        <v/>
      </c>
      <c r="J86" s="736" t="str">
        <f t="shared" si="6"/>
        <v/>
      </c>
      <c r="K86" s="736" t="str">
        <f t="shared" si="7"/>
        <v/>
      </c>
      <c r="M86" s="620" t="str">
        <f t="shared" si="8"/>
        <v/>
      </c>
      <c r="N86" s="621" t="str">
        <f t="shared" si="0"/>
        <v/>
      </c>
      <c r="O86" s="621" t="str">
        <f t="shared" si="1"/>
        <v/>
      </c>
      <c r="P86" s="765" t="str">
        <f t="shared" si="2"/>
        <v/>
      </c>
      <c r="Q86" s="621" t="str">
        <f t="shared" si="3"/>
        <v/>
      </c>
      <c r="R86" s="706" t="str">
        <f t="shared" si="4"/>
        <v/>
      </c>
      <c r="S86" s="767"/>
    </row>
    <row r="87" spans="3:19" x14ac:dyDescent="0.25">
      <c r="C87" s="622"/>
      <c r="D87" s="623"/>
      <c r="E87" s="618"/>
      <c r="F87" s="624"/>
      <c r="G87" s="734"/>
      <c r="H87" s="734"/>
      <c r="I87" s="736" t="str">
        <f t="shared" si="5"/>
        <v/>
      </c>
      <c r="J87" s="736" t="str">
        <f t="shared" si="6"/>
        <v/>
      </c>
      <c r="K87" s="736" t="str">
        <f t="shared" si="7"/>
        <v/>
      </c>
      <c r="M87" s="620" t="str">
        <f t="shared" si="8"/>
        <v/>
      </c>
      <c r="N87" s="621" t="str">
        <f t="shared" si="0"/>
        <v/>
      </c>
      <c r="O87" s="621" t="str">
        <f t="shared" si="1"/>
        <v/>
      </c>
      <c r="P87" s="765" t="str">
        <f t="shared" si="2"/>
        <v/>
      </c>
      <c r="Q87" s="621" t="str">
        <f t="shared" si="3"/>
        <v/>
      </c>
      <c r="R87" s="706" t="str">
        <f t="shared" si="4"/>
        <v/>
      </c>
      <c r="S87" s="767"/>
    </row>
    <row r="88" spans="3:19" x14ac:dyDescent="0.25">
      <c r="C88" s="622"/>
      <c r="D88" s="623"/>
      <c r="E88" s="618"/>
      <c r="F88" s="624"/>
      <c r="G88" s="734"/>
      <c r="H88" s="734"/>
      <c r="I88" s="736" t="str">
        <f t="shared" si="5"/>
        <v/>
      </c>
      <c r="J88" s="736" t="str">
        <f t="shared" si="6"/>
        <v/>
      </c>
      <c r="K88" s="736" t="str">
        <f t="shared" si="7"/>
        <v/>
      </c>
      <c r="M88" s="620" t="str">
        <f t="shared" si="8"/>
        <v/>
      </c>
      <c r="N88" s="621" t="str">
        <f t="shared" si="0"/>
        <v/>
      </c>
      <c r="O88" s="621" t="str">
        <f t="shared" si="1"/>
        <v/>
      </c>
      <c r="P88" s="765" t="str">
        <f t="shared" si="2"/>
        <v/>
      </c>
      <c r="Q88" s="621" t="str">
        <f t="shared" si="3"/>
        <v/>
      </c>
      <c r="R88" s="706" t="str">
        <f t="shared" si="4"/>
        <v/>
      </c>
      <c r="S88" s="767"/>
    </row>
    <row r="89" spans="3:19" x14ac:dyDescent="0.25">
      <c r="C89" s="622"/>
      <c r="D89" s="623"/>
      <c r="E89" s="618"/>
      <c r="F89" s="624"/>
      <c r="G89" s="734"/>
      <c r="H89" s="734"/>
      <c r="I89" s="736" t="str">
        <f t="shared" si="5"/>
        <v/>
      </c>
      <c r="J89" s="736" t="str">
        <f t="shared" si="6"/>
        <v/>
      </c>
      <c r="K89" s="736" t="str">
        <f t="shared" si="7"/>
        <v/>
      </c>
      <c r="M89" s="620" t="str">
        <f t="shared" si="8"/>
        <v/>
      </c>
      <c r="N89" s="621" t="str">
        <f t="shared" si="0"/>
        <v/>
      </c>
      <c r="O89" s="621" t="str">
        <f t="shared" si="1"/>
        <v/>
      </c>
      <c r="P89" s="765" t="str">
        <f t="shared" si="2"/>
        <v/>
      </c>
      <c r="Q89" s="621" t="str">
        <f t="shared" si="3"/>
        <v/>
      </c>
      <c r="R89" s="706" t="str">
        <f t="shared" si="4"/>
        <v/>
      </c>
      <c r="S89" s="767"/>
    </row>
    <row r="90" spans="3:19" x14ac:dyDescent="0.25">
      <c r="C90" s="622"/>
      <c r="D90" s="623"/>
      <c r="E90" s="618"/>
      <c r="F90" s="624"/>
      <c r="G90" s="734"/>
      <c r="H90" s="734"/>
      <c r="I90" s="736" t="str">
        <f t="shared" si="5"/>
        <v/>
      </c>
      <c r="J90" s="736" t="str">
        <f t="shared" si="6"/>
        <v/>
      </c>
      <c r="K90" s="736" t="str">
        <f t="shared" si="7"/>
        <v/>
      </c>
      <c r="M90" s="620" t="str">
        <f t="shared" si="8"/>
        <v/>
      </c>
      <c r="N90" s="621" t="str">
        <f t="shared" si="0"/>
        <v/>
      </c>
      <c r="O90" s="621" t="str">
        <f t="shared" si="1"/>
        <v/>
      </c>
      <c r="P90" s="765" t="str">
        <f t="shared" si="2"/>
        <v/>
      </c>
      <c r="Q90" s="621" t="str">
        <f t="shared" si="3"/>
        <v/>
      </c>
      <c r="R90" s="706" t="str">
        <f t="shared" si="4"/>
        <v/>
      </c>
      <c r="S90" s="767"/>
    </row>
    <row r="91" spans="3:19" x14ac:dyDescent="0.25">
      <c r="C91" s="622"/>
      <c r="D91" s="623"/>
      <c r="E91" s="618"/>
      <c r="F91" s="624"/>
      <c r="G91" s="734"/>
      <c r="H91" s="734"/>
      <c r="I91" s="736" t="str">
        <f t="shared" si="5"/>
        <v/>
      </c>
      <c r="J91" s="736" t="str">
        <f t="shared" si="6"/>
        <v/>
      </c>
      <c r="K91" s="736" t="str">
        <f t="shared" si="7"/>
        <v/>
      </c>
      <c r="M91" s="620" t="str">
        <f t="shared" si="8"/>
        <v/>
      </c>
      <c r="N91" s="621" t="str">
        <f t="shared" ref="N91:N122" si="9">IFERROR(INDEX(CNTR_FuelListIsZero, MATCH(E91, CNTR_FuelListNames, 0)),"")</f>
        <v/>
      </c>
      <c r="O91" s="621" t="str">
        <f t="shared" ref="O91:O122" si="10">IF(E91="","",IFERROR(NOT(ISNUMBER(INDEX(CNTR_FuelListSupportRate, MATCH(E91, CNTR_FuelListNames, 0)))),  ""))</f>
        <v/>
      </c>
      <c r="P91" s="765" t="str">
        <f t="shared" ref="P91:P122" si="11">IFERROR( OR( INDEX(CNTR_FuelListCompleteData, MATCH(E91, CNTR_FuelListNames, 0)) = FALSE,   INDEX(CNTR_FuelListIsFossil, MATCH(E91, CNTR_FuelListNames, 0)) = TRUE),  "")</f>
        <v/>
      </c>
      <c r="Q91" s="621" t="str">
        <f t="shared" ref="Q91:Q122" si="12">IFERROR(IF(INDEX(CNTR_FuelListSubType, MATCH(E91, CNTR_FuelListNames, 0)) = "",  "",  INDEX(CNTR_FuelListSubType, MATCH(E91, CNTR_FuelListNames, 0))),  "")</f>
        <v/>
      </c>
      <c r="R91" s="706" t="str">
        <f t="shared" ref="R91:R122" si="13">IFERROR(IF( AND(D91=TRUE, ISNUMBER(INDEX(CNTR_FuelListSupportRate, MATCH( E91, CNTR_FuelListNames, 0)))),   1,   INDEX(CNTR_FuelListSupportRate, MATCH(E91, CNTR_FuelListNames, 0))),  "")</f>
        <v/>
      </c>
      <c r="S91" s="767"/>
    </row>
    <row r="92" spans="3:19" x14ac:dyDescent="0.25">
      <c r="C92" s="622"/>
      <c r="D92" s="623"/>
      <c r="E92" s="618"/>
      <c r="F92" s="624"/>
      <c r="G92" s="734"/>
      <c r="H92" s="734"/>
      <c r="I92" s="736" t="str">
        <f t="shared" si="5"/>
        <v/>
      </c>
      <c r="J92" s="736" t="str">
        <f t="shared" si="6"/>
        <v/>
      </c>
      <c r="K92" s="736" t="str">
        <f t="shared" si="7"/>
        <v/>
      </c>
      <c r="M92" s="620" t="str">
        <f t="shared" si="8"/>
        <v/>
      </c>
      <c r="N92" s="621" t="str">
        <f t="shared" si="9"/>
        <v/>
      </c>
      <c r="O92" s="621" t="str">
        <f t="shared" si="10"/>
        <v/>
      </c>
      <c r="P92" s="765" t="str">
        <f t="shared" si="11"/>
        <v/>
      </c>
      <c r="Q92" s="621" t="str">
        <f t="shared" si="12"/>
        <v/>
      </c>
      <c r="R92" s="706" t="str">
        <f t="shared" si="13"/>
        <v/>
      </c>
      <c r="S92" s="767"/>
    </row>
    <row r="93" spans="3:19" x14ac:dyDescent="0.25">
      <c r="C93" s="622"/>
      <c r="D93" s="623"/>
      <c r="E93" s="618"/>
      <c r="F93" s="624"/>
      <c r="G93" s="734"/>
      <c r="H93" s="734"/>
      <c r="I93" s="736" t="str">
        <f t="shared" si="5"/>
        <v/>
      </c>
      <c r="J93" s="736" t="str">
        <f t="shared" si="6"/>
        <v/>
      </c>
      <c r="K93" s="736" t="str">
        <f t="shared" si="7"/>
        <v/>
      </c>
      <c r="M93" s="620" t="str">
        <f t="shared" si="8"/>
        <v/>
      </c>
      <c r="N93" s="621" t="str">
        <f t="shared" si="9"/>
        <v/>
      </c>
      <c r="O93" s="621" t="str">
        <f t="shared" si="10"/>
        <v/>
      </c>
      <c r="P93" s="765" t="str">
        <f t="shared" si="11"/>
        <v/>
      </c>
      <c r="Q93" s="621" t="str">
        <f t="shared" si="12"/>
        <v/>
      </c>
      <c r="R93" s="706" t="str">
        <f t="shared" si="13"/>
        <v/>
      </c>
      <c r="S93" s="767"/>
    </row>
    <row r="94" spans="3:19" x14ac:dyDescent="0.25">
      <c r="C94" s="622"/>
      <c r="D94" s="623"/>
      <c r="E94" s="618"/>
      <c r="F94" s="624"/>
      <c r="G94" s="734"/>
      <c r="H94" s="734"/>
      <c r="I94" s="736" t="str">
        <f t="shared" si="5"/>
        <v/>
      </c>
      <c r="J94" s="736" t="str">
        <f t="shared" si="6"/>
        <v/>
      </c>
      <c r="K94" s="736" t="str">
        <f t="shared" si="7"/>
        <v/>
      </c>
      <c r="M94" s="620" t="str">
        <f t="shared" si="8"/>
        <v/>
      </c>
      <c r="N94" s="621" t="str">
        <f t="shared" si="9"/>
        <v/>
      </c>
      <c r="O94" s="621" t="str">
        <f t="shared" si="10"/>
        <v/>
      </c>
      <c r="P94" s="765" t="str">
        <f t="shared" si="11"/>
        <v/>
      </c>
      <c r="Q94" s="621" t="str">
        <f t="shared" si="12"/>
        <v/>
      </c>
      <c r="R94" s="706" t="str">
        <f t="shared" si="13"/>
        <v/>
      </c>
      <c r="S94" s="767"/>
    </row>
    <row r="95" spans="3:19" x14ac:dyDescent="0.25">
      <c r="C95" s="622"/>
      <c r="D95" s="623"/>
      <c r="E95" s="618"/>
      <c r="F95" s="624"/>
      <c r="G95" s="734"/>
      <c r="H95" s="734"/>
      <c r="I95" s="736" t="str">
        <f t="shared" si="5"/>
        <v/>
      </c>
      <c r="J95" s="736" t="str">
        <f t="shared" si="6"/>
        <v/>
      </c>
      <c r="K95" s="736" t="str">
        <f t="shared" si="7"/>
        <v/>
      </c>
      <c r="M95" s="620" t="str">
        <f t="shared" si="8"/>
        <v/>
      </c>
      <c r="N95" s="621" t="str">
        <f t="shared" si="9"/>
        <v/>
      </c>
      <c r="O95" s="621" t="str">
        <f t="shared" si="10"/>
        <v/>
      </c>
      <c r="P95" s="765" t="str">
        <f t="shared" si="11"/>
        <v/>
      </c>
      <c r="Q95" s="621" t="str">
        <f t="shared" si="12"/>
        <v/>
      </c>
      <c r="R95" s="706" t="str">
        <f t="shared" si="13"/>
        <v/>
      </c>
      <c r="S95" s="767"/>
    </row>
    <row r="96" spans="3:19" x14ac:dyDescent="0.25">
      <c r="C96" s="622"/>
      <c r="D96" s="623"/>
      <c r="E96" s="618"/>
      <c r="F96" s="624"/>
      <c r="G96" s="734"/>
      <c r="H96" s="734"/>
      <c r="I96" s="736" t="str">
        <f t="shared" si="5"/>
        <v/>
      </c>
      <c r="J96" s="736" t="str">
        <f t="shared" si="6"/>
        <v/>
      </c>
      <c r="K96" s="736" t="str">
        <f t="shared" si="7"/>
        <v/>
      </c>
      <c r="M96" s="620" t="str">
        <f t="shared" si="8"/>
        <v/>
      </c>
      <c r="N96" s="621" t="str">
        <f t="shared" si="9"/>
        <v/>
      </c>
      <c r="O96" s="621" t="str">
        <f t="shared" si="10"/>
        <v/>
      </c>
      <c r="P96" s="765" t="str">
        <f t="shared" si="11"/>
        <v/>
      </c>
      <c r="Q96" s="621" t="str">
        <f t="shared" si="12"/>
        <v/>
      </c>
      <c r="R96" s="706" t="str">
        <f t="shared" si="13"/>
        <v/>
      </c>
      <c r="S96" s="767"/>
    </row>
    <row r="97" spans="3:19" x14ac:dyDescent="0.25">
      <c r="C97" s="622"/>
      <c r="D97" s="623"/>
      <c r="E97" s="618"/>
      <c r="F97" s="624"/>
      <c r="G97" s="734"/>
      <c r="H97" s="734"/>
      <c r="I97" s="736" t="str">
        <f t="shared" si="5"/>
        <v/>
      </c>
      <c r="J97" s="736" t="str">
        <f t="shared" si="6"/>
        <v/>
      </c>
      <c r="K97" s="736" t="str">
        <f t="shared" si="7"/>
        <v/>
      </c>
      <c r="M97" s="620" t="str">
        <f t="shared" si="8"/>
        <v/>
      </c>
      <c r="N97" s="621" t="str">
        <f t="shared" si="9"/>
        <v/>
      </c>
      <c r="O97" s="621" t="str">
        <f t="shared" si="10"/>
        <v/>
      </c>
      <c r="P97" s="765" t="str">
        <f t="shared" si="11"/>
        <v/>
      </c>
      <c r="Q97" s="621" t="str">
        <f t="shared" si="12"/>
        <v/>
      </c>
      <c r="R97" s="706" t="str">
        <f t="shared" si="13"/>
        <v/>
      </c>
      <c r="S97" s="767"/>
    </row>
    <row r="98" spans="3:19" x14ac:dyDescent="0.25">
      <c r="C98" s="622"/>
      <c r="D98" s="623"/>
      <c r="E98" s="618"/>
      <c r="F98" s="624"/>
      <c r="G98" s="734"/>
      <c r="H98" s="734"/>
      <c r="I98" s="736" t="str">
        <f t="shared" si="5"/>
        <v/>
      </c>
      <c r="J98" s="736" t="str">
        <f t="shared" si="6"/>
        <v/>
      </c>
      <c r="K98" s="736" t="str">
        <f t="shared" si="7"/>
        <v/>
      </c>
      <c r="M98" s="620" t="str">
        <f t="shared" si="8"/>
        <v/>
      </c>
      <c r="N98" s="621" t="str">
        <f t="shared" si="9"/>
        <v/>
      </c>
      <c r="O98" s="621" t="str">
        <f t="shared" si="10"/>
        <v/>
      </c>
      <c r="P98" s="765" t="str">
        <f t="shared" si="11"/>
        <v/>
      </c>
      <c r="Q98" s="621" t="str">
        <f t="shared" si="12"/>
        <v/>
      </c>
      <c r="R98" s="706" t="str">
        <f t="shared" si="13"/>
        <v/>
      </c>
      <c r="S98" s="767"/>
    </row>
    <row r="99" spans="3:19" x14ac:dyDescent="0.25">
      <c r="C99" s="622"/>
      <c r="D99" s="623"/>
      <c r="E99" s="618"/>
      <c r="F99" s="624"/>
      <c r="G99" s="734"/>
      <c r="H99" s="734"/>
      <c r="I99" s="736" t="str">
        <f t="shared" si="5"/>
        <v/>
      </c>
      <c r="J99" s="736" t="str">
        <f t="shared" si="6"/>
        <v/>
      </c>
      <c r="K99" s="736" t="str">
        <f t="shared" si="7"/>
        <v/>
      </c>
      <c r="M99" s="620" t="str">
        <f t="shared" si="8"/>
        <v/>
      </c>
      <c r="N99" s="621" t="str">
        <f t="shared" si="9"/>
        <v/>
      </c>
      <c r="O99" s="621" t="str">
        <f t="shared" si="10"/>
        <v/>
      </c>
      <c r="P99" s="765" t="str">
        <f t="shared" si="11"/>
        <v/>
      </c>
      <c r="Q99" s="621" t="str">
        <f t="shared" si="12"/>
        <v/>
      </c>
      <c r="R99" s="706" t="str">
        <f t="shared" si="13"/>
        <v/>
      </c>
      <c r="S99" s="767"/>
    </row>
    <row r="100" spans="3:19" x14ac:dyDescent="0.25">
      <c r="C100" s="622"/>
      <c r="D100" s="623"/>
      <c r="E100" s="618"/>
      <c r="F100" s="624"/>
      <c r="G100" s="734"/>
      <c r="H100" s="734"/>
      <c r="I100" s="736" t="str">
        <f t="shared" si="5"/>
        <v/>
      </c>
      <c r="J100" s="736" t="str">
        <f t="shared" si="6"/>
        <v/>
      </c>
      <c r="K100" s="736" t="str">
        <f t="shared" si="7"/>
        <v/>
      </c>
      <c r="M100" s="620" t="str">
        <f t="shared" si="8"/>
        <v/>
      </c>
      <c r="N100" s="621" t="str">
        <f t="shared" si="9"/>
        <v/>
      </c>
      <c r="O100" s="621" t="str">
        <f t="shared" si="10"/>
        <v/>
      </c>
      <c r="P100" s="765" t="str">
        <f t="shared" si="11"/>
        <v/>
      </c>
      <c r="Q100" s="621" t="str">
        <f t="shared" si="12"/>
        <v/>
      </c>
      <c r="R100" s="706" t="str">
        <f t="shared" si="13"/>
        <v/>
      </c>
      <c r="S100" s="767"/>
    </row>
    <row r="101" spans="3:19" x14ac:dyDescent="0.25">
      <c r="C101" s="622"/>
      <c r="D101" s="623"/>
      <c r="E101" s="618"/>
      <c r="F101" s="624"/>
      <c r="G101" s="734"/>
      <c r="H101" s="734"/>
      <c r="I101" s="736" t="str">
        <f t="shared" si="5"/>
        <v/>
      </c>
      <c r="J101" s="736" t="str">
        <f t="shared" si="6"/>
        <v/>
      </c>
      <c r="K101" s="736" t="str">
        <f t="shared" si="7"/>
        <v/>
      </c>
      <c r="M101" s="620" t="str">
        <f t="shared" si="8"/>
        <v/>
      </c>
      <c r="N101" s="621" t="str">
        <f t="shared" si="9"/>
        <v/>
      </c>
      <c r="O101" s="621" t="str">
        <f t="shared" si="10"/>
        <v/>
      </c>
      <c r="P101" s="765" t="str">
        <f t="shared" si="11"/>
        <v/>
      </c>
      <c r="Q101" s="621" t="str">
        <f t="shared" si="12"/>
        <v/>
      </c>
      <c r="R101" s="706" t="str">
        <f t="shared" si="13"/>
        <v/>
      </c>
      <c r="S101" s="767"/>
    </row>
    <row r="102" spans="3:19" x14ac:dyDescent="0.25">
      <c r="C102" s="622"/>
      <c r="D102" s="623"/>
      <c r="E102" s="618"/>
      <c r="F102" s="624"/>
      <c r="G102" s="734"/>
      <c r="H102" s="734"/>
      <c r="I102" s="736" t="str">
        <f t="shared" si="5"/>
        <v/>
      </c>
      <c r="J102" s="736" t="str">
        <f t="shared" si="6"/>
        <v/>
      </c>
      <c r="K102" s="736" t="str">
        <f t="shared" si="7"/>
        <v/>
      </c>
      <c r="M102" s="620" t="str">
        <f t="shared" si="8"/>
        <v/>
      </c>
      <c r="N102" s="621" t="str">
        <f t="shared" si="9"/>
        <v/>
      </c>
      <c r="O102" s="621" t="str">
        <f t="shared" si="10"/>
        <v/>
      </c>
      <c r="P102" s="765" t="str">
        <f t="shared" si="11"/>
        <v/>
      </c>
      <c r="Q102" s="621" t="str">
        <f t="shared" si="12"/>
        <v/>
      </c>
      <c r="R102" s="706" t="str">
        <f t="shared" si="13"/>
        <v/>
      </c>
      <c r="S102" s="767"/>
    </row>
    <row r="103" spans="3:19" x14ac:dyDescent="0.25">
      <c r="C103" s="622"/>
      <c r="D103" s="623"/>
      <c r="E103" s="618"/>
      <c r="F103" s="624"/>
      <c r="G103" s="734"/>
      <c r="H103" s="734"/>
      <c r="I103" s="736" t="str">
        <f t="shared" si="5"/>
        <v/>
      </c>
      <c r="J103" s="736" t="str">
        <f t="shared" si="6"/>
        <v/>
      </c>
      <c r="K103" s="736" t="str">
        <f t="shared" si="7"/>
        <v/>
      </c>
      <c r="M103" s="620" t="str">
        <f t="shared" si="8"/>
        <v/>
      </c>
      <c r="N103" s="621" t="str">
        <f t="shared" si="9"/>
        <v/>
      </c>
      <c r="O103" s="621" t="str">
        <f t="shared" si="10"/>
        <v/>
      </c>
      <c r="P103" s="765" t="str">
        <f t="shared" si="11"/>
        <v/>
      </c>
      <c r="Q103" s="621" t="str">
        <f t="shared" si="12"/>
        <v/>
      </c>
      <c r="R103" s="706" t="str">
        <f t="shared" si="13"/>
        <v/>
      </c>
      <c r="S103" s="767"/>
    </row>
    <row r="104" spans="3:19" x14ac:dyDescent="0.25">
      <c r="C104" s="622"/>
      <c r="D104" s="623"/>
      <c r="E104" s="618"/>
      <c r="F104" s="624"/>
      <c r="G104" s="734"/>
      <c r="H104" s="734"/>
      <c r="I104" s="736" t="str">
        <f t="shared" si="5"/>
        <v/>
      </c>
      <c r="J104" s="736" t="str">
        <f t="shared" si="6"/>
        <v/>
      </c>
      <c r="K104" s="736" t="str">
        <f t="shared" si="7"/>
        <v/>
      </c>
      <c r="M104" s="620" t="str">
        <f t="shared" si="8"/>
        <v/>
      </c>
      <c r="N104" s="621" t="str">
        <f t="shared" si="9"/>
        <v/>
      </c>
      <c r="O104" s="621" t="str">
        <f t="shared" si="10"/>
        <v/>
      </c>
      <c r="P104" s="765" t="str">
        <f t="shared" si="11"/>
        <v/>
      </c>
      <c r="Q104" s="621" t="str">
        <f t="shared" si="12"/>
        <v/>
      </c>
      <c r="R104" s="706" t="str">
        <f t="shared" si="13"/>
        <v/>
      </c>
      <c r="S104" s="767"/>
    </row>
    <row r="105" spans="3:19" x14ac:dyDescent="0.25">
      <c r="C105" s="622"/>
      <c r="D105" s="623"/>
      <c r="E105" s="618"/>
      <c r="F105" s="624"/>
      <c r="G105" s="734"/>
      <c r="H105" s="734"/>
      <c r="I105" s="736" t="str">
        <f t="shared" si="5"/>
        <v/>
      </c>
      <c r="J105" s="736" t="str">
        <f t="shared" si="6"/>
        <v/>
      </c>
      <c r="K105" s="736" t="str">
        <f t="shared" si="7"/>
        <v/>
      </c>
      <c r="M105" s="620" t="str">
        <f t="shared" si="8"/>
        <v/>
      </c>
      <c r="N105" s="621" t="str">
        <f t="shared" si="9"/>
        <v/>
      </c>
      <c r="O105" s="621" t="str">
        <f t="shared" si="10"/>
        <v/>
      </c>
      <c r="P105" s="765" t="str">
        <f t="shared" si="11"/>
        <v/>
      </c>
      <c r="Q105" s="621" t="str">
        <f t="shared" si="12"/>
        <v/>
      </c>
      <c r="R105" s="706" t="str">
        <f t="shared" si="13"/>
        <v/>
      </c>
      <c r="S105" s="767"/>
    </row>
    <row r="106" spans="3:19" x14ac:dyDescent="0.25">
      <c r="C106" s="622"/>
      <c r="D106" s="623"/>
      <c r="E106" s="618"/>
      <c r="F106" s="624"/>
      <c r="G106" s="734"/>
      <c r="H106" s="734"/>
      <c r="I106" s="736" t="str">
        <f t="shared" si="5"/>
        <v/>
      </c>
      <c r="J106" s="736" t="str">
        <f t="shared" si="6"/>
        <v/>
      </c>
      <c r="K106" s="736" t="str">
        <f t="shared" si="7"/>
        <v/>
      </c>
      <c r="M106" s="620" t="str">
        <f t="shared" si="8"/>
        <v/>
      </c>
      <c r="N106" s="621" t="str">
        <f t="shared" si="9"/>
        <v/>
      </c>
      <c r="O106" s="621" t="str">
        <f t="shared" si="10"/>
        <v/>
      </c>
      <c r="P106" s="765" t="str">
        <f t="shared" si="11"/>
        <v/>
      </c>
      <c r="Q106" s="621" t="str">
        <f t="shared" si="12"/>
        <v/>
      </c>
      <c r="R106" s="706" t="str">
        <f t="shared" si="13"/>
        <v/>
      </c>
      <c r="S106" s="767"/>
    </row>
    <row r="107" spans="3:19" x14ac:dyDescent="0.25">
      <c r="C107" s="622"/>
      <c r="D107" s="623"/>
      <c r="E107" s="618"/>
      <c r="F107" s="624"/>
      <c r="G107" s="734"/>
      <c r="H107" s="734"/>
      <c r="I107" s="736" t="str">
        <f t="shared" si="5"/>
        <v/>
      </c>
      <c r="J107" s="736" t="str">
        <f t="shared" si="6"/>
        <v/>
      </c>
      <c r="K107" s="736" t="str">
        <f t="shared" si="7"/>
        <v/>
      </c>
      <c r="M107" s="620" t="str">
        <f t="shared" si="8"/>
        <v/>
      </c>
      <c r="N107" s="621" t="str">
        <f t="shared" si="9"/>
        <v/>
      </c>
      <c r="O107" s="621" t="str">
        <f t="shared" si="10"/>
        <v/>
      </c>
      <c r="P107" s="765" t="str">
        <f t="shared" si="11"/>
        <v/>
      </c>
      <c r="Q107" s="621" t="str">
        <f t="shared" si="12"/>
        <v/>
      </c>
      <c r="R107" s="706" t="str">
        <f t="shared" si="13"/>
        <v/>
      </c>
      <c r="S107" s="767"/>
    </row>
    <row r="108" spans="3:19" x14ac:dyDescent="0.25">
      <c r="C108" s="622"/>
      <c r="D108" s="623"/>
      <c r="E108" s="618"/>
      <c r="F108" s="624"/>
      <c r="G108" s="734"/>
      <c r="H108" s="734"/>
      <c r="I108" s="736" t="str">
        <f t="shared" si="5"/>
        <v/>
      </c>
      <c r="J108" s="736" t="str">
        <f t="shared" si="6"/>
        <v/>
      </c>
      <c r="K108" s="736" t="str">
        <f t="shared" si="7"/>
        <v/>
      </c>
      <c r="M108" s="620" t="str">
        <f t="shared" si="8"/>
        <v/>
      </c>
      <c r="N108" s="621" t="str">
        <f t="shared" si="9"/>
        <v/>
      </c>
      <c r="O108" s="621" t="str">
        <f t="shared" si="10"/>
        <v/>
      </c>
      <c r="P108" s="765" t="str">
        <f t="shared" si="11"/>
        <v/>
      </c>
      <c r="Q108" s="621" t="str">
        <f t="shared" si="12"/>
        <v/>
      </c>
      <c r="R108" s="706" t="str">
        <f t="shared" si="13"/>
        <v/>
      </c>
      <c r="S108" s="767"/>
    </row>
    <row r="109" spans="3:19" x14ac:dyDescent="0.25">
      <c r="C109" s="622"/>
      <c r="D109" s="623"/>
      <c r="E109" s="618"/>
      <c r="F109" s="624"/>
      <c r="G109" s="734"/>
      <c r="H109" s="734"/>
      <c r="I109" s="736" t="str">
        <f t="shared" si="5"/>
        <v/>
      </c>
      <c r="J109" s="736" t="str">
        <f t="shared" si="6"/>
        <v/>
      </c>
      <c r="K109" s="736" t="str">
        <f t="shared" si="7"/>
        <v/>
      </c>
      <c r="M109" s="620" t="str">
        <f t="shared" si="8"/>
        <v/>
      </c>
      <c r="N109" s="621" t="str">
        <f t="shared" si="9"/>
        <v/>
      </c>
      <c r="O109" s="621" t="str">
        <f t="shared" si="10"/>
        <v/>
      </c>
      <c r="P109" s="765" t="str">
        <f t="shared" si="11"/>
        <v/>
      </c>
      <c r="Q109" s="621" t="str">
        <f t="shared" si="12"/>
        <v/>
      </c>
      <c r="R109" s="706" t="str">
        <f t="shared" si="13"/>
        <v/>
      </c>
      <c r="S109" s="767"/>
    </row>
    <row r="110" spans="3:19" x14ac:dyDescent="0.25">
      <c r="C110" s="622"/>
      <c r="D110" s="623"/>
      <c r="E110" s="618"/>
      <c r="F110" s="624"/>
      <c r="G110" s="734"/>
      <c r="H110" s="734"/>
      <c r="I110" s="736" t="str">
        <f t="shared" si="5"/>
        <v/>
      </c>
      <c r="J110" s="736" t="str">
        <f t="shared" si="6"/>
        <v/>
      </c>
      <c r="K110" s="736" t="str">
        <f t="shared" si="7"/>
        <v/>
      </c>
      <c r="M110" s="620" t="str">
        <f t="shared" si="8"/>
        <v/>
      </c>
      <c r="N110" s="621" t="str">
        <f t="shared" si="9"/>
        <v/>
      </c>
      <c r="O110" s="621" t="str">
        <f t="shared" si="10"/>
        <v/>
      </c>
      <c r="P110" s="765" t="str">
        <f t="shared" si="11"/>
        <v/>
      </c>
      <c r="Q110" s="621" t="str">
        <f t="shared" si="12"/>
        <v/>
      </c>
      <c r="R110" s="706" t="str">
        <f t="shared" si="13"/>
        <v/>
      </c>
      <c r="S110" s="767"/>
    </row>
    <row r="111" spans="3:19" x14ac:dyDescent="0.25">
      <c r="C111" s="622"/>
      <c r="D111" s="623"/>
      <c r="E111" s="618"/>
      <c r="F111" s="624"/>
      <c r="G111" s="734"/>
      <c r="H111" s="734"/>
      <c r="I111" s="736" t="str">
        <f t="shared" si="5"/>
        <v/>
      </c>
      <c r="J111" s="736" t="str">
        <f t="shared" si="6"/>
        <v/>
      </c>
      <c r="K111" s="736" t="str">
        <f t="shared" si="7"/>
        <v/>
      </c>
      <c r="M111" s="620" t="str">
        <f t="shared" si="8"/>
        <v/>
      </c>
      <c r="N111" s="621" t="str">
        <f t="shared" si="9"/>
        <v/>
      </c>
      <c r="O111" s="621" t="str">
        <f t="shared" si="10"/>
        <v/>
      </c>
      <c r="P111" s="765" t="str">
        <f t="shared" si="11"/>
        <v/>
      </c>
      <c r="Q111" s="621" t="str">
        <f t="shared" si="12"/>
        <v/>
      </c>
      <c r="R111" s="706" t="str">
        <f t="shared" si="13"/>
        <v/>
      </c>
      <c r="S111" s="767"/>
    </row>
    <row r="112" spans="3:19" x14ac:dyDescent="0.25">
      <c r="C112" s="622"/>
      <c r="D112" s="623"/>
      <c r="E112" s="618"/>
      <c r="F112" s="624"/>
      <c r="G112" s="734"/>
      <c r="H112" s="734"/>
      <c r="I112" s="736" t="str">
        <f t="shared" si="5"/>
        <v/>
      </c>
      <c r="J112" s="736" t="str">
        <f t="shared" si="6"/>
        <v/>
      </c>
      <c r="K112" s="736" t="str">
        <f t="shared" si="7"/>
        <v/>
      </c>
      <c r="M112" s="620" t="str">
        <f t="shared" si="8"/>
        <v/>
      </c>
      <c r="N112" s="621" t="str">
        <f t="shared" si="9"/>
        <v/>
      </c>
      <c r="O112" s="621" t="str">
        <f t="shared" si="10"/>
        <v/>
      </c>
      <c r="P112" s="765" t="str">
        <f t="shared" si="11"/>
        <v/>
      </c>
      <c r="Q112" s="621" t="str">
        <f t="shared" si="12"/>
        <v/>
      </c>
      <c r="R112" s="706" t="str">
        <f t="shared" si="13"/>
        <v/>
      </c>
      <c r="S112" s="767"/>
    </row>
    <row r="113" spans="3:19" x14ac:dyDescent="0.25">
      <c r="C113" s="622"/>
      <c r="D113" s="623"/>
      <c r="E113" s="618"/>
      <c r="F113" s="624"/>
      <c r="G113" s="734"/>
      <c r="H113" s="734"/>
      <c r="I113" s="736" t="str">
        <f t="shared" si="5"/>
        <v/>
      </c>
      <c r="J113" s="736" t="str">
        <f t="shared" si="6"/>
        <v/>
      </c>
      <c r="K113" s="736" t="str">
        <f t="shared" si="7"/>
        <v/>
      </c>
      <c r="M113" s="620" t="str">
        <f t="shared" si="8"/>
        <v/>
      </c>
      <c r="N113" s="621" t="str">
        <f t="shared" si="9"/>
        <v/>
      </c>
      <c r="O113" s="621" t="str">
        <f t="shared" si="10"/>
        <v/>
      </c>
      <c r="P113" s="765" t="str">
        <f t="shared" si="11"/>
        <v/>
      </c>
      <c r="Q113" s="621" t="str">
        <f t="shared" si="12"/>
        <v/>
      </c>
      <c r="R113" s="706" t="str">
        <f t="shared" si="13"/>
        <v/>
      </c>
      <c r="S113" s="767"/>
    </row>
    <row r="114" spans="3:19" x14ac:dyDescent="0.25">
      <c r="C114" s="622"/>
      <c r="D114" s="623"/>
      <c r="E114" s="618"/>
      <c r="F114" s="624"/>
      <c r="G114" s="734"/>
      <c r="H114" s="734"/>
      <c r="I114" s="736" t="str">
        <f t="shared" si="5"/>
        <v/>
      </c>
      <c r="J114" s="736" t="str">
        <f t="shared" si="6"/>
        <v/>
      </c>
      <c r="K114" s="736" t="str">
        <f t="shared" si="7"/>
        <v/>
      </c>
      <c r="M114" s="620" t="str">
        <f t="shared" si="8"/>
        <v/>
      </c>
      <c r="N114" s="621" t="str">
        <f t="shared" si="9"/>
        <v/>
      </c>
      <c r="O114" s="621" t="str">
        <f t="shared" si="10"/>
        <v/>
      </c>
      <c r="P114" s="765" t="str">
        <f t="shared" si="11"/>
        <v/>
      </c>
      <c r="Q114" s="621" t="str">
        <f t="shared" si="12"/>
        <v/>
      </c>
      <c r="R114" s="706" t="str">
        <f t="shared" si="13"/>
        <v/>
      </c>
      <c r="S114" s="767"/>
    </row>
    <row r="115" spans="3:19" x14ac:dyDescent="0.25">
      <c r="C115" s="622"/>
      <c r="D115" s="623"/>
      <c r="E115" s="618"/>
      <c r="F115" s="624"/>
      <c r="G115" s="734"/>
      <c r="H115" s="734"/>
      <c r="I115" s="736" t="str">
        <f t="shared" si="5"/>
        <v/>
      </c>
      <c r="J115" s="736" t="str">
        <f t="shared" si="6"/>
        <v/>
      </c>
      <c r="K115" s="736" t="str">
        <f t="shared" si="7"/>
        <v/>
      </c>
      <c r="M115" s="620" t="str">
        <f t="shared" si="8"/>
        <v/>
      </c>
      <c r="N115" s="621" t="str">
        <f t="shared" si="9"/>
        <v/>
      </c>
      <c r="O115" s="621" t="str">
        <f t="shared" si="10"/>
        <v/>
      </c>
      <c r="P115" s="765" t="str">
        <f t="shared" si="11"/>
        <v/>
      </c>
      <c r="Q115" s="621" t="str">
        <f t="shared" si="12"/>
        <v/>
      </c>
      <c r="R115" s="706" t="str">
        <f t="shared" si="13"/>
        <v/>
      </c>
      <c r="S115" s="767"/>
    </row>
    <row r="116" spans="3:19" x14ac:dyDescent="0.25">
      <c r="C116" s="622"/>
      <c r="D116" s="623"/>
      <c r="E116" s="618"/>
      <c r="F116" s="624"/>
      <c r="G116" s="734"/>
      <c r="H116" s="734"/>
      <c r="I116" s="736" t="str">
        <f t="shared" si="5"/>
        <v/>
      </c>
      <c r="J116" s="736" t="str">
        <f t="shared" si="6"/>
        <v/>
      </c>
      <c r="K116" s="736" t="str">
        <f t="shared" si="7"/>
        <v/>
      </c>
      <c r="M116" s="620" t="str">
        <f t="shared" si="8"/>
        <v/>
      </c>
      <c r="N116" s="621" t="str">
        <f t="shared" si="9"/>
        <v/>
      </c>
      <c r="O116" s="621" t="str">
        <f t="shared" si="10"/>
        <v/>
      </c>
      <c r="P116" s="765" t="str">
        <f t="shared" si="11"/>
        <v/>
      </c>
      <c r="Q116" s="621" t="str">
        <f t="shared" si="12"/>
        <v/>
      </c>
      <c r="R116" s="706" t="str">
        <f t="shared" si="13"/>
        <v/>
      </c>
      <c r="S116" s="767"/>
    </row>
    <row r="117" spans="3:19" x14ac:dyDescent="0.25">
      <c r="C117" s="622"/>
      <c r="D117" s="623"/>
      <c r="E117" s="618"/>
      <c r="F117" s="624"/>
      <c r="G117" s="734"/>
      <c r="H117" s="734"/>
      <c r="I117" s="736" t="str">
        <f t="shared" si="5"/>
        <v/>
      </c>
      <c r="J117" s="736" t="str">
        <f t="shared" si="6"/>
        <v/>
      </c>
      <c r="K117" s="736" t="str">
        <f t="shared" si="7"/>
        <v/>
      </c>
      <c r="M117" s="620" t="str">
        <f t="shared" si="8"/>
        <v/>
      </c>
      <c r="N117" s="621" t="str">
        <f t="shared" si="9"/>
        <v/>
      </c>
      <c r="O117" s="621" t="str">
        <f t="shared" si="10"/>
        <v/>
      </c>
      <c r="P117" s="765" t="str">
        <f t="shared" si="11"/>
        <v/>
      </c>
      <c r="Q117" s="621" t="str">
        <f t="shared" si="12"/>
        <v/>
      </c>
      <c r="R117" s="706" t="str">
        <f t="shared" si="13"/>
        <v/>
      </c>
      <c r="S117" s="767"/>
    </row>
    <row r="118" spans="3:19" x14ac:dyDescent="0.25">
      <c r="C118" s="622"/>
      <c r="D118" s="623"/>
      <c r="E118" s="618"/>
      <c r="F118" s="624"/>
      <c r="G118" s="734"/>
      <c r="H118" s="734"/>
      <c r="I118" s="736" t="str">
        <f t="shared" si="5"/>
        <v/>
      </c>
      <c r="J118" s="736" t="str">
        <f t="shared" si="6"/>
        <v/>
      </c>
      <c r="K118" s="736" t="str">
        <f t="shared" si="7"/>
        <v/>
      </c>
      <c r="M118" s="620" t="str">
        <f t="shared" si="8"/>
        <v/>
      </c>
      <c r="N118" s="621" t="str">
        <f t="shared" si="9"/>
        <v/>
      </c>
      <c r="O118" s="621" t="str">
        <f t="shared" si="10"/>
        <v/>
      </c>
      <c r="P118" s="765" t="str">
        <f t="shared" si="11"/>
        <v/>
      </c>
      <c r="Q118" s="621" t="str">
        <f t="shared" si="12"/>
        <v/>
      </c>
      <c r="R118" s="706" t="str">
        <f t="shared" si="13"/>
        <v/>
      </c>
      <c r="S118" s="767"/>
    </row>
    <row r="119" spans="3:19" x14ac:dyDescent="0.25">
      <c r="C119" s="622"/>
      <c r="D119" s="623"/>
      <c r="E119" s="618"/>
      <c r="F119" s="624"/>
      <c r="G119" s="734"/>
      <c r="H119" s="734"/>
      <c r="I119" s="736" t="str">
        <f t="shared" si="5"/>
        <v/>
      </c>
      <c r="J119" s="736" t="str">
        <f t="shared" si="6"/>
        <v/>
      </c>
      <c r="K119" s="736" t="str">
        <f t="shared" si="7"/>
        <v/>
      </c>
      <c r="M119" s="620" t="str">
        <f t="shared" si="8"/>
        <v/>
      </c>
      <c r="N119" s="621" t="str">
        <f t="shared" si="9"/>
        <v/>
      </c>
      <c r="O119" s="621" t="str">
        <f t="shared" si="10"/>
        <v/>
      </c>
      <c r="P119" s="765" t="str">
        <f t="shared" si="11"/>
        <v/>
      </c>
      <c r="Q119" s="621" t="str">
        <f t="shared" si="12"/>
        <v/>
      </c>
      <c r="R119" s="706" t="str">
        <f t="shared" si="13"/>
        <v/>
      </c>
      <c r="S119" s="767"/>
    </row>
    <row r="120" spans="3:19" x14ac:dyDescent="0.25">
      <c r="C120" s="622"/>
      <c r="D120" s="623"/>
      <c r="E120" s="618"/>
      <c r="F120" s="624"/>
      <c r="G120" s="734"/>
      <c r="H120" s="734"/>
      <c r="I120" s="736" t="str">
        <f t="shared" si="5"/>
        <v/>
      </c>
      <c r="J120" s="736" t="str">
        <f t="shared" si="6"/>
        <v/>
      </c>
      <c r="K120" s="736" t="str">
        <f t="shared" si="7"/>
        <v/>
      </c>
      <c r="M120" s="620" t="str">
        <f t="shared" si="8"/>
        <v/>
      </c>
      <c r="N120" s="621" t="str">
        <f t="shared" si="9"/>
        <v/>
      </c>
      <c r="O120" s="621" t="str">
        <f t="shared" si="10"/>
        <v/>
      </c>
      <c r="P120" s="765" t="str">
        <f t="shared" si="11"/>
        <v/>
      </c>
      <c r="Q120" s="621" t="str">
        <f t="shared" si="12"/>
        <v/>
      </c>
      <c r="R120" s="706" t="str">
        <f t="shared" si="13"/>
        <v/>
      </c>
      <c r="S120" s="767"/>
    </row>
    <row r="121" spans="3:19" x14ac:dyDescent="0.25">
      <c r="C121" s="622"/>
      <c r="D121" s="623"/>
      <c r="E121" s="618"/>
      <c r="F121" s="624"/>
      <c r="G121" s="734"/>
      <c r="H121" s="734"/>
      <c r="I121" s="736" t="str">
        <f t="shared" si="5"/>
        <v/>
      </c>
      <c r="J121" s="736" t="str">
        <f t="shared" si="6"/>
        <v/>
      </c>
      <c r="K121" s="736" t="str">
        <f t="shared" si="7"/>
        <v/>
      </c>
      <c r="M121" s="620" t="str">
        <f t="shared" si="8"/>
        <v/>
      </c>
      <c r="N121" s="621" t="str">
        <f t="shared" si="9"/>
        <v/>
      </c>
      <c r="O121" s="621" t="str">
        <f t="shared" si="10"/>
        <v/>
      </c>
      <c r="P121" s="765" t="str">
        <f t="shared" si="11"/>
        <v/>
      </c>
      <c r="Q121" s="621" t="str">
        <f t="shared" si="12"/>
        <v/>
      </c>
      <c r="R121" s="706" t="str">
        <f t="shared" si="13"/>
        <v/>
      </c>
      <c r="S121" s="767"/>
    </row>
    <row r="122" spans="3:19" x14ac:dyDescent="0.25">
      <c r="C122" s="622"/>
      <c r="D122" s="623"/>
      <c r="E122" s="618"/>
      <c r="F122" s="624"/>
      <c r="G122" s="734"/>
      <c r="H122" s="734"/>
      <c r="I122" s="736" t="str">
        <f t="shared" si="5"/>
        <v/>
      </c>
      <c r="J122" s="736" t="str">
        <f t="shared" si="6"/>
        <v/>
      </c>
      <c r="K122" s="736" t="str">
        <f t="shared" si="7"/>
        <v/>
      </c>
      <c r="M122" s="620" t="str">
        <f t="shared" si="8"/>
        <v/>
      </c>
      <c r="N122" s="621" t="str">
        <f t="shared" si="9"/>
        <v/>
      </c>
      <c r="O122" s="621" t="str">
        <f t="shared" si="10"/>
        <v/>
      </c>
      <c r="P122" s="765" t="str">
        <f t="shared" si="11"/>
        <v/>
      </c>
      <c r="Q122" s="621" t="str">
        <f t="shared" si="12"/>
        <v/>
      </c>
      <c r="R122" s="706" t="str">
        <f t="shared" si="13"/>
        <v/>
      </c>
      <c r="S122" s="767"/>
    </row>
    <row r="123" spans="3:19" x14ac:dyDescent="0.25">
      <c r="C123" s="622"/>
      <c r="D123" s="623"/>
      <c r="E123" s="618"/>
      <c r="F123" s="624"/>
      <c r="G123" s="734"/>
      <c r="H123" s="734"/>
      <c r="I123" s="736" t="str">
        <f t="shared" si="5"/>
        <v/>
      </c>
      <c r="J123" s="736" t="str">
        <f t="shared" si="6"/>
        <v/>
      </c>
      <c r="K123" s="736" t="str">
        <f t="shared" si="7"/>
        <v/>
      </c>
      <c r="M123" s="620" t="str">
        <f t="shared" si="8"/>
        <v/>
      </c>
      <c r="N123" s="621" t="str">
        <f t="shared" ref="N123:N154" si="14">IFERROR(INDEX(CNTR_FuelListIsZero, MATCH(E123, CNTR_FuelListNames, 0)),"")</f>
        <v/>
      </c>
      <c r="O123" s="621" t="str">
        <f t="shared" ref="O123:O154" si="15">IF(E123="","",IFERROR(NOT(ISNUMBER(INDEX(CNTR_FuelListSupportRate, MATCH(E123, CNTR_FuelListNames, 0)))),  ""))</f>
        <v/>
      </c>
      <c r="P123" s="765" t="str">
        <f t="shared" ref="P123:P154" si="16">IFERROR( OR( INDEX(CNTR_FuelListCompleteData, MATCH(E123, CNTR_FuelListNames, 0)) = FALSE,   INDEX(CNTR_FuelListIsFossil, MATCH(E123, CNTR_FuelListNames, 0)) = TRUE),  "")</f>
        <v/>
      </c>
      <c r="Q123" s="621" t="str">
        <f t="shared" ref="Q123:Q154" si="17">IFERROR(IF(INDEX(CNTR_FuelListSubType, MATCH(E123, CNTR_FuelListNames, 0)) = "",  "",  INDEX(CNTR_FuelListSubType, MATCH(E123, CNTR_FuelListNames, 0))),  "")</f>
        <v/>
      </c>
      <c r="R123" s="706" t="str">
        <f t="shared" ref="R123:R154" si="18">IFERROR(IF( AND(D123=TRUE, ISNUMBER(INDEX(CNTR_FuelListSupportRate, MATCH( E123, CNTR_FuelListNames, 0)))),   1,   INDEX(CNTR_FuelListSupportRate, MATCH(E123, CNTR_FuelListNames, 0))),  "")</f>
        <v/>
      </c>
      <c r="S123" s="767"/>
    </row>
    <row r="124" spans="3:19" x14ac:dyDescent="0.25">
      <c r="C124" s="622"/>
      <c r="D124" s="623"/>
      <c r="E124" s="618"/>
      <c r="F124" s="624"/>
      <c r="G124" s="734"/>
      <c r="H124" s="734"/>
      <c r="I124" s="736" t="str">
        <f t="shared" ref="I124:I187" si="19">IF(ISNUMBER($F124), IFERROR($F124*G124,"--"),"")</f>
        <v/>
      </c>
      <c r="J124" s="736" t="str">
        <f t="shared" ref="J124:J187" si="20">IF(AND(ISNUMBER($F124),N124=TRUE), IFERROR($F124*G124,"--"),"")</f>
        <v/>
      </c>
      <c r="K124" s="736" t="str">
        <f t="shared" ref="K124:K187" si="21">IF(ISNUMBER($F124), IFERROR($F124*H124,"--"),"")</f>
        <v/>
      </c>
      <c r="M124" s="620" t="str">
        <f t="shared" ref="M124:M187" si="22">IF(E124="","", IFERROR(IF(N124 = FALSE,  TRUE,  FALSE),  ""))</f>
        <v/>
      </c>
      <c r="N124" s="621" t="str">
        <f t="shared" si="14"/>
        <v/>
      </c>
      <c r="O124" s="621" t="str">
        <f t="shared" si="15"/>
        <v/>
      </c>
      <c r="P124" s="765" t="str">
        <f t="shared" si="16"/>
        <v/>
      </c>
      <c r="Q124" s="621" t="str">
        <f t="shared" si="17"/>
        <v/>
      </c>
      <c r="R124" s="706" t="str">
        <f t="shared" si="18"/>
        <v/>
      </c>
      <c r="S124" s="767"/>
    </row>
    <row r="125" spans="3:19" x14ac:dyDescent="0.25">
      <c r="C125" s="622"/>
      <c r="D125" s="623"/>
      <c r="E125" s="618"/>
      <c r="F125" s="624"/>
      <c r="G125" s="734"/>
      <c r="H125" s="734"/>
      <c r="I125" s="736" t="str">
        <f t="shared" si="19"/>
        <v/>
      </c>
      <c r="J125" s="736" t="str">
        <f t="shared" si="20"/>
        <v/>
      </c>
      <c r="K125" s="736" t="str">
        <f t="shared" si="21"/>
        <v/>
      </c>
      <c r="M125" s="620" t="str">
        <f t="shared" si="22"/>
        <v/>
      </c>
      <c r="N125" s="621" t="str">
        <f t="shared" si="14"/>
        <v/>
      </c>
      <c r="O125" s="621" t="str">
        <f t="shared" si="15"/>
        <v/>
      </c>
      <c r="P125" s="765" t="str">
        <f t="shared" si="16"/>
        <v/>
      </c>
      <c r="Q125" s="621" t="str">
        <f t="shared" si="17"/>
        <v/>
      </c>
      <c r="R125" s="706" t="str">
        <f t="shared" si="18"/>
        <v/>
      </c>
      <c r="S125" s="767"/>
    </row>
    <row r="126" spans="3:19" x14ac:dyDescent="0.25">
      <c r="C126" s="622"/>
      <c r="D126" s="623"/>
      <c r="E126" s="618"/>
      <c r="F126" s="624"/>
      <c r="G126" s="734"/>
      <c r="H126" s="734"/>
      <c r="I126" s="736" t="str">
        <f t="shared" si="19"/>
        <v/>
      </c>
      <c r="J126" s="736" t="str">
        <f t="shared" si="20"/>
        <v/>
      </c>
      <c r="K126" s="736" t="str">
        <f t="shared" si="21"/>
        <v/>
      </c>
      <c r="M126" s="620" t="str">
        <f t="shared" si="22"/>
        <v/>
      </c>
      <c r="N126" s="621" t="str">
        <f t="shared" si="14"/>
        <v/>
      </c>
      <c r="O126" s="621" t="str">
        <f t="shared" si="15"/>
        <v/>
      </c>
      <c r="P126" s="765" t="str">
        <f t="shared" si="16"/>
        <v/>
      </c>
      <c r="Q126" s="621" t="str">
        <f t="shared" si="17"/>
        <v/>
      </c>
      <c r="R126" s="706" t="str">
        <f t="shared" si="18"/>
        <v/>
      </c>
      <c r="S126" s="767"/>
    </row>
    <row r="127" spans="3:19" x14ac:dyDescent="0.25">
      <c r="C127" s="622"/>
      <c r="D127" s="623"/>
      <c r="E127" s="618"/>
      <c r="F127" s="624"/>
      <c r="G127" s="734"/>
      <c r="H127" s="734"/>
      <c r="I127" s="736" t="str">
        <f t="shared" si="19"/>
        <v/>
      </c>
      <c r="J127" s="736" t="str">
        <f t="shared" si="20"/>
        <v/>
      </c>
      <c r="K127" s="736" t="str">
        <f t="shared" si="21"/>
        <v/>
      </c>
      <c r="M127" s="620" t="str">
        <f t="shared" si="22"/>
        <v/>
      </c>
      <c r="N127" s="621" t="str">
        <f t="shared" si="14"/>
        <v/>
      </c>
      <c r="O127" s="621" t="str">
        <f t="shared" si="15"/>
        <v/>
      </c>
      <c r="P127" s="765" t="str">
        <f t="shared" si="16"/>
        <v/>
      </c>
      <c r="Q127" s="621" t="str">
        <f t="shared" si="17"/>
        <v/>
      </c>
      <c r="R127" s="706" t="str">
        <f t="shared" si="18"/>
        <v/>
      </c>
      <c r="S127" s="767"/>
    </row>
    <row r="128" spans="3:19" x14ac:dyDescent="0.25">
      <c r="C128" s="622"/>
      <c r="D128" s="623"/>
      <c r="E128" s="618"/>
      <c r="F128" s="624"/>
      <c r="G128" s="734"/>
      <c r="H128" s="734"/>
      <c r="I128" s="736" t="str">
        <f t="shared" si="19"/>
        <v/>
      </c>
      <c r="J128" s="736" t="str">
        <f t="shared" si="20"/>
        <v/>
      </c>
      <c r="K128" s="736" t="str">
        <f t="shared" si="21"/>
        <v/>
      </c>
      <c r="M128" s="620" t="str">
        <f t="shared" si="22"/>
        <v/>
      </c>
      <c r="N128" s="621" t="str">
        <f t="shared" si="14"/>
        <v/>
      </c>
      <c r="O128" s="621" t="str">
        <f t="shared" si="15"/>
        <v/>
      </c>
      <c r="P128" s="765" t="str">
        <f t="shared" si="16"/>
        <v/>
      </c>
      <c r="Q128" s="621" t="str">
        <f t="shared" si="17"/>
        <v/>
      </c>
      <c r="R128" s="706" t="str">
        <f t="shared" si="18"/>
        <v/>
      </c>
      <c r="S128" s="767"/>
    </row>
    <row r="129" spans="3:19" x14ac:dyDescent="0.25">
      <c r="C129" s="622"/>
      <c r="D129" s="623"/>
      <c r="E129" s="618"/>
      <c r="F129" s="624"/>
      <c r="G129" s="734"/>
      <c r="H129" s="734"/>
      <c r="I129" s="736" t="str">
        <f t="shared" si="19"/>
        <v/>
      </c>
      <c r="J129" s="736" t="str">
        <f t="shared" si="20"/>
        <v/>
      </c>
      <c r="K129" s="736" t="str">
        <f t="shared" si="21"/>
        <v/>
      </c>
      <c r="M129" s="620" t="str">
        <f t="shared" si="22"/>
        <v/>
      </c>
      <c r="N129" s="621" t="str">
        <f t="shared" si="14"/>
        <v/>
      </c>
      <c r="O129" s="621" t="str">
        <f t="shared" si="15"/>
        <v/>
      </c>
      <c r="P129" s="765" t="str">
        <f t="shared" si="16"/>
        <v/>
      </c>
      <c r="Q129" s="621" t="str">
        <f t="shared" si="17"/>
        <v/>
      </c>
      <c r="R129" s="706" t="str">
        <f t="shared" si="18"/>
        <v/>
      </c>
      <c r="S129" s="767"/>
    </row>
    <row r="130" spans="3:19" x14ac:dyDescent="0.25">
      <c r="C130" s="622"/>
      <c r="D130" s="623"/>
      <c r="E130" s="618"/>
      <c r="F130" s="624"/>
      <c r="G130" s="734"/>
      <c r="H130" s="734"/>
      <c r="I130" s="736" t="str">
        <f t="shared" si="19"/>
        <v/>
      </c>
      <c r="J130" s="736" t="str">
        <f t="shared" si="20"/>
        <v/>
      </c>
      <c r="K130" s="736" t="str">
        <f t="shared" si="21"/>
        <v/>
      </c>
      <c r="M130" s="620" t="str">
        <f t="shared" si="22"/>
        <v/>
      </c>
      <c r="N130" s="621" t="str">
        <f t="shared" si="14"/>
        <v/>
      </c>
      <c r="O130" s="621" t="str">
        <f t="shared" si="15"/>
        <v/>
      </c>
      <c r="P130" s="765" t="str">
        <f t="shared" si="16"/>
        <v/>
      </c>
      <c r="Q130" s="621" t="str">
        <f t="shared" si="17"/>
        <v/>
      </c>
      <c r="R130" s="706" t="str">
        <f t="shared" si="18"/>
        <v/>
      </c>
      <c r="S130" s="767"/>
    </row>
    <row r="131" spans="3:19" x14ac:dyDescent="0.25">
      <c r="C131" s="622"/>
      <c r="D131" s="623"/>
      <c r="E131" s="618"/>
      <c r="F131" s="624"/>
      <c r="G131" s="734"/>
      <c r="H131" s="734"/>
      <c r="I131" s="736" t="str">
        <f t="shared" si="19"/>
        <v/>
      </c>
      <c r="J131" s="736" t="str">
        <f t="shared" si="20"/>
        <v/>
      </c>
      <c r="K131" s="736" t="str">
        <f t="shared" si="21"/>
        <v/>
      </c>
      <c r="M131" s="620" t="str">
        <f t="shared" si="22"/>
        <v/>
      </c>
      <c r="N131" s="621" t="str">
        <f t="shared" si="14"/>
        <v/>
      </c>
      <c r="O131" s="621" t="str">
        <f t="shared" si="15"/>
        <v/>
      </c>
      <c r="P131" s="765" t="str">
        <f t="shared" si="16"/>
        <v/>
      </c>
      <c r="Q131" s="621" t="str">
        <f t="shared" si="17"/>
        <v/>
      </c>
      <c r="R131" s="706" t="str">
        <f t="shared" si="18"/>
        <v/>
      </c>
      <c r="S131" s="767"/>
    </row>
    <row r="132" spans="3:19" x14ac:dyDescent="0.25">
      <c r="C132" s="622"/>
      <c r="D132" s="623"/>
      <c r="E132" s="618"/>
      <c r="F132" s="624"/>
      <c r="G132" s="734"/>
      <c r="H132" s="734"/>
      <c r="I132" s="736" t="str">
        <f t="shared" si="19"/>
        <v/>
      </c>
      <c r="J132" s="736" t="str">
        <f t="shared" si="20"/>
        <v/>
      </c>
      <c r="K132" s="736" t="str">
        <f t="shared" si="21"/>
        <v/>
      </c>
      <c r="M132" s="620" t="str">
        <f t="shared" si="22"/>
        <v/>
      </c>
      <c r="N132" s="621" t="str">
        <f t="shared" si="14"/>
        <v/>
      </c>
      <c r="O132" s="621" t="str">
        <f t="shared" si="15"/>
        <v/>
      </c>
      <c r="P132" s="765" t="str">
        <f t="shared" si="16"/>
        <v/>
      </c>
      <c r="Q132" s="621" t="str">
        <f t="shared" si="17"/>
        <v/>
      </c>
      <c r="R132" s="706" t="str">
        <f t="shared" si="18"/>
        <v/>
      </c>
      <c r="S132" s="767"/>
    </row>
    <row r="133" spans="3:19" x14ac:dyDescent="0.25">
      <c r="C133" s="622"/>
      <c r="D133" s="623"/>
      <c r="E133" s="618"/>
      <c r="F133" s="624"/>
      <c r="G133" s="734"/>
      <c r="H133" s="734"/>
      <c r="I133" s="736" t="str">
        <f t="shared" si="19"/>
        <v/>
      </c>
      <c r="J133" s="736" t="str">
        <f t="shared" si="20"/>
        <v/>
      </c>
      <c r="K133" s="736" t="str">
        <f t="shared" si="21"/>
        <v/>
      </c>
      <c r="M133" s="620" t="str">
        <f t="shared" si="22"/>
        <v/>
      </c>
      <c r="N133" s="621" t="str">
        <f t="shared" si="14"/>
        <v/>
      </c>
      <c r="O133" s="621" t="str">
        <f t="shared" si="15"/>
        <v/>
      </c>
      <c r="P133" s="765" t="str">
        <f t="shared" si="16"/>
        <v/>
      </c>
      <c r="Q133" s="621" t="str">
        <f t="shared" si="17"/>
        <v/>
      </c>
      <c r="R133" s="706" t="str">
        <f t="shared" si="18"/>
        <v/>
      </c>
      <c r="S133" s="767"/>
    </row>
    <row r="134" spans="3:19" x14ac:dyDescent="0.25">
      <c r="C134" s="622"/>
      <c r="D134" s="623"/>
      <c r="E134" s="618"/>
      <c r="F134" s="624"/>
      <c r="G134" s="734"/>
      <c r="H134" s="734"/>
      <c r="I134" s="736" t="str">
        <f t="shared" si="19"/>
        <v/>
      </c>
      <c r="J134" s="736" t="str">
        <f t="shared" si="20"/>
        <v/>
      </c>
      <c r="K134" s="736" t="str">
        <f t="shared" si="21"/>
        <v/>
      </c>
      <c r="M134" s="620" t="str">
        <f t="shared" si="22"/>
        <v/>
      </c>
      <c r="N134" s="621" t="str">
        <f t="shared" si="14"/>
        <v/>
      </c>
      <c r="O134" s="621" t="str">
        <f t="shared" si="15"/>
        <v/>
      </c>
      <c r="P134" s="765" t="str">
        <f t="shared" si="16"/>
        <v/>
      </c>
      <c r="Q134" s="621" t="str">
        <f t="shared" si="17"/>
        <v/>
      </c>
      <c r="R134" s="706" t="str">
        <f t="shared" si="18"/>
        <v/>
      </c>
      <c r="S134" s="767"/>
    </row>
    <row r="135" spans="3:19" x14ac:dyDescent="0.25">
      <c r="C135" s="622"/>
      <c r="D135" s="623"/>
      <c r="E135" s="618"/>
      <c r="F135" s="624"/>
      <c r="G135" s="734"/>
      <c r="H135" s="734"/>
      <c r="I135" s="736" t="str">
        <f t="shared" si="19"/>
        <v/>
      </c>
      <c r="J135" s="736" t="str">
        <f t="shared" si="20"/>
        <v/>
      </c>
      <c r="K135" s="736" t="str">
        <f t="shared" si="21"/>
        <v/>
      </c>
      <c r="M135" s="620" t="str">
        <f t="shared" si="22"/>
        <v/>
      </c>
      <c r="N135" s="621" t="str">
        <f t="shared" si="14"/>
        <v/>
      </c>
      <c r="O135" s="621" t="str">
        <f t="shared" si="15"/>
        <v/>
      </c>
      <c r="P135" s="765" t="str">
        <f t="shared" si="16"/>
        <v/>
      </c>
      <c r="Q135" s="621" t="str">
        <f t="shared" si="17"/>
        <v/>
      </c>
      <c r="R135" s="706" t="str">
        <f t="shared" si="18"/>
        <v/>
      </c>
      <c r="S135" s="767"/>
    </row>
    <row r="136" spans="3:19" x14ac:dyDescent="0.25">
      <c r="C136" s="622"/>
      <c r="D136" s="623"/>
      <c r="E136" s="618"/>
      <c r="F136" s="624"/>
      <c r="G136" s="734"/>
      <c r="H136" s="734"/>
      <c r="I136" s="736" t="str">
        <f t="shared" si="19"/>
        <v/>
      </c>
      <c r="J136" s="736" t="str">
        <f t="shared" si="20"/>
        <v/>
      </c>
      <c r="K136" s="736" t="str">
        <f t="shared" si="21"/>
        <v/>
      </c>
      <c r="M136" s="620" t="str">
        <f t="shared" si="22"/>
        <v/>
      </c>
      <c r="N136" s="621" t="str">
        <f t="shared" si="14"/>
        <v/>
      </c>
      <c r="O136" s="621" t="str">
        <f t="shared" si="15"/>
        <v/>
      </c>
      <c r="P136" s="765" t="str">
        <f t="shared" si="16"/>
        <v/>
      </c>
      <c r="Q136" s="621" t="str">
        <f t="shared" si="17"/>
        <v/>
      </c>
      <c r="R136" s="706" t="str">
        <f t="shared" si="18"/>
        <v/>
      </c>
      <c r="S136" s="767"/>
    </row>
    <row r="137" spans="3:19" x14ac:dyDescent="0.25">
      <c r="C137" s="622"/>
      <c r="D137" s="623"/>
      <c r="E137" s="618"/>
      <c r="F137" s="624"/>
      <c r="G137" s="734"/>
      <c r="H137" s="734"/>
      <c r="I137" s="736" t="str">
        <f t="shared" si="19"/>
        <v/>
      </c>
      <c r="J137" s="736" t="str">
        <f t="shared" si="20"/>
        <v/>
      </c>
      <c r="K137" s="736" t="str">
        <f t="shared" si="21"/>
        <v/>
      </c>
      <c r="M137" s="620" t="str">
        <f t="shared" si="22"/>
        <v/>
      </c>
      <c r="N137" s="621" t="str">
        <f t="shared" si="14"/>
        <v/>
      </c>
      <c r="O137" s="621" t="str">
        <f t="shared" si="15"/>
        <v/>
      </c>
      <c r="P137" s="765" t="str">
        <f t="shared" si="16"/>
        <v/>
      </c>
      <c r="Q137" s="621" t="str">
        <f t="shared" si="17"/>
        <v/>
      </c>
      <c r="R137" s="706" t="str">
        <f t="shared" si="18"/>
        <v/>
      </c>
      <c r="S137" s="767"/>
    </row>
    <row r="138" spans="3:19" x14ac:dyDescent="0.25">
      <c r="C138" s="622"/>
      <c r="D138" s="623"/>
      <c r="E138" s="618"/>
      <c r="F138" s="624"/>
      <c r="G138" s="734"/>
      <c r="H138" s="734"/>
      <c r="I138" s="736" t="str">
        <f t="shared" si="19"/>
        <v/>
      </c>
      <c r="J138" s="736" t="str">
        <f t="shared" si="20"/>
        <v/>
      </c>
      <c r="K138" s="736" t="str">
        <f t="shared" si="21"/>
        <v/>
      </c>
      <c r="M138" s="620" t="str">
        <f t="shared" si="22"/>
        <v/>
      </c>
      <c r="N138" s="621" t="str">
        <f t="shared" si="14"/>
        <v/>
      </c>
      <c r="O138" s="621" t="str">
        <f t="shared" si="15"/>
        <v/>
      </c>
      <c r="P138" s="765" t="str">
        <f t="shared" si="16"/>
        <v/>
      </c>
      <c r="Q138" s="621" t="str">
        <f t="shared" si="17"/>
        <v/>
      </c>
      <c r="R138" s="706" t="str">
        <f t="shared" si="18"/>
        <v/>
      </c>
      <c r="S138" s="767"/>
    </row>
    <row r="139" spans="3:19" x14ac:dyDescent="0.25">
      <c r="C139" s="622"/>
      <c r="D139" s="623"/>
      <c r="E139" s="618"/>
      <c r="F139" s="624"/>
      <c r="G139" s="734"/>
      <c r="H139" s="734"/>
      <c r="I139" s="736" t="str">
        <f t="shared" si="19"/>
        <v/>
      </c>
      <c r="J139" s="736" t="str">
        <f t="shared" si="20"/>
        <v/>
      </c>
      <c r="K139" s="736" t="str">
        <f t="shared" si="21"/>
        <v/>
      </c>
      <c r="M139" s="620" t="str">
        <f t="shared" si="22"/>
        <v/>
      </c>
      <c r="N139" s="621" t="str">
        <f t="shared" si="14"/>
        <v/>
      </c>
      <c r="O139" s="621" t="str">
        <f t="shared" si="15"/>
        <v/>
      </c>
      <c r="P139" s="765" t="str">
        <f t="shared" si="16"/>
        <v/>
      </c>
      <c r="Q139" s="621" t="str">
        <f t="shared" si="17"/>
        <v/>
      </c>
      <c r="R139" s="706" t="str">
        <f t="shared" si="18"/>
        <v/>
      </c>
      <c r="S139" s="767"/>
    </row>
    <row r="140" spans="3:19" x14ac:dyDescent="0.25">
      <c r="C140" s="622"/>
      <c r="D140" s="623"/>
      <c r="E140" s="618"/>
      <c r="F140" s="624"/>
      <c r="G140" s="734"/>
      <c r="H140" s="734"/>
      <c r="I140" s="736" t="str">
        <f t="shared" si="19"/>
        <v/>
      </c>
      <c r="J140" s="736" t="str">
        <f t="shared" si="20"/>
        <v/>
      </c>
      <c r="K140" s="736" t="str">
        <f t="shared" si="21"/>
        <v/>
      </c>
      <c r="M140" s="620" t="str">
        <f t="shared" si="22"/>
        <v/>
      </c>
      <c r="N140" s="621" t="str">
        <f t="shared" si="14"/>
        <v/>
      </c>
      <c r="O140" s="621" t="str">
        <f t="shared" si="15"/>
        <v/>
      </c>
      <c r="P140" s="765" t="str">
        <f t="shared" si="16"/>
        <v/>
      </c>
      <c r="Q140" s="621" t="str">
        <f t="shared" si="17"/>
        <v/>
      </c>
      <c r="R140" s="706" t="str">
        <f t="shared" si="18"/>
        <v/>
      </c>
      <c r="S140" s="767"/>
    </row>
    <row r="141" spans="3:19" x14ac:dyDescent="0.25">
      <c r="C141" s="622"/>
      <c r="D141" s="623"/>
      <c r="E141" s="618"/>
      <c r="F141" s="624"/>
      <c r="G141" s="734"/>
      <c r="H141" s="734"/>
      <c r="I141" s="736" t="str">
        <f t="shared" si="19"/>
        <v/>
      </c>
      <c r="J141" s="736" t="str">
        <f t="shared" si="20"/>
        <v/>
      </c>
      <c r="K141" s="736" t="str">
        <f t="shared" si="21"/>
        <v/>
      </c>
      <c r="M141" s="620" t="str">
        <f t="shared" si="22"/>
        <v/>
      </c>
      <c r="N141" s="621" t="str">
        <f t="shared" si="14"/>
        <v/>
      </c>
      <c r="O141" s="621" t="str">
        <f t="shared" si="15"/>
        <v/>
      </c>
      <c r="P141" s="765" t="str">
        <f t="shared" si="16"/>
        <v/>
      </c>
      <c r="Q141" s="621" t="str">
        <f t="shared" si="17"/>
        <v/>
      </c>
      <c r="R141" s="706" t="str">
        <f t="shared" si="18"/>
        <v/>
      </c>
      <c r="S141" s="767"/>
    </row>
    <row r="142" spans="3:19" x14ac:dyDescent="0.25">
      <c r="C142" s="622"/>
      <c r="D142" s="623"/>
      <c r="E142" s="618"/>
      <c r="F142" s="624"/>
      <c r="G142" s="734"/>
      <c r="H142" s="734"/>
      <c r="I142" s="736" t="str">
        <f t="shared" si="19"/>
        <v/>
      </c>
      <c r="J142" s="736" t="str">
        <f t="shared" si="20"/>
        <v/>
      </c>
      <c r="K142" s="736" t="str">
        <f t="shared" si="21"/>
        <v/>
      </c>
      <c r="M142" s="620" t="str">
        <f t="shared" si="22"/>
        <v/>
      </c>
      <c r="N142" s="621" t="str">
        <f t="shared" si="14"/>
        <v/>
      </c>
      <c r="O142" s="621" t="str">
        <f t="shared" si="15"/>
        <v/>
      </c>
      <c r="P142" s="765" t="str">
        <f t="shared" si="16"/>
        <v/>
      </c>
      <c r="Q142" s="621" t="str">
        <f t="shared" si="17"/>
        <v/>
      </c>
      <c r="R142" s="706" t="str">
        <f t="shared" si="18"/>
        <v/>
      </c>
      <c r="S142" s="767"/>
    </row>
    <row r="143" spans="3:19" x14ac:dyDescent="0.25">
      <c r="C143" s="622"/>
      <c r="D143" s="623"/>
      <c r="E143" s="618"/>
      <c r="F143" s="624"/>
      <c r="G143" s="734"/>
      <c r="H143" s="734"/>
      <c r="I143" s="736" t="str">
        <f t="shared" si="19"/>
        <v/>
      </c>
      <c r="J143" s="736" t="str">
        <f t="shared" si="20"/>
        <v/>
      </c>
      <c r="K143" s="736" t="str">
        <f t="shared" si="21"/>
        <v/>
      </c>
      <c r="M143" s="620" t="str">
        <f t="shared" si="22"/>
        <v/>
      </c>
      <c r="N143" s="621" t="str">
        <f t="shared" si="14"/>
        <v/>
      </c>
      <c r="O143" s="621" t="str">
        <f t="shared" si="15"/>
        <v/>
      </c>
      <c r="P143" s="765" t="str">
        <f t="shared" si="16"/>
        <v/>
      </c>
      <c r="Q143" s="621" t="str">
        <f t="shared" si="17"/>
        <v/>
      </c>
      <c r="R143" s="706" t="str">
        <f t="shared" si="18"/>
        <v/>
      </c>
      <c r="S143" s="767"/>
    </row>
    <row r="144" spans="3:19" x14ac:dyDescent="0.25">
      <c r="C144" s="622"/>
      <c r="D144" s="623"/>
      <c r="E144" s="618"/>
      <c r="F144" s="624"/>
      <c r="G144" s="734"/>
      <c r="H144" s="734"/>
      <c r="I144" s="736" t="str">
        <f t="shared" si="19"/>
        <v/>
      </c>
      <c r="J144" s="736" t="str">
        <f t="shared" si="20"/>
        <v/>
      </c>
      <c r="K144" s="736" t="str">
        <f t="shared" si="21"/>
        <v/>
      </c>
      <c r="M144" s="620" t="str">
        <f t="shared" si="22"/>
        <v/>
      </c>
      <c r="N144" s="621" t="str">
        <f t="shared" si="14"/>
        <v/>
      </c>
      <c r="O144" s="621" t="str">
        <f t="shared" si="15"/>
        <v/>
      </c>
      <c r="P144" s="765" t="str">
        <f t="shared" si="16"/>
        <v/>
      </c>
      <c r="Q144" s="621" t="str">
        <f t="shared" si="17"/>
        <v/>
      </c>
      <c r="R144" s="706" t="str">
        <f t="shared" si="18"/>
        <v/>
      </c>
      <c r="S144" s="767"/>
    </row>
    <row r="145" spans="3:19" x14ac:dyDescent="0.25">
      <c r="C145" s="622"/>
      <c r="D145" s="623"/>
      <c r="E145" s="618"/>
      <c r="F145" s="624"/>
      <c r="G145" s="734"/>
      <c r="H145" s="734"/>
      <c r="I145" s="736" t="str">
        <f t="shared" si="19"/>
        <v/>
      </c>
      <c r="J145" s="736" t="str">
        <f t="shared" si="20"/>
        <v/>
      </c>
      <c r="K145" s="736" t="str">
        <f t="shared" si="21"/>
        <v/>
      </c>
      <c r="M145" s="620" t="str">
        <f t="shared" si="22"/>
        <v/>
      </c>
      <c r="N145" s="621" t="str">
        <f t="shared" si="14"/>
        <v/>
      </c>
      <c r="O145" s="621" t="str">
        <f t="shared" si="15"/>
        <v/>
      </c>
      <c r="P145" s="765" t="str">
        <f t="shared" si="16"/>
        <v/>
      </c>
      <c r="Q145" s="621" t="str">
        <f t="shared" si="17"/>
        <v/>
      </c>
      <c r="R145" s="706" t="str">
        <f t="shared" si="18"/>
        <v/>
      </c>
      <c r="S145" s="767"/>
    </row>
    <row r="146" spans="3:19" x14ac:dyDescent="0.25">
      <c r="C146" s="622"/>
      <c r="D146" s="623"/>
      <c r="E146" s="618"/>
      <c r="F146" s="624"/>
      <c r="G146" s="734"/>
      <c r="H146" s="734"/>
      <c r="I146" s="736" t="str">
        <f t="shared" si="19"/>
        <v/>
      </c>
      <c r="J146" s="736" t="str">
        <f t="shared" si="20"/>
        <v/>
      </c>
      <c r="K146" s="736" t="str">
        <f t="shared" si="21"/>
        <v/>
      </c>
      <c r="M146" s="620" t="str">
        <f t="shared" si="22"/>
        <v/>
      </c>
      <c r="N146" s="621" t="str">
        <f t="shared" si="14"/>
        <v/>
      </c>
      <c r="O146" s="621" t="str">
        <f t="shared" si="15"/>
        <v/>
      </c>
      <c r="P146" s="765" t="str">
        <f t="shared" si="16"/>
        <v/>
      </c>
      <c r="Q146" s="621" t="str">
        <f t="shared" si="17"/>
        <v/>
      </c>
      <c r="R146" s="706" t="str">
        <f t="shared" si="18"/>
        <v/>
      </c>
      <c r="S146" s="767"/>
    </row>
    <row r="147" spans="3:19" x14ac:dyDescent="0.25">
      <c r="C147" s="622"/>
      <c r="D147" s="623"/>
      <c r="E147" s="618"/>
      <c r="F147" s="624"/>
      <c r="G147" s="734"/>
      <c r="H147" s="734"/>
      <c r="I147" s="736" t="str">
        <f t="shared" si="19"/>
        <v/>
      </c>
      <c r="J147" s="736" t="str">
        <f t="shared" si="20"/>
        <v/>
      </c>
      <c r="K147" s="736" t="str">
        <f t="shared" si="21"/>
        <v/>
      </c>
      <c r="M147" s="620" t="str">
        <f t="shared" si="22"/>
        <v/>
      </c>
      <c r="N147" s="621" t="str">
        <f t="shared" si="14"/>
        <v/>
      </c>
      <c r="O147" s="621" t="str">
        <f t="shared" si="15"/>
        <v/>
      </c>
      <c r="P147" s="765" t="str">
        <f t="shared" si="16"/>
        <v/>
      </c>
      <c r="Q147" s="621" t="str">
        <f t="shared" si="17"/>
        <v/>
      </c>
      <c r="R147" s="706" t="str">
        <f t="shared" si="18"/>
        <v/>
      </c>
      <c r="S147" s="767"/>
    </row>
    <row r="148" spans="3:19" x14ac:dyDescent="0.25">
      <c r="C148" s="622"/>
      <c r="D148" s="623"/>
      <c r="E148" s="618"/>
      <c r="F148" s="624"/>
      <c r="G148" s="734"/>
      <c r="H148" s="734"/>
      <c r="I148" s="736" t="str">
        <f t="shared" si="19"/>
        <v/>
      </c>
      <c r="J148" s="736" t="str">
        <f t="shared" si="20"/>
        <v/>
      </c>
      <c r="K148" s="736" t="str">
        <f t="shared" si="21"/>
        <v/>
      </c>
      <c r="M148" s="620" t="str">
        <f t="shared" si="22"/>
        <v/>
      </c>
      <c r="N148" s="621" t="str">
        <f t="shared" si="14"/>
        <v/>
      </c>
      <c r="O148" s="621" t="str">
        <f t="shared" si="15"/>
        <v/>
      </c>
      <c r="P148" s="765" t="str">
        <f t="shared" si="16"/>
        <v/>
      </c>
      <c r="Q148" s="621" t="str">
        <f t="shared" si="17"/>
        <v/>
      </c>
      <c r="R148" s="706" t="str">
        <f t="shared" si="18"/>
        <v/>
      </c>
      <c r="S148" s="767"/>
    </row>
    <row r="149" spans="3:19" x14ac:dyDescent="0.25">
      <c r="C149" s="622"/>
      <c r="D149" s="623"/>
      <c r="E149" s="618"/>
      <c r="F149" s="624"/>
      <c r="G149" s="734"/>
      <c r="H149" s="734"/>
      <c r="I149" s="736" t="str">
        <f t="shared" si="19"/>
        <v/>
      </c>
      <c r="J149" s="736" t="str">
        <f t="shared" si="20"/>
        <v/>
      </c>
      <c r="K149" s="736" t="str">
        <f t="shared" si="21"/>
        <v/>
      </c>
      <c r="M149" s="620" t="str">
        <f t="shared" si="22"/>
        <v/>
      </c>
      <c r="N149" s="621" t="str">
        <f t="shared" si="14"/>
        <v/>
      </c>
      <c r="O149" s="621" t="str">
        <f t="shared" si="15"/>
        <v/>
      </c>
      <c r="P149" s="765" t="str">
        <f t="shared" si="16"/>
        <v/>
      </c>
      <c r="Q149" s="621" t="str">
        <f t="shared" si="17"/>
        <v/>
      </c>
      <c r="R149" s="706" t="str">
        <f t="shared" si="18"/>
        <v/>
      </c>
      <c r="S149" s="767"/>
    </row>
    <row r="150" spans="3:19" x14ac:dyDescent="0.25">
      <c r="C150" s="622"/>
      <c r="D150" s="623"/>
      <c r="E150" s="618"/>
      <c r="F150" s="624"/>
      <c r="G150" s="734"/>
      <c r="H150" s="734"/>
      <c r="I150" s="736" t="str">
        <f t="shared" si="19"/>
        <v/>
      </c>
      <c r="J150" s="736" t="str">
        <f t="shared" si="20"/>
        <v/>
      </c>
      <c r="K150" s="736" t="str">
        <f t="shared" si="21"/>
        <v/>
      </c>
      <c r="M150" s="620" t="str">
        <f t="shared" si="22"/>
        <v/>
      </c>
      <c r="N150" s="621" t="str">
        <f t="shared" si="14"/>
        <v/>
      </c>
      <c r="O150" s="621" t="str">
        <f t="shared" si="15"/>
        <v/>
      </c>
      <c r="P150" s="765" t="str">
        <f t="shared" si="16"/>
        <v/>
      </c>
      <c r="Q150" s="621" t="str">
        <f t="shared" si="17"/>
        <v/>
      </c>
      <c r="R150" s="706" t="str">
        <f t="shared" si="18"/>
        <v/>
      </c>
      <c r="S150" s="767"/>
    </row>
    <row r="151" spans="3:19" x14ac:dyDescent="0.25">
      <c r="C151" s="622"/>
      <c r="D151" s="623"/>
      <c r="E151" s="618"/>
      <c r="F151" s="624"/>
      <c r="G151" s="734"/>
      <c r="H151" s="734"/>
      <c r="I151" s="736" t="str">
        <f t="shared" si="19"/>
        <v/>
      </c>
      <c r="J151" s="736" t="str">
        <f t="shared" si="20"/>
        <v/>
      </c>
      <c r="K151" s="736" t="str">
        <f t="shared" si="21"/>
        <v/>
      </c>
      <c r="M151" s="620" t="str">
        <f t="shared" si="22"/>
        <v/>
      </c>
      <c r="N151" s="621" t="str">
        <f t="shared" si="14"/>
        <v/>
      </c>
      <c r="O151" s="621" t="str">
        <f t="shared" si="15"/>
        <v/>
      </c>
      <c r="P151" s="765" t="str">
        <f t="shared" si="16"/>
        <v/>
      </c>
      <c r="Q151" s="621" t="str">
        <f t="shared" si="17"/>
        <v/>
      </c>
      <c r="R151" s="706" t="str">
        <f t="shared" si="18"/>
        <v/>
      </c>
      <c r="S151" s="767"/>
    </row>
    <row r="152" spans="3:19" x14ac:dyDescent="0.25">
      <c r="C152" s="622"/>
      <c r="D152" s="623"/>
      <c r="E152" s="618"/>
      <c r="F152" s="624"/>
      <c r="G152" s="734"/>
      <c r="H152" s="734"/>
      <c r="I152" s="736" t="str">
        <f t="shared" si="19"/>
        <v/>
      </c>
      <c r="J152" s="736" t="str">
        <f t="shared" si="20"/>
        <v/>
      </c>
      <c r="K152" s="736" t="str">
        <f t="shared" si="21"/>
        <v/>
      </c>
      <c r="M152" s="620" t="str">
        <f t="shared" si="22"/>
        <v/>
      </c>
      <c r="N152" s="621" t="str">
        <f t="shared" si="14"/>
        <v/>
      </c>
      <c r="O152" s="621" t="str">
        <f t="shared" si="15"/>
        <v/>
      </c>
      <c r="P152" s="765" t="str">
        <f t="shared" si="16"/>
        <v/>
      </c>
      <c r="Q152" s="621" t="str">
        <f t="shared" si="17"/>
        <v/>
      </c>
      <c r="R152" s="706" t="str">
        <f t="shared" si="18"/>
        <v/>
      </c>
      <c r="S152" s="767"/>
    </row>
    <row r="153" spans="3:19" x14ac:dyDescent="0.25">
      <c r="C153" s="622"/>
      <c r="D153" s="623"/>
      <c r="E153" s="618"/>
      <c r="F153" s="624"/>
      <c r="G153" s="734"/>
      <c r="H153" s="734"/>
      <c r="I153" s="736" t="str">
        <f t="shared" si="19"/>
        <v/>
      </c>
      <c r="J153" s="736" t="str">
        <f t="shared" si="20"/>
        <v/>
      </c>
      <c r="K153" s="736" t="str">
        <f t="shared" si="21"/>
        <v/>
      </c>
      <c r="M153" s="620" t="str">
        <f t="shared" si="22"/>
        <v/>
      </c>
      <c r="N153" s="621" t="str">
        <f t="shared" si="14"/>
        <v/>
      </c>
      <c r="O153" s="621" t="str">
        <f t="shared" si="15"/>
        <v/>
      </c>
      <c r="P153" s="765" t="str">
        <f t="shared" si="16"/>
        <v/>
      </c>
      <c r="Q153" s="621" t="str">
        <f t="shared" si="17"/>
        <v/>
      </c>
      <c r="R153" s="706" t="str">
        <f t="shared" si="18"/>
        <v/>
      </c>
      <c r="S153" s="767"/>
    </row>
    <row r="154" spans="3:19" x14ac:dyDescent="0.25">
      <c r="C154" s="622"/>
      <c r="D154" s="623"/>
      <c r="E154" s="618"/>
      <c r="F154" s="624"/>
      <c r="G154" s="734"/>
      <c r="H154" s="734"/>
      <c r="I154" s="736" t="str">
        <f t="shared" si="19"/>
        <v/>
      </c>
      <c r="J154" s="736" t="str">
        <f t="shared" si="20"/>
        <v/>
      </c>
      <c r="K154" s="736" t="str">
        <f t="shared" si="21"/>
        <v/>
      </c>
      <c r="M154" s="620" t="str">
        <f t="shared" si="22"/>
        <v/>
      </c>
      <c r="N154" s="621" t="str">
        <f t="shared" si="14"/>
        <v/>
      </c>
      <c r="O154" s="621" t="str">
        <f t="shared" si="15"/>
        <v/>
      </c>
      <c r="P154" s="765" t="str">
        <f t="shared" si="16"/>
        <v/>
      </c>
      <c r="Q154" s="621" t="str">
        <f t="shared" si="17"/>
        <v/>
      </c>
      <c r="R154" s="706" t="str">
        <f t="shared" si="18"/>
        <v/>
      </c>
      <c r="S154" s="767"/>
    </row>
    <row r="155" spans="3:19" x14ac:dyDescent="0.25">
      <c r="C155" s="622"/>
      <c r="D155" s="623"/>
      <c r="E155" s="618"/>
      <c r="F155" s="624"/>
      <c r="G155" s="734"/>
      <c r="H155" s="734"/>
      <c r="I155" s="736" t="str">
        <f t="shared" si="19"/>
        <v/>
      </c>
      <c r="J155" s="736" t="str">
        <f t="shared" si="20"/>
        <v/>
      </c>
      <c r="K155" s="736" t="str">
        <f t="shared" si="21"/>
        <v/>
      </c>
      <c r="M155" s="620" t="str">
        <f t="shared" si="22"/>
        <v/>
      </c>
      <c r="N155" s="621" t="str">
        <f t="shared" ref="N155:N186" si="23">IFERROR(INDEX(CNTR_FuelListIsZero, MATCH(E155, CNTR_FuelListNames, 0)),"")</f>
        <v/>
      </c>
      <c r="O155" s="621" t="str">
        <f t="shared" ref="O155:O186" si="24">IF(E155="","",IFERROR(NOT(ISNUMBER(INDEX(CNTR_FuelListSupportRate, MATCH(E155, CNTR_FuelListNames, 0)))),  ""))</f>
        <v/>
      </c>
      <c r="P155" s="765" t="str">
        <f t="shared" ref="P155:P186" si="25">IFERROR( OR( INDEX(CNTR_FuelListCompleteData, MATCH(E155, CNTR_FuelListNames, 0)) = FALSE,   INDEX(CNTR_FuelListIsFossil, MATCH(E155, CNTR_FuelListNames, 0)) = TRUE),  "")</f>
        <v/>
      </c>
      <c r="Q155" s="621" t="str">
        <f t="shared" ref="Q155:Q186" si="26">IFERROR(IF(INDEX(CNTR_FuelListSubType, MATCH(E155, CNTR_FuelListNames, 0)) = "",  "",  INDEX(CNTR_FuelListSubType, MATCH(E155, CNTR_FuelListNames, 0))),  "")</f>
        <v/>
      </c>
      <c r="R155" s="706" t="str">
        <f t="shared" ref="R155:R186" si="27">IFERROR(IF( AND(D155=TRUE, ISNUMBER(INDEX(CNTR_FuelListSupportRate, MATCH( E155, CNTR_FuelListNames, 0)))),   1,   INDEX(CNTR_FuelListSupportRate, MATCH(E155, CNTR_FuelListNames, 0))),  "")</f>
        <v/>
      </c>
      <c r="S155" s="767"/>
    </row>
    <row r="156" spans="3:19" x14ac:dyDescent="0.25">
      <c r="C156" s="622"/>
      <c r="D156" s="623"/>
      <c r="E156" s="618"/>
      <c r="F156" s="624"/>
      <c r="G156" s="734"/>
      <c r="H156" s="734"/>
      <c r="I156" s="736" t="str">
        <f t="shared" si="19"/>
        <v/>
      </c>
      <c r="J156" s="736" t="str">
        <f t="shared" si="20"/>
        <v/>
      </c>
      <c r="K156" s="736" t="str">
        <f t="shared" si="21"/>
        <v/>
      </c>
      <c r="M156" s="620" t="str">
        <f t="shared" si="22"/>
        <v/>
      </c>
      <c r="N156" s="621" t="str">
        <f t="shared" si="23"/>
        <v/>
      </c>
      <c r="O156" s="621" t="str">
        <f t="shared" si="24"/>
        <v/>
      </c>
      <c r="P156" s="765" t="str">
        <f t="shared" si="25"/>
        <v/>
      </c>
      <c r="Q156" s="621" t="str">
        <f t="shared" si="26"/>
        <v/>
      </c>
      <c r="R156" s="706" t="str">
        <f t="shared" si="27"/>
        <v/>
      </c>
      <c r="S156" s="767"/>
    </row>
    <row r="157" spans="3:19" x14ac:dyDescent="0.25">
      <c r="C157" s="622"/>
      <c r="D157" s="623"/>
      <c r="E157" s="618"/>
      <c r="F157" s="624"/>
      <c r="G157" s="734"/>
      <c r="H157" s="734"/>
      <c r="I157" s="736" t="str">
        <f t="shared" si="19"/>
        <v/>
      </c>
      <c r="J157" s="736" t="str">
        <f t="shared" si="20"/>
        <v/>
      </c>
      <c r="K157" s="736" t="str">
        <f t="shared" si="21"/>
        <v/>
      </c>
      <c r="M157" s="620" t="str">
        <f t="shared" si="22"/>
        <v/>
      </c>
      <c r="N157" s="621" t="str">
        <f t="shared" si="23"/>
        <v/>
      </c>
      <c r="O157" s="621" t="str">
        <f t="shared" si="24"/>
        <v/>
      </c>
      <c r="P157" s="765" t="str">
        <f t="shared" si="25"/>
        <v/>
      </c>
      <c r="Q157" s="621" t="str">
        <f t="shared" si="26"/>
        <v/>
      </c>
      <c r="R157" s="706" t="str">
        <f t="shared" si="27"/>
        <v/>
      </c>
      <c r="S157" s="767"/>
    </row>
    <row r="158" spans="3:19" x14ac:dyDescent="0.25">
      <c r="C158" s="622"/>
      <c r="D158" s="623"/>
      <c r="E158" s="618"/>
      <c r="F158" s="624"/>
      <c r="G158" s="734"/>
      <c r="H158" s="734"/>
      <c r="I158" s="736" t="str">
        <f t="shared" si="19"/>
        <v/>
      </c>
      <c r="J158" s="736" t="str">
        <f t="shared" si="20"/>
        <v/>
      </c>
      <c r="K158" s="736" t="str">
        <f t="shared" si="21"/>
        <v/>
      </c>
      <c r="M158" s="620" t="str">
        <f t="shared" si="22"/>
        <v/>
      </c>
      <c r="N158" s="621" t="str">
        <f t="shared" si="23"/>
        <v/>
      </c>
      <c r="O158" s="621" t="str">
        <f t="shared" si="24"/>
        <v/>
      </c>
      <c r="P158" s="765" t="str">
        <f t="shared" si="25"/>
        <v/>
      </c>
      <c r="Q158" s="621" t="str">
        <f t="shared" si="26"/>
        <v/>
      </c>
      <c r="R158" s="706" t="str">
        <f t="shared" si="27"/>
        <v/>
      </c>
      <c r="S158" s="767"/>
    </row>
    <row r="159" spans="3:19" x14ac:dyDescent="0.25">
      <c r="C159" s="622"/>
      <c r="D159" s="623"/>
      <c r="E159" s="618"/>
      <c r="F159" s="624"/>
      <c r="G159" s="734"/>
      <c r="H159" s="734"/>
      <c r="I159" s="736" t="str">
        <f t="shared" si="19"/>
        <v/>
      </c>
      <c r="J159" s="736" t="str">
        <f t="shared" si="20"/>
        <v/>
      </c>
      <c r="K159" s="736" t="str">
        <f t="shared" si="21"/>
        <v/>
      </c>
      <c r="M159" s="620" t="str">
        <f t="shared" si="22"/>
        <v/>
      </c>
      <c r="N159" s="621" t="str">
        <f t="shared" si="23"/>
        <v/>
      </c>
      <c r="O159" s="621" t="str">
        <f t="shared" si="24"/>
        <v/>
      </c>
      <c r="P159" s="765" t="str">
        <f t="shared" si="25"/>
        <v/>
      </c>
      <c r="Q159" s="621" t="str">
        <f t="shared" si="26"/>
        <v/>
      </c>
      <c r="R159" s="706" t="str">
        <f t="shared" si="27"/>
        <v/>
      </c>
      <c r="S159" s="767"/>
    </row>
    <row r="160" spans="3:19" x14ac:dyDescent="0.25">
      <c r="C160" s="622"/>
      <c r="D160" s="623"/>
      <c r="E160" s="618"/>
      <c r="F160" s="624"/>
      <c r="G160" s="734"/>
      <c r="H160" s="734"/>
      <c r="I160" s="736" t="str">
        <f t="shared" si="19"/>
        <v/>
      </c>
      <c r="J160" s="736" t="str">
        <f t="shared" si="20"/>
        <v/>
      </c>
      <c r="K160" s="736" t="str">
        <f t="shared" si="21"/>
        <v/>
      </c>
      <c r="M160" s="620" t="str">
        <f t="shared" si="22"/>
        <v/>
      </c>
      <c r="N160" s="621" t="str">
        <f t="shared" si="23"/>
        <v/>
      </c>
      <c r="O160" s="621" t="str">
        <f t="shared" si="24"/>
        <v/>
      </c>
      <c r="P160" s="765" t="str">
        <f t="shared" si="25"/>
        <v/>
      </c>
      <c r="Q160" s="621" t="str">
        <f t="shared" si="26"/>
        <v/>
      </c>
      <c r="R160" s="706" t="str">
        <f t="shared" si="27"/>
        <v/>
      </c>
      <c r="S160" s="767"/>
    </row>
    <row r="161" spans="3:19" x14ac:dyDescent="0.25">
      <c r="C161" s="622"/>
      <c r="D161" s="623"/>
      <c r="E161" s="618"/>
      <c r="F161" s="624"/>
      <c r="G161" s="734"/>
      <c r="H161" s="734"/>
      <c r="I161" s="736" t="str">
        <f t="shared" si="19"/>
        <v/>
      </c>
      <c r="J161" s="736" t="str">
        <f t="shared" si="20"/>
        <v/>
      </c>
      <c r="K161" s="736" t="str">
        <f t="shared" si="21"/>
        <v/>
      </c>
      <c r="M161" s="620" t="str">
        <f t="shared" si="22"/>
        <v/>
      </c>
      <c r="N161" s="621" t="str">
        <f t="shared" si="23"/>
        <v/>
      </c>
      <c r="O161" s="621" t="str">
        <f t="shared" si="24"/>
        <v/>
      </c>
      <c r="P161" s="765" t="str">
        <f t="shared" si="25"/>
        <v/>
      </c>
      <c r="Q161" s="621" t="str">
        <f t="shared" si="26"/>
        <v/>
      </c>
      <c r="R161" s="706" t="str">
        <f t="shared" si="27"/>
        <v/>
      </c>
      <c r="S161" s="767"/>
    </row>
    <row r="162" spans="3:19" x14ac:dyDescent="0.25">
      <c r="C162" s="622"/>
      <c r="D162" s="623"/>
      <c r="E162" s="618"/>
      <c r="F162" s="624"/>
      <c r="G162" s="734"/>
      <c r="H162" s="734"/>
      <c r="I162" s="736" t="str">
        <f t="shared" si="19"/>
        <v/>
      </c>
      <c r="J162" s="736" t="str">
        <f t="shared" si="20"/>
        <v/>
      </c>
      <c r="K162" s="736" t="str">
        <f t="shared" si="21"/>
        <v/>
      </c>
      <c r="M162" s="620" t="str">
        <f t="shared" si="22"/>
        <v/>
      </c>
      <c r="N162" s="621" t="str">
        <f t="shared" si="23"/>
        <v/>
      </c>
      <c r="O162" s="621" t="str">
        <f t="shared" si="24"/>
        <v/>
      </c>
      <c r="P162" s="765" t="str">
        <f t="shared" si="25"/>
        <v/>
      </c>
      <c r="Q162" s="621" t="str">
        <f t="shared" si="26"/>
        <v/>
      </c>
      <c r="R162" s="706" t="str">
        <f t="shared" si="27"/>
        <v/>
      </c>
      <c r="S162" s="767"/>
    </row>
    <row r="163" spans="3:19" x14ac:dyDescent="0.25">
      <c r="C163" s="622"/>
      <c r="D163" s="623"/>
      <c r="E163" s="618"/>
      <c r="F163" s="624"/>
      <c r="G163" s="734"/>
      <c r="H163" s="734"/>
      <c r="I163" s="736" t="str">
        <f t="shared" si="19"/>
        <v/>
      </c>
      <c r="J163" s="736" t="str">
        <f t="shared" si="20"/>
        <v/>
      </c>
      <c r="K163" s="736" t="str">
        <f t="shared" si="21"/>
        <v/>
      </c>
      <c r="M163" s="620" t="str">
        <f t="shared" si="22"/>
        <v/>
      </c>
      <c r="N163" s="621" t="str">
        <f t="shared" si="23"/>
        <v/>
      </c>
      <c r="O163" s="621" t="str">
        <f t="shared" si="24"/>
        <v/>
      </c>
      <c r="P163" s="765" t="str">
        <f t="shared" si="25"/>
        <v/>
      </c>
      <c r="Q163" s="621" t="str">
        <f t="shared" si="26"/>
        <v/>
      </c>
      <c r="R163" s="706" t="str">
        <f t="shared" si="27"/>
        <v/>
      </c>
      <c r="S163" s="767"/>
    </row>
    <row r="164" spans="3:19" x14ac:dyDescent="0.25">
      <c r="C164" s="622"/>
      <c r="D164" s="623"/>
      <c r="E164" s="618"/>
      <c r="F164" s="624"/>
      <c r="G164" s="734"/>
      <c r="H164" s="734"/>
      <c r="I164" s="736" t="str">
        <f t="shared" si="19"/>
        <v/>
      </c>
      <c r="J164" s="736" t="str">
        <f t="shared" si="20"/>
        <v/>
      </c>
      <c r="K164" s="736" t="str">
        <f t="shared" si="21"/>
        <v/>
      </c>
      <c r="M164" s="620" t="str">
        <f t="shared" si="22"/>
        <v/>
      </c>
      <c r="N164" s="621" t="str">
        <f t="shared" si="23"/>
        <v/>
      </c>
      <c r="O164" s="621" t="str">
        <f t="shared" si="24"/>
        <v/>
      </c>
      <c r="P164" s="765" t="str">
        <f t="shared" si="25"/>
        <v/>
      </c>
      <c r="Q164" s="621" t="str">
        <f t="shared" si="26"/>
        <v/>
      </c>
      <c r="R164" s="706" t="str">
        <f t="shared" si="27"/>
        <v/>
      </c>
      <c r="S164" s="767"/>
    </row>
    <row r="165" spans="3:19" x14ac:dyDescent="0.25">
      <c r="C165" s="622"/>
      <c r="D165" s="623"/>
      <c r="E165" s="618"/>
      <c r="F165" s="624"/>
      <c r="G165" s="734"/>
      <c r="H165" s="734"/>
      <c r="I165" s="736" t="str">
        <f t="shared" si="19"/>
        <v/>
      </c>
      <c r="J165" s="736" t="str">
        <f t="shared" si="20"/>
        <v/>
      </c>
      <c r="K165" s="736" t="str">
        <f t="shared" si="21"/>
        <v/>
      </c>
      <c r="M165" s="620" t="str">
        <f t="shared" si="22"/>
        <v/>
      </c>
      <c r="N165" s="621" t="str">
        <f t="shared" si="23"/>
        <v/>
      </c>
      <c r="O165" s="621" t="str">
        <f t="shared" si="24"/>
        <v/>
      </c>
      <c r="P165" s="765" t="str">
        <f t="shared" si="25"/>
        <v/>
      </c>
      <c r="Q165" s="621" t="str">
        <f t="shared" si="26"/>
        <v/>
      </c>
      <c r="R165" s="706" t="str">
        <f t="shared" si="27"/>
        <v/>
      </c>
      <c r="S165" s="767"/>
    </row>
    <row r="166" spans="3:19" x14ac:dyDescent="0.25">
      <c r="C166" s="622"/>
      <c r="D166" s="623"/>
      <c r="E166" s="618"/>
      <c r="F166" s="624"/>
      <c r="G166" s="734"/>
      <c r="H166" s="734"/>
      <c r="I166" s="736" t="str">
        <f t="shared" si="19"/>
        <v/>
      </c>
      <c r="J166" s="736" t="str">
        <f t="shared" si="20"/>
        <v/>
      </c>
      <c r="K166" s="736" t="str">
        <f t="shared" si="21"/>
        <v/>
      </c>
      <c r="M166" s="620" t="str">
        <f t="shared" si="22"/>
        <v/>
      </c>
      <c r="N166" s="621" t="str">
        <f t="shared" si="23"/>
        <v/>
      </c>
      <c r="O166" s="621" t="str">
        <f t="shared" si="24"/>
        <v/>
      </c>
      <c r="P166" s="765" t="str">
        <f t="shared" si="25"/>
        <v/>
      </c>
      <c r="Q166" s="621" t="str">
        <f t="shared" si="26"/>
        <v/>
      </c>
      <c r="R166" s="706" t="str">
        <f t="shared" si="27"/>
        <v/>
      </c>
      <c r="S166" s="767"/>
    </row>
    <row r="167" spans="3:19" x14ac:dyDescent="0.25">
      <c r="C167" s="622"/>
      <c r="D167" s="623"/>
      <c r="E167" s="618"/>
      <c r="F167" s="624"/>
      <c r="G167" s="734"/>
      <c r="H167" s="734"/>
      <c r="I167" s="736" t="str">
        <f t="shared" si="19"/>
        <v/>
      </c>
      <c r="J167" s="736" t="str">
        <f t="shared" si="20"/>
        <v/>
      </c>
      <c r="K167" s="736" t="str">
        <f t="shared" si="21"/>
        <v/>
      </c>
      <c r="M167" s="620" t="str">
        <f t="shared" si="22"/>
        <v/>
      </c>
      <c r="N167" s="621" t="str">
        <f t="shared" si="23"/>
        <v/>
      </c>
      <c r="O167" s="621" t="str">
        <f t="shared" si="24"/>
        <v/>
      </c>
      <c r="P167" s="765" t="str">
        <f t="shared" si="25"/>
        <v/>
      </c>
      <c r="Q167" s="621" t="str">
        <f t="shared" si="26"/>
        <v/>
      </c>
      <c r="R167" s="706" t="str">
        <f t="shared" si="27"/>
        <v/>
      </c>
      <c r="S167" s="767"/>
    </row>
    <row r="168" spans="3:19" x14ac:dyDescent="0.25">
      <c r="C168" s="622"/>
      <c r="D168" s="623"/>
      <c r="E168" s="618"/>
      <c r="F168" s="624"/>
      <c r="G168" s="734"/>
      <c r="H168" s="734"/>
      <c r="I168" s="736" t="str">
        <f t="shared" si="19"/>
        <v/>
      </c>
      <c r="J168" s="736" t="str">
        <f t="shared" si="20"/>
        <v/>
      </c>
      <c r="K168" s="736" t="str">
        <f t="shared" si="21"/>
        <v/>
      </c>
      <c r="M168" s="620" t="str">
        <f t="shared" si="22"/>
        <v/>
      </c>
      <c r="N168" s="621" t="str">
        <f t="shared" si="23"/>
        <v/>
      </c>
      <c r="O168" s="621" t="str">
        <f t="shared" si="24"/>
        <v/>
      </c>
      <c r="P168" s="765" t="str">
        <f t="shared" si="25"/>
        <v/>
      </c>
      <c r="Q168" s="621" t="str">
        <f t="shared" si="26"/>
        <v/>
      </c>
      <c r="R168" s="706" t="str">
        <f t="shared" si="27"/>
        <v/>
      </c>
      <c r="S168" s="767"/>
    </row>
    <row r="169" spans="3:19" x14ac:dyDescent="0.25">
      <c r="C169" s="622"/>
      <c r="D169" s="623"/>
      <c r="E169" s="618"/>
      <c r="F169" s="624"/>
      <c r="G169" s="734"/>
      <c r="H169" s="734"/>
      <c r="I169" s="736" t="str">
        <f t="shared" si="19"/>
        <v/>
      </c>
      <c r="J169" s="736" t="str">
        <f t="shared" si="20"/>
        <v/>
      </c>
      <c r="K169" s="736" t="str">
        <f t="shared" si="21"/>
        <v/>
      </c>
      <c r="M169" s="620" t="str">
        <f t="shared" si="22"/>
        <v/>
      </c>
      <c r="N169" s="621" t="str">
        <f t="shared" si="23"/>
        <v/>
      </c>
      <c r="O169" s="621" t="str">
        <f t="shared" si="24"/>
        <v/>
      </c>
      <c r="P169" s="765" t="str">
        <f t="shared" si="25"/>
        <v/>
      </c>
      <c r="Q169" s="621" t="str">
        <f t="shared" si="26"/>
        <v/>
      </c>
      <c r="R169" s="706" t="str">
        <f t="shared" si="27"/>
        <v/>
      </c>
      <c r="S169" s="767"/>
    </row>
    <row r="170" spans="3:19" x14ac:dyDescent="0.25">
      <c r="C170" s="622"/>
      <c r="D170" s="623"/>
      <c r="E170" s="618"/>
      <c r="F170" s="624"/>
      <c r="G170" s="734"/>
      <c r="H170" s="734"/>
      <c r="I170" s="736" t="str">
        <f t="shared" si="19"/>
        <v/>
      </c>
      <c r="J170" s="736" t="str">
        <f t="shared" si="20"/>
        <v/>
      </c>
      <c r="K170" s="736" t="str">
        <f t="shared" si="21"/>
        <v/>
      </c>
      <c r="M170" s="620" t="str">
        <f t="shared" si="22"/>
        <v/>
      </c>
      <c r="N170" s="621" t="str">
        <f t="shared" si="23"/>
        <v/>
      </c>
      <c r="O170" s="621" t="str">
        <f t="shared" si="24"/>
        <v/>
      </c>
      <c r="P170" s="765" t="str">
        <f t="shared" si="25"/>
        <v/>
      </c>
      <c r="Q170" s="621" t="str">
        <f t="shared" si="26"/>
        <v/>
      </c>
      <c r="R170" s="706" t="str">
        <f t="shared" si="27"/>
        <v/>
      </c>
      <c r="S170" s="767"/>
    </row>
    <row r="171" spans="3:19" x14ac:dyDescent="0.25">
      <c r="C171" s="622"/>
      <c r="D171" s="623"/>
      <c r="E171" s="618"/>
      <c r="F171" s="624"/>
      <c r="G171" s="734"/>
      <c r="H171" s="734"/>
      <c r="I171" s="736" t="str">
        <f t="shared" si="19"/>
        <v/>
      </c>
      <c r="J171" s="736" t="str">
        <f t="shared" si="20"/>
        <v/>
      </c>
      <c r="K171" s="736" t="str">
        <f t="shared" si="21"/>
        <v/>
      </c>
      <c r="M171" s="620" t="str">
        <f t="shared" si="22"/>
        <v/>
      </c>
      <c r="N171" s="621" t="str">
        <f t="shared" si="23"/>
        <v/>
      </c>
      <c r="O171" s="621" t="str">
        <f t="shared" si="24"/>
        <v/>
      </c>
      <c r="P171" s="765" t="str">
        <f t="shared" si="25"/>
        <v/>
      </c>
      <c r="Q171" s="621" t="str">
        <f t="shared" si="26"/>
        <v/>
      </c>
      <c r="R171" s="706" t="str">
        <f t="shared" si="27"/>
        <v/>
      </c>
      <c r="S171" s="767"/>
    </row>
    <row r="172" spans="3:19" x14ac:dyDescent="0.25">
      <c r="C172" s="622"/>
      <c r="D172" s="623"/>
      <c r="E172" s="618"/>
      <c r="F172" s="624"/>
      <c r="G172" s="734"/>
      <c r="H172" s="734"/>
      <c r="I172" s="736" t="str">
        <f t="shared" si="19"/>
        <v/>
      </c>
      <c r="J172" s="736" t="str">
        <f t="shared" si="20"/>
        <v/>
      </c>
      <c r="K172" s="736" t="str">
        <f t="shared" si="21"/>
        <v/>
      </c>
      <c r="M172" s="620" t="str">
        <f t="shared" si="22"/>
        <v/>
      </c>
      <c r="N172" s="621" t="str">
        <f t="shared" si="23"/>
        <v/>
      </c>
      <c r="O172" s="621" t="str">
        <f t="shared" si="24"/>
        <v/>
      </c>
      <c r="P172" s="765" t="str">
        <f t="shared" si="25"/>
        <v/>
      </c>
      <c r="Q172" s="621" t="str">
        <f t="shared" si="26"/>
        <v/>
      </c>
      <c r="R172" s="706" t="str">
        <f t="shared" si="27"/>
        <v/>
      </c>
      <c r="S172" s="767"/>
    </row>
    <row r="173" spans="3:19" x14ac:dyDescent="0.25">
      <c r="C173" s="622"/>
      <c r="D173" s="623"/>
      <c r="E173" s="618"/>
      <c r="F173" s="624"/>
      <c r="G173" s="734"/>
      <c r="H173" s="734"/>
      <c r="I173" s="736" t="str">
        <f t="shared" si="19"/>
        <v/>
      </c>
      <c r="J173" s="736" t="str">
        <f t="shared" si="20"/>
        <v/>
      </c>
      <c r="K173" s="736" t="str">
        <f t="shared" si="21"/>
        <v/>
      </c>
      <c r="M173" s="620" t="str">
        <f t="shared" si="22"/>
        <v/>
      </c>
      <c r="N173" s="621" t="str">
        <f t="shared" si="23"/>
        <v/>
      </c>
      <c r="O173" s="621" t="str">
        <f t="shared" si="24"/>
        <v/>
      </c>
      <c r="P173" s="765" t="str">
        <f t="shared" si="25"/>
        <v/>
      </c>
      <c r="Q173" s="621" t="str">
        <f t="shared" si="26"/>
        <v/>
      </c>
      <c r="R173" s="706" t="str">
        <f t="shared" si="27"/>
        <v/>
      </c>
      <c r="S173" s="767"/>
    </row>
    <row r="174" spans="3:19" x14ac:dyDescent="0.25">
      <c r="C174" s="622"/>
      <c r="D174" s="623"/>
      <c r="E174" s="618"/>
      <c r="F174" s="624"/>
      <c r="G174" s="734"/>
      <c r="H174" s="734"/>
      <c r="I174" s="736" t="str">
        <f t="shared" si="19"/>
        <v/>
      </c>
      <c r="J174" s="736" t="str">
        <f t="shared" si="20"/>
        <v/>
      </c>
      <c r="K174" s="736" t="str">
        <f t="shared" si="21"/>
        <v/>
      </c>
      <c r="M174" s="620" t="str">
        <f t="shared" si="22"/>
        <v/>
      </c>
      <c r="N174" s="621" t="str">
        <f t="shared" si="23"/>
        <v/>
      </c>
      <c r="O174" s="621" t="str">
        <f t="shared" si="24"/>
        <v/>
      </c>
      <c r="P174" s="765" t="str">
        <f t="shared" si="25"/>
        <v/>
      </c>
      <c r="Q174" s="621" t="str">
        <f t="shared" si="26"/>
        <v/>
      </c>
      <c r="R174" s="706" t="str">
        <f t="shared" si="27"/>
        <v/>
      </c>
      <c r="S174" s="767"/>
    </row>
    <row r="175" spans="3:19" x14ac:dyDescent="0.25">
      <c r="C175" s="622"/>
      <c r="D175" s="623"/>
      <c r="E175" s="618"/>
      <c r="F175" s="624"/>
      <c r="G175" s="734"/>
      <c r="H175" s="734"/>
      <c r="I175" s="736" t="str">
        <f t="shared" si="19"/>
        <v/>
      </c>
      <c r="J175" s="736" t="str">
        <f t="shared" si="20"/>
        <v/>
      </c>
      <c r="K175" s="736" t="str">
        <f t="shared" si="21"/>
        <v/>
      </c>
      <c r="M175" s="620" t="str">
        <f t="shared" si="22"/>
        <v/>
      </c>
      <c r="N175" s="621" t="str">
        <f t="shared" si="23"/>
        <v/>
      </c>
      <c r="O175" s="621" t="str">
        <f t="shared" si="24"/>
        <v/>
      </c>
      <c r="P175" s="765" t="str">
        <f t="shared" si="25"/>
        <v/>
      </c>
      <c r="Q175" s="621" t="str">
        <f t="shared" si="26"/>
        <v/>
      </c>
      <c r="R175" s="706" t="str">
        <f t="shared" si="27"/>
        <v/>
      </c>
      <c r="S175" s="767"/>
    </row>
    <row r="176" spans="3:19" x14ac:dyDescent="0.25">
      <c r="C176" s="622"/>
      <c r="D176" s="623"/>
      <c r="E176" s="618"/>
      <c r="F176" s="624"/>
      <c r="G176" s="734"/>
      <c r="H176" s="734"/>
      <c r="I176" s="736" t="str">
        <f t="shared" si="19"/>
        <v/>
      </c>
      <c r="J176" s="736" t="str">
        <f t="shared" si="20"/>
        <v/>
      </c>
      <c r="K176" s="736" t="str">
        <f t="shared" si="21"/>
        <v/>
      </c>
      <c r="M176" s="620" t="str">
        <f t="shared" si="22"/>
        <v/>
      </c>
      <c r="N176" s="621" t="str">
        <f t="shared" si="23"/>
        <v/>
      </c>
      <c r="O176" s="621" t="str">
        <f t="shared" si="24"/>
        <v/>
      </c>
      <c r="P176" s="765" t="str">
        <f t="shared" si="25"/>
        <v/>
      </c>
      <c r="Q176" s="621" t="str">
        <f t="shared" si="26"/>
        <v/>
      </c>
      <c r="R176" s="706" t="str">
        <f t="shared" si="27"/>
        <v/>
      </c>
      <c r="S176" s="767"/>
    </row>
    <row r="177" spans="3:19" x14ac:dyDescent="0.25">
      <c r="C177" s="622"/>
      <c r="D177" s="623"/>
      <c r="E177" s="618"/>
      <c r="F177" s="624"/>
      <c r="G177" s="734"/>
      <c r="H177" s="734"/>
      <c r="I177" s="736" t="str">
        <f t="shared" si="19"/>
        <v/>
      </c>
      <c r="J177" s="736" t="str">
        <f t="shared" si="20"/>
        <v/>
      </c>
      <c r="K177" s="736" t="str">
        <f t="shared" si="21"/>
        <v/>
      </c>
      <c r="M177" s="620" t="str">
        <f t="shared" si="22"/>
        <v/>
      </c>
      <c r="N177" s="621" t="str">
        <f t="shared" si="23"/>
        <v/>
      </c>
      <c r="O177" s="621" t="str">
        <f t="shared" si="24"/>
        <v/>
      </c>
      <c r="P177" s="765" t="str">
        <f t="shared" si="25"/>
        <v/>
      </c>
      <c r="Q177" s="621" t="str">
        <f t="shared" si="26"/>
        <v/>
      </c>
      <c r="R177" s="706" t="str">
        <f t="shared" si="27"/>
        <v/>
      </c>
      <c r="S177" s="767"/>
    </row>
    <row r="178" spans="3:19" x14ac:dyDescent="0.25">
      <c r="C178" s="622"/>
      <c r="D178" s="623"/>
      <c r="E178" s="618"/>
      <c r="F178" s="624"/>
      <c r="G178" s="734"/>
      <c r="H178" s="734"/>
      <c r="I178" s="736" t="str">
        <f t="shared" si="19"/>
        <v/>
      </c>
      <c r="J178" s="736" t="str">
        <f t="shared" si="20"/>
        <v/>
      </c>
      <c r="K178" s="736" t="str">
        <f t="shared" si="21"/>
        <v/>
      </c>
      <c r="M178" s="620" t="str">
        <f t="shared" si="22"/>
        <v/>
      </c>
      <c r="N178" s="621" t="str">
        <f t="shared" si="23"/>
        <v/>
      </c>
      <c r="O178" s="621" t="str">
        <f t="shared" si="24"/>
        <v/>
      </c>
      <c r="P178" s="765" t="str">
        <f t="shared" si="25"/>
        <v/>
      </c>
      <c r="Q178" s="621" t="str">
        <f t="shared" si="26"/>
        <v/>
      </c>
      <c r="R178" s="706" t="str">
        <f t="shared" si="27"/>
        <v/>
      </c>
      <c r="S178" s="767"/>
    </row>
    <row r="179" spans="3:19" x14ac:dyDescent="0.25">
      <c r="C179" s="622"/>
      <c r="D179" s="623"/>
      <c r="E179" s="618"/>
      <c r="F179" s="624"/>
      <c r="G179" s="734"/>
      <c r="H179" s="734"/>
      <c r="I179" s="736" t="str">
        <f t="shared" si="19"/>
        <v/>
      </c>
      <c r="J179" s="736" t="str">
        <f t="shared" si="20"/>
        <v/>
      </c>
      <c r="K179" s="736" t="str">
        <f t="shared" si="21"/>
        <v/>
      </c>
      <c r="M179" s="620" t="str">
        <f t="shared" si="22"/>
        <v/>
      </c>
      <c r="N179" s="621" t="str">
        <f t="shared" si="23"/>
        <v/>
      </c>
      <c r="O179" s="621" t="str">
        <f t="shared" si="24"/>
        <v/>
      </c>
      <c r="P179" s="765" t="str">
        <f t="shared" si="25"/>
        <v/>
      </c>
      <c r="Q179" s="621" t="str">
        <f t="shared" si="26"/>
        <v/>
      </c>
      <c r="R179" s="706" t="str">
        <f t="shared" si="27"/>
        <v/>
      </c>
      <c r="S179" s="767"/>
    </row>
    <row r="180" spans="3:19" x14ac:dyDescent="0.25">
      <c r="C180" s="622"/>
      <c r="D180" s="623"/>
      <c r="E180" s="618"/>
      <c r="F180" s="624"/>
      <c r="G180" s="734"/>
      <c r="H180" s="734"/>
      <c r="I180" s="736" t="str">
        <f t="shared" si="19"/>
        <v/>
      </c>
      <c r="J180" s="736" t="str">
        <f t="shared" si="20"/>
        <v/>
      </c>
      <c r="K180" s="736" t="str">
        <f t="shared" si="21"/>
        <v/>
      </c>
      <c r="M180" s="620" t="str">
        <f t="shared" si="22"/>
        <v/>
      </c>
      <c r="N180" s="621" t="str">
        <f t="shared" si="23"/>
        <v/>
      </c>
      <c r="O180" s="621" t="str">
        <f t="shared" si="24"/>
        <v/>
      </c>
      <c r="P180" s="765" t="str">
        <f t="shared" si="25"/>
        <v/>
      </c>
      <c r="Q180" s="621" t="str">
        <f t="shared" si="26"/>
        <v/>
      </c>
      <c r="R180" s="706" t="str">
        <f t="shared" si="27"/>
        <v/>
      </c>
      <c r="S180" s="767"/>
    </row>
    <row r="181" spans="3:19" x14ac:dyDescent="0.25">
      <c r="C181" s="622"/>
      <c r="D181" s="623"/>
      <c r="E181" s="618"/>
      <c r="F181" s="624"/>
      <c r="G181" s="734"/>
      <c r="H181" s="734"/>
      <c r="I181" s="736" t="str">
        <f t="shared" si="19"/>
        <v/>
      </c>
      <c r="J181" s="736" t="str">
        <f t="shared" si="20"/>
        <v/>
      </c>
      <c r="K181" s="736" t="str">
        <f t="shared" si="21"/>
        <v/>
      </c>
      <c r="M181" s="620" t="str">
        <f t="shared" si="22"/>
        <v/>
      </c>
      <c r="N181" s="621" t="str">
        <f t="shared" si="23"/>
        <v/>
      </c>
      <c r="O181" s="621" t="str">
        <f t="shared" si="24"/>
        <v/>
      </c>
      <c r="P181" s="765" t="str">
        <f t="shared" si="25"/>
        <v/>
      </c>
      <c r="Q181" s="621" t="str">
        <f t="shared" si="26"/>
        <v/>
      </c>
      <c r="R181" s="706" t="str">
        <f t="shared" si="27"/>
        <v/>
      </c>
      <c r="S181" s="767"/>
    </row>
    <row r="182" spans="3:19" x14ac:dyDescent="0.25">
      <c r="C182" s="622"/>
      <c r="D182" s="623"/>
      <c r="E182" s="618"/>
      <c r="F182" s="624"/>
      <c r="G182" s="734"/>
      <c r="H182" s="734"/>
      <c r="I182" s="736" t="str">
        <f t="shared" si="19"/>
        <v/>
      </c>
      <c r="J182" s="736" t="str">
        <f t="shared" si="20"/>
        <v/>
      </c>
      <c r="K182" s="736" t="str">
        <f t="shared" si="21"/>
        <v/>
      </c>
      <c r="M182" s="620" t="str">
        <f t="shared" si="22"/>
        <v/>
      </c>
      <c r="N182" s="621" t="str">
        <f t="shared" si="23"/>
        <v/>
      </c>
      <c r="O182" s="621" t="str">
        <f t="shared" si="24"/>
        <v/>
      </c>
      <c r="P182" s="765" t="str">
        <f t="shared" si="25"/>
        <v/>
      </c>
      <c r="Q182" s="621" t="str">
        <f t="shared" si="26"/>
        <v/>
      </c>
      <c r="R182" s="706" t="str">
        <f t="shared" si="27"/>
        <v/>
      </c>
      <c r="S182" s="767"/>
    </row>
    <row r="183" spans="3:19" x14ac:dyDescent="0.25">
      <c r="C183" s="622"/>
      <c r="D183" s="623"/>
      <c r="E183" s="618"/>
      <c r="F183" s="624"/>
      <c r="G183" s="734"/>
      <c r="H183" s="734"/>
      <c r="I183" s="736" t="str">
        <f t="shared" si="19"/>
        <v/>
      </c>
      <c r="J183" s="736" t="str">
        <f t="shared" si="20"/>
        <v/>
      </c>
      <c r="K183" s="736" t="str">
        <f t="shared" si="21"/>
        <v/>
      </c>
      <c r="M183" s="620" t="str">
        <f t="shared" si="22"/>
        <v/>
      </c>
      <c r="N183" s="621" t="str">
        <f t="shared" si="23"/>
        <v/>
      </c>
      <c r="O183" s="621" t="str">
        <f t="shared" si="24"/>
        <v/>
      </c>
      <c r="P183" s="765" t="str">
        <f t="shared" si="25"/>
        <v/>
      </c>
      <c r="Q183" s="621" t="str">
        <f t="shared" si="26"/>
        <v/>
      </c>
      <c r="R183" s="706" t="str">
        <f t="shared" si="27"/>
        <v/>
      </c>
      <c r="S183" s="767"/>
    </row>
    <row r="184" spans="3:19" x14ac:dyDescent="0.25">
      <c r="C184" s="622"/>
      <c r="D184" s="623"/>
      <c r="E184" s="618"/>
      <c r="F184" s="624"/>
      <c r="G184" s="734"/>
      <c r="H184" s="734"/>
      <c r="I184" s="736" t="str">
        <f t="shared" si="19"/>
        <v/>
      </c>
      <c r="J184" s="736" t="str">
        <f t="shared" si="20"/>
        <v/>
      </c>
      <c r="K184" s="736" t="str">
        <f t="shared" si="21"/>
        <v/>
      </c>
      <c r="M184" s="620" t="str">
        <f t="shared" si="22"/>
        <v/>
      </c>
      <c r="N184" s="621" t="str">
        <f t="shared" si="23"/>
        <v/>
      </c>
      <c r="O184" s="621" t="str">
        <f t="shared" si="24"/>
        <v/>
      </c>
      <c r="P184" s="765" t="str">
        <f t="shared" si="25"/>
        <v/>
      </c>
      <c r="Q184" s="621" t="str">
        <f t="shared" si="26"/>
        <v/>
      </c>
      <c r="R184" s="706" t="str">
        <f t="shared" si="27"/>
        <v/>
      </c>
      <c r="S184" s="767"/>
    </row>
    <row r="185" spans="3:19" x14ac:dyDescent="0.25">
      <c r="C185" s="622"/>
      <c r="D185" s="623"/>
      <c r="E185" s="618"/>
      <c r="F185" s="624"/>
      <c r="G185" s="734"/>
      <c r="H185" s="734"/>
      <c r="I185" s="736" t="str">
        <f t="shared" si="19"/>
        <v/>
      </c>
      <c r="J185" s="736" t="str">
        <f t="shared" si="20"/>
        <v/>
      </c>
      <c r="K185" s="736" t="str">
        <f t="shared" si="21"/>
        <v/>
      </c>
      <c r="M185" s="620" t="str">
        <f t="shared" si="22"/>
        <v/>
      </c>
      <c r="N185" s="621" t="str">
        <f t="shared" si="23"/>
        <v/>
      </c>
      <c r="O185" s="621" t="str">
        <f t="shared" si="24"/>
        <v/>
      </c>
      <c r="P185" s="765" t="str">
        <f t="shared" si="25"/>
        <v/>
      </c>
      <c r="Q185" s="621" t="str">
        <f t="shared" si="26"/>
        <v/>
      </c>
      <c r="R185" s="706" t="str">
        <f t="shared" si="27"/>
        <v/>
      </c>
      <c r="S185" s="767"/>
    </row>
    <row r="186" spans="3:19" x14ac:dyDescent="0.25">
      <c r="C186" s="622"/>
      <c r="D186" s="623"/>
      <c r="E186" s="618"/>
      <c r="F186" s="624"/>
      <c r="G186" s="734"/>
      <c r="H186" s="734"/>
      <c r="I186" s="736" t="str">
        <f t="shared" si="19"/>
        <v/>
      </c>
      <c r="J186" s="736" t="str">
        <f t="shared" si="20"/>
        <v/>
      </c>
      <c r="K186" s="736" t="str">
        <f t="shared" si="21"/>
        <v/>
      </c>
      <c r="M186" s="620" t="str">
        <f t="shared" si="22"/>
        <v/>
      </c>
      <c r="N186" s="621" t="str">
        <f t="shared" si="23"/>
        <v/>
      </c>
      <c r="O186" s="621" t="str">
        <f t="shared" si="24"/>
        <v/>
      </c>
      <c r="P186" s="765" t="str">
        <f t="shared" si="25"/>
        <v/>
      </c>
      <c r="Q186" s="621" t="str">
        <f t="shared" si="26"/>
        <v/>
      </c>
      <c r="R186" s="706" t="str">
        <f t="shared" si="27"/>
        <v/>
      </c>
      <c r="S186" s="767"/>
    </row>
    <row r="187" spans="3:19" x14ac:dyDescent="0.25">
      <c r="C187" s="622"/>
      <c r="D187" s="623"/>
      <c r="E187" s="618"/>
      <c r="F187" s="624"/>
      <c r="G187" s="734"/>
      <c r="H187" s="734"/>
      <c r="I187" s="736" t="str">
        <f t="shared" si="19"/>
        <v/>
      </c>
      <c r="J187" s="736" t="str">
        <f t="shared" si="20"/>
        <v/>
      </c>
      <c r="K187" s="736" t="str">
        <f t="shared" si="21"/>
        <v/>
      </c>
      <c r="M187" s="620" t="str">
        <f t="shared" si="22"/>
        <v/>
      </c>
      <c r="N187" s="621" t="str">
        <f t="shared" ref="N187:N218" si="28">IFERROR(INDEX(CNTR_FuelListIsZero, MATCH(E187, CNTR_FuelListNames, 0)),"")</f>
        <v/>
      </c>
      <c r="O187" s="621" t="str">
        <f t="shared" ref="O187:O218" si="29">IF(E187="","",IFERROR(NOT(ISNUMBER(INDEX(CNTR_FuelListSupportRate, MATCH(E187, CNTR_FuelListNames, 0)))),  ""))</f>
        <v/>
      </c>
      <c r="P187" s="765" t="str">
        <f t="shared" ref="P187:P218" si="30">IFERROR( OR( INDEX(CNTR_FuelListCompleteData, MATCH(E187, CNTR_FuelListNames, 0)) = FALSE,   INDEX(CNTR_FuelListIsFossil, MATCH(E187, CNTR_FuelListNames, 0)) = TRUE),  "")</f>
        <v/>
      </c>
      <c r="Q187" s="621" t="str">
        <f t="shared" ref="Q187:Q218" si="31">IFERROR(IF(INDEX(CNTR_FuelListSubType, MATCH(E187, CNTR_FuelListNames, 0)) = "",  "",  INDEX(CNTR_FuelListSubType, MATCH(E187, CNTR_FuelListNames, 0))),  "")</f>
        <v/>
      </c>
      <c r="R187" s="706" t="str">
        <f t="shared" ref="R187:R218" si="32">IFERROR(IF( AND(D187=TRUE, ISNUMBER(INDEX(CNTR_FuelListSupportRate, MATCH( E187, CNTR_FuelListNames, 0)))),   1,   INDEX(CNTR_FuelListSupportRate, MATCH(E187, CNTR_FuelListNames, 0))),  "")</f>
        <v/>
      </c>
      <c r="S187" s="767"/>
    </row>
    <row r="188" spans="3:19" x14ac:dyDescent="0.25">
      <c r="C188" s="622"/>
      <c r="D188" s="623"/>
      <c r="E188" s="618"/>
      <c r="F188" s="624"/>
      <c r="G188" s="734"/>
      <c r="H188" s="734"/>
      <c r="I188" s="736" t="str">
        <f t="shared" ref="I188:I251" si="33">IF(ISNUMBER($F188), IFERROR($F188*G188,"--"),"")</f>
        <v/>
      </c>
      <c r="J188" s="736" t="str">
        <f t="shared" ref="J188:J251" si="34">IF(AND(ISNUMBER($F188),N188=TRUE), IFERROR($F188*G188,"--"),"")</f>
        <v/>
      </c>
      <c r="K188" s="736" t="str">
        <f t="shared" ref="K188:K251" si="35">IF(ISNUMBER($F188), IFERROR($F188*H188,"--"),"")</f>
        <v/>
      </c>
      <c r="M188" s="620" t="str">
        <f t="shared" ref="M188:M251" si="36">IF(E188="","", IFERROR(IF(N188 = FALSE,  TRUE,  FALSE),  ""))</f>
        <v/>
      </c>
      <c r="N188" s="621" t="str">
        <f t="shared" si="28"/>
        <v/>
      </c>
      <c r="O188" s="621" t="str">
        <f t="shared" si="29"/>
        <v/>
      </c>
      <c r="P188" s="765" t="str">
        <f t="shared" si="30"/>
        <v/>
      </c>
      <c r="Q188" s="621" t="str">
        <f t="shared" si="31"/>
        <v/>
      </c>
      <c r="R188" s="706" t="str">
        <f t="shared" si="32"/>
        <v/>
      </c>
      <c r="S188" s="767"/>
    </row>
    <row r="189" spans="3:19" x14ac:dyDescent="0.25">
      <c r="C189" s="622"/>
      <c r="D189" s="623"/>
      <c r="E189" s="618"/>
      <c r="F189" s="624"/>
      <c r="G189" s="734"/>
      <c r="H189" s="734"/>
      <c r="I189" s="736" t="str">
        <f t="shared" si="33"/>
        <v/>
      </c>
      <c r="J189" s="736" t="str">
        <f t="shared" si="34"/>
        <v/>
      </c>
      <c r="K189" s="736" t="str">
        <f t="shared" si="35"/>
        <v/>
      </c>
      <c r="M189" s="620" t="str">
        <f t="shared" si="36"/>
        <v/>
      </c>
      <c r="N189" s="621" t="str">
        <f t="shared" si="28"/>
        <v/>
      </c>
      <c r="O189" s="621" t="str">
        <f t="shared" si="29"/>
        <v/>
      </c>
      <c r="P189" s="765" t="str">
        <f t="shared" si="30"/>
        <v/>
      </c>
      <c r="Q189" s="621" t="str">
        <f t="shared" si="31"/>
        <v/>
      </c>
      <c r="R189" s="706" t="str">
        <f t="shared" si="32"/>
        <v/>
      </c>
      <c r="S189" s="767"/>
    </row>
    <row r="190" spans="3:19" x14ac:dyDescent="0.25">
      <c r="C190" s="622"/>
      <c r="D190" s="623"/>
      <c r="E190" s="618"/>
      <c r="F190" s="624"/>
      <c r="G190" s="734"/>
      <c r="H190" s="734"/>
      <c r="I190" s="736" t="str">
        <f t="shared" si="33"/>
        <v/>
      </c>
      <c r="J190" s="736" t="str">
        <f t="shared" si="34"/>
        <v/>
      </c>
      <c r="K190" s="736" t="str">
        <f t="shared" si="35"/>
        <v/>
      </c>
      <c r="M190" s="620" t="str">
        <f t="shared" si="36"/>
        <v/>
      </c>
      <c r="N190" s="621" t="str">
        <f t="shared" si="28"/>
        <v/>
      </c>
      <c r="O190" s="621" t="str">
        <f t="shared" si="29"/>
        <v/>
      </c>
      <c r="P190" s="765" t="str">
        <f t="shared" si="30"/>
        <v/>
      </c>
      <c r="Q190" s="621" t="str">
        <f t="shared" si="31"/>
        <v/>
      </c>
      <c r="R190" s="706" t="str">
        <f t="shared" si="32"/>
        <v/>
      </c>
      <c r="S190" s="767"/>
    </row>
    <row r="191" spans="3:19" x14ac:dyDescent="0.25">
      <c r="C191" s="622"/>
      <c r="D191" s="623"/>
      <c r="E191" s="618"/>
      <c r="F191" s="624"/>
      <c r="G191" s="734"/>
      <c r="H191" s="734"/>
      <c r="I191" s="736" t="str">
        <f t="shared" si="33"/>
        <v/>
      </c>
      <c r="J191" s="736" t="str">
        <f t="shared" si="34"/>
        <v/>
      </c>
      <c r="K191" s="736" t="str">
        <f t="shared" si="35"/>
        <v/>
      </c>
      <c r="M191" s="620" t="str">
        <f t="shared" si="36"/>
        <v/>
      </c>
      <c r="N191" s="621" t="str">
        <f t="shared" si="28"/>
        <v/>
      </c>
      <c r="O191" s="621" t="str">
        <f t="shared" si="29"/>
        <v/>
      </c>
      <c r="P191" s="765" t="str">
        <f t="shared" si="30"/>
        <v/>
      </c>
      <c r="Q191" s="621" t="str">
        <f t="shared" si="31"/>
        <v/>
      </c>
      <c r="R191" s="706" t="str">
        <f t="shared" si="32"/>
        <v/>
      </c>
      <c r="S191" s="767"/>
    </row>
    <row r="192" spans="3:19" x14ac:dyDescent="0.25">
      <c r="C192" s="622"/>
      <c r="D192" s="623"/>
      <c r="E192" s="618"/>
      <c r="F192" s="624"/>
      <c r="G192" s="734"/>
      <c r="H192" s="734"/>
      <c r="I192" s="736" t="str">
        <f t="shared" si="33"/>
        <v/>
      </c>
      <c r="J192" s="736" t="str">
        <f t="shared" si="34"/>
        <v/>
      </c>
      <c r="K192" s="736" t="str">
        <f t="shared" si="35"/>
        <v/>
      </c>
      <c r="M192" s="620" t="str">
        <f t="shared" si="36"/>
        <v/>
      </c>
      <c r="N192" s="621" t="str">
        <f t="shared" si="28"/>
        <v/>
      </c>
      <c r="O192" s="621" t="str">
        <f t="shared" si="29"/>
        <v/>
      </c>
      <c r="P192" s="765" t="str">
        <f t="shared" si="30"/>
        <v/>
      </c>
      <c r="Q192" s="621" t="str">
        <f t="shared" si="31"/>
        <v/>
      </c>
      <c r="R192" s="706" t="str">
        <f t="shared" si="32"/>
        <v/>
      </c>
      <c r="S192" s="767"/>
    </row>
    <row r="193" spans="3:19" x14ac:dyDescent="0.25">
      <c r="C193" s="622"/>
      <c r="D193" s="623"/>
      <c r="E193" s="618"/>
      <c r="F193" s="624"/>
      <c r="G193" s="734"/>
      <c r="H193" s="734"/>
      <c r="I193" s="736" t="str">
        <f t="shared" si="33"/>
        <v/>
      </c>
      <c r="J193" s="736" t="str">
        <f t="shared" si="34"/>
        <v/>
      </c>
      <c r="K193" s="736" t="str">
        <f t="shared" si="35"/>
        <v/>
      </c>
      <c r="M193" s="620" t="str">
        <f t="shared" si="36"/>
        <v/>
      </c>
      <c r="N193" s="621" t="str">
        <f t="shared" si="28"/>
        <v/>
      </c>
      <c r="O193" s="621" t="str">
        <f t="shared" si="29"/>
        <v/>
      </c>
      <c r="P193" s="765" t="str">
        <f t="shared" si="30"/>
        <v/>
      </c>
      <c r="Q193" s="621" t="str">
        <f t="shared" si="31"/>
        <v/>
      </c>
      <c r="R193" s="706" t="str">
        <f t="shared" si="32"/>
        <v/>
      </c>
      <c r="S193" s="767"/>
    </row>
    <row r="194" spans="3:19" x14ac:dyDescent="0.25">
      <c r="C194" s="622"/>
      <c r="D194" s="623"/>
      <c r="E194" s="618"/>
      <c r="F194" s="624"/>
      <c r="G194" s="734"/>
      <c r="H194" s="734"/>
      <c r="I194" s="736" t="str">
        <f t="shared" si="33"/>
        <v/>
      </c>
      <c r="J194" s="736" t="str">
        <f t="shared" si="34"/>
        <v/>
      </c>
      <c r="K194" s="736" t="str">
        <f t="shared" si="35"/>
        <v/>
      </c>
      <c r="M194" s="620" t="str">
        <f t="shared" si="36"/>
        <v/>
      </c>
      <c r="N194" s="621" t="str">
        <f t="shared" si="28"/>
        <v/>
      </c>
      <c r="O194" s="621" t="str">
        <f t="shared" si="29"/>
        <v/>
      </c>
      <c r="P194" s="765" t="str">
        <f t="shared" si="30"/>
        <v/>
      </c>
      <c r="Q194" s="621" t="str">
        <f t="shared" si="31"/>
        <v/>
      </c>
      <c r="R194" s="706" t="str">
        <f t="shared" si="32"/>
        <v/>
      </c>
      <c r="S194" s="767"/>
    </row>
    <row r="195" spans="3:19" x14ac:dyDescent="0.25">
      <c r="C195" s="622"/>
      <c r="D195" s="623"/>
      <c r="E195" s="618"/>
      <c r="F195" s="624"/>
      <c r="G195" s="734"/>
      <c r="H195" s="734"/>
      <c r="I195" s="736" t="str">
        <f t="shared" si="33"/>
        <v/>
      </c>
      <c r="J195" s="736" t="str">
        <f t="shared" si="34"/>
        <v/>
      </c>
      <c r="K195" s="736" t="str">
        <f t="shared" si="35"/>
        <v/>
      </c>
      <c r="M195" s="620" t="str">
        <f t="shared" si="36"/>
        <v/>
      </c>
      <c r="N195" s="621" t="str">
        <f t="shared" si="28"/>
        <v/>
      </c>
      <c r="O195" s="621" t="str">
        <f t="shared" si="29"/>
        <v/>
      </c>
      <c r="P195" s="765" t="str">
        <f t="shared" si="30"/>
        <v/>
      </c>
      <c r="Q195" s="621" t="str">
        <f t="shared" si="31"/>
        <v/>
      </c>
      <c r="R195" s="706" t="str">
        <f t="shared" si="32"/>
        <v/>
      </c>
      <c r="S195" s="767"/>
    </row>
    <row r="196" spans="3:19" x14ac:dyDescent="0.25">
      <c r="C196" s="622"/>
      <c r="D196" s="623"/>
      <c r="E196" s="618"/>
      <c r="F196" s="624"/>
      <c r="G196" s="734"/>
      <c r="H196" s="734"/>
      <c r="I196" s="736" t="str">
        <f t="shared" si="33"/>
        <v/>
      </c>
      <c r="J196" s="736" t="str">
        <f t="shared" si="34"/>
        <v/>
      </c>
      <c r="K196" s="736" t="str">
        <f t="shared" si="35"/>
        <v/>
      </c>
      <c r="M196" s="620" t="str">
        <f t="shared" si="36"/>
        <v/>
      </c>
      <c r="N196" s="621" t="str">
        <f t="shared" si="28"/>
        <v/>
      </c>
      <c r="O196" s="621" t="str">
        <f t="shared" si="29"/>
        <v/>
      </c>
      <c r="P196" s="765" t="str">
        <f t="shared" si="30"/>
        <v/>
      </c>
      <c r="Q196" s="621" t="str">
        <f t="shared" si="31"/>
        <v/>
      </c>
      <c r="R196" s="706" t="str">
        <f t="shared" si="32"/>
        <v/>
      </c>
      <c r="S196" s="767"/>
    </row>
    <row r="197" spans="3:19" x14ac:dyDescent="0.25">
      <c r="C197" s="622"/>
      <c r="D197" s="623"/>
      <c r="E197" s="618"/>
      <c r="F197" s="624"/>
      <c r="G197" s="734"/>
      <c r="H197" s="734"/>
      <c r="I197" s="736" t="str">
        <f t="shared" si="33"/>
        <v/>
      </c>
      <c r="J197" s="736" t="str">
        <f t="shared" si="34"/>
        <v/>
      </c>
      <c r="K197" s="736" t="str">
        <f t="shared" si="35"/>
        <v/>
      </c>
      <c r="M197" s="620" t="str">
        <f t="shared" si="36"/>
        <v/>
      </c>
      <c r="N197" s="621" t="str">
        <f t="shared" si="28"/>
        <v/>
      </c>
      <c r="O197" s="621" t="str">
        <f t="shared" si="29"/>
        <v/>
      </c>
      <c r="P197" s="765" t="str">
        <f t="shared" si="30"/>
        <v/>
      </c>
      <c r="Q197" s="621" t="str">
        <f t="shared" si="31"/>
        <v/>
      </c>
      <c r="R197" s="706" t="str">
        <f t="shared" si="32"/>
        <v/>
      </c>
      <c r="S197" s="767"/>
    </row>
    <row r="198" spans="3:19" x14ac:dyDescent="0.25">
      <c r="C198" s="622"/>
      <c r="D198" s="623"/>
      <c r="E198" s="618"/>
      <c r="F198" s="624"/>
      <c r="G198" s="734"/>
      <c r="H198" s="734"/>
      <c r="I198" s="736" t="str">
        <f t="shared" si="33"/>
        <v/>
      </c>
      <c r="J198" s="736" t="str">
        <f t="shared" si="34"/>
        <v/>
      </c>
      <c r="K198" s="736" t="str">
        <f t="shared" si="35"/>
        <v/>
      </c>
      <c r="M198" s="620" t="str">
        <f t="shared" si="36"/>
        <v/>
      </c>
      <c r="N198" s="621" t="str">
        <f t="shared" si="28"/>
        <v/>
      </c>
      <c r="O198" s="621" t="str">
        <f t="shared" si="29"/>
        <v/>
      </c>
      <c r="P198" s="765" t="str">
        <f t="shared" si="30"/>
        <v/>
      </c>
      <c r="Q198" s="621" t="str">
        <f t="shared" si="31"/>
        <v/>
      </c>
      <c r="R198" s="706" t="str">
        <f t="shared" si="32"/>
        <v/>
      </c>
      <c r="S198" s="767"/>
    </row>
    <row r="199" spans="3:19" x14ac:dyDescent="0.25">
      <c r="C199" s="622"/>
      <c r="D199" s="623"/>
      <c r="E199" s="618"/>
      <c r="F199" s="624"/>
      <c r="G199" s="734"/>
      <c r="H199" s="734"/>
      <c r="I199" s="736" t="str">
        <f t="shared" si="33"/>
        <v/>
      </c>
      <c r="J199" s="736" t="str">
        <f t="shared" si="34"/>
        <v/>
      </c>
      <c r="K199" s="736" t="str">
        <f t="shared" si="35"/>
        <v/>
      </c>
      <c r="M199" s="620" t="str">
        <f t="shared" si="36"/>
        <v/>
      </c>
      <c r="N199" s="621" t="str">
        <f t="shared" si="28"/>
        <v/>
      </c>
      <c r="O199" s="621" t="str">
        <f t="shared" si="29"/>
        <v/>
      </c>
      <c r="P199" s="765" t="str">
        <f t="shared" si="30"/>
        <v/>
      </c>
      <c r="Q199" s="621" t="str">
        <f t="shared" si="31"/>
        <v/>
      </c>
      <c r="R199" s="706" t="str">
        <f t="shared" si="32"/>
        <v/>
      </c>
      <c r="S199" s="767"/>
    </row>
    <row r="200" spans="3:19" x14ac:dyDescent="0.25">
      <c r="C200" s="622"/>
      <c r="D200" s="623"/>
      <c r="E200" s="618"/>
      <c r="F200" s="624"/>
      <c r="G200" s="734"/>
      <c r="H200" s="734"/>
      <c r="I200" s="736" t="str">
        <f t="shared" si="33"/>
        <v/>
      </c>
      <c r="J200" s="736" t="str">
        <f t="shared" si="34"/>
        <v/>
      </c>
      <c r="K200" s="736" t="str">
        <f t="shared" si="35"/>
        <v/>
      </c>
      <c r="M200" s="620" t="str">
        <f t="shared" si="36"/>
        <v/>
      </c>
      <c r="N200" s="621" t="str">
        <f t="shared" si="28"/>
        <v/>
      </c>
      <c r="O200" s="621" t="str">
        <f t="shared" si="29"/>
        <v/>
      </c>
      <c r="P200" s="765" t="str">
        <f t="shared" si="30"/>
        <v/>
      </c>
      <c r="Q200" s="621" t="str">
        <f t="shared" si="31"/>
        <v/>
      </c>
      <c r="R200" s="706" t="str">
        <f t="shared" si="32"/>
        <v/>
      </c>
      <c r="S200" s="767"/>
    </row>
    <row r="201" spans="3:19" x14ac:dyDescent="0.25">
      <c r="C201" s="622"/>
      <c r="D201" s="623"/>
      <c r="E201" s="618"/>
      <c r="F201" s="624"/>
      <c r="G201" s="734"/>
      <c r="H201" s="734"/>
      <c r="I201" s="736" t="str">
        <f t="shared" si="33"/>
        <v/>
      </c>
      <c r="J201" s="736" t="str">
        <f t="shared" si="34"/>
        <v/>
      </c>
      <c r="K201" s="736" t="str">
        <f t="shared" si="35"/>
        <v/>
      </c>
      <c r="M201" s="620" t="str">
        <f t="shared" si="36"/>
        <v/>
      </c>
      <c r="N201" s="621" t="str">
        <f t="shared" si="28"/>
        <v/>
      </c>
      <c r="O201" s="621" t="str">
        <f t="shared" si="29"/>
        <v/>
      </c>
      <c r="P201" s="765" t="str">
        <f t="shared" si="30"/>
        <v/>
      </c>
      <c r="Q201" s="621" t="str">
        <f t="shared" si="31"/>
        <v/>
      </c>
      <c r="R201" s="706" t="str">
        <f t="shared" si="32"/>
        <v/>
      </c>
      <c r="S201" s="767"/>
    </row>
    <row r="202" spans="3:19" x14ac:dyDescent="0.25">
      <c r="C202" s="622"/>
      <c r="D202" s="623"/>
      <c r="E202" s="618"/>
      <c r="F202" s="624"/>
      <c r="G202" s="734"/>
      <c r="H202" s="734"/>
      <c r="I202" s="736" t="str">
        <f t="shared" si="33"/>
        <v/>
      </c>
      <c r="J202" s="736" t="str">
        <f t="shared" si="34"/>
        <v/>
      </c>
      <c r="K202" s="736" t="str">
        <f t="shared" si="35"/>
        <v/>
      </c>
      <c r="M202" s="620" t="str">
        <f t="shared" si="36"/>
        <v/>
      </c>
      <c r="N202" s="621" t="str">
        <f t="shared" si="28"/>
        <v/>
      </c>
      <c r="O202" s="621" t="str">
        <f t="shared" si="29"/>
        <v/>
      </c>
      <c r="P202" s="765" t="str">
        <f t="shared" si="30"/>
        <v/>
      </c>
      <c r="Q202" s="621" t="str">
        <f t="shared" si="31"/>
        <v/>
      </c>
      <c r="R202" s="706" t="str">
        <f t="shared" si="32"/>
        <v/>
      </c>
      <c r="S202" s="767"/>
    </row>
    <row r="203" spans="3:19" x14ac:dyDescent="0.25">
      <c r="C203" s="622"/>
      <c r="D203" s="623"/>
      <c r="E203" s="618"/>
      <c r="F203" s="624"/>
      <c r="G203" s="734"/>
      <c r="H203" s="734"/>
      <c r="I203" s="736" t="str">
        <f t="shared" si="33"/>
        <v/>
      </c>
      <c r="J203" s="736" t="str">
        <f t="shared" si="34"/>
        <v/>
      </c>
      <c r="K203" s="736" t="str">
        <f t="shared" si="35"/>
        <v/>
      </c>
      <c r="M203" s="620" t="str">
        <f t="shared" si="36"/>
        <v/>
      </c>
      <c r="N203" s="621" t="str">
        <f t="shared" si="28"/>
        <v/>
      </c>
      <c r="O203" s="621" t="str">
        <f t="shared" si="29"/>
        <v/>
      </c>
      <c r="P203" s="765" t="str">
        <f t="shared" si="30"/>
        <v/>
      </c>
      <c r="Q203" s="621" t="str">
        <f t="shared" si="31"/>
        <v/>
      </c>
      <c r="R203" s="706" t="str">
        <f t="shared" si="32"/>
        <v/>
      </c>
      <c r="S203" s="767"/>
    </row>
    <row r="204" spans="3:19" x14ac:dyDescent="0.25">
      <c r="C204" s="622"/>
      <c r="D204" s="623"/>
      <c r="E204" s="618"/>
      <c r="F204" s="624"/>
      <c r="G204" s="734"/>
      <c r="H204" s="734"/>
      <c r="I204" s="736" t="str">
        <f t="shared" si="33"/>
        <v/>
      </c>
      <c r="J204" s="736" t="str">
        <f t="shared" si="34"/>
        <v/>
      </c>
      <c r="K204" s="736" t="str">
        <f t="shared" si="35"/>
        <v/>
      </c>
      <c r="M204" s="620" t="str">
        <f t="shared" si="36"/>
        <v/>
      </c>
      <c r="N204" s="621" t="str">
        <f t="shared" si="28"/>
        <v/>
      </c>
      <c r="O204" s="621" t="str">
        <f t="shared" si="29"/>
        <v/>
      </c>
      <c r="P204" s="765" t="str">
        <f t="shared" si="30"/>
        <v/>
      </c>
      <c r="Q204" s="621" t="str">
        <f t="shared" si="31"/>
        <v/>
      </c>
      <c r="R204" s="706" t="str">
        <f t="shared" si="32"/>
        <v/>
      </c>
      <c r="S204" s="767"/>
    </row>
    <row r="205" spans="3:19" x14ac:dyDescent="0.25">
      <c r="C205" s="622"/>
      <c r="D205" s="623"/>
      <c r="E205" s="618"/>
      <c r="F205" s="624"/>
      <c r="G205" s="734"/>
      <c r="H205" s="734"/>
      <c r="I205" s="736" t="str">
        <f t="shared" si="33"/>
        <v/>
      </c>
      <c r="J205" s="736" t="str">
        <f t="shared" si="34"/>
        <v/>
      </c>
      <c r="K205" s="736" t="str">
        <f t="shared" si="35"/>
        <v/>
      </c>
      <c r="M205" s="620" t="str">
        <f t="shared" si="36"/>
        <v/>
      </c>
      <c r="N205" s="621" t="str">
        <f t="shared" si="28"/>
        <v/>
      </c>
      <c r="O205" s="621" t="str">
        <f t="shared" si="29"/>
        <v/>
      </c>
      <c r="P205" s="765" t="str">
        <f t="shared" si="30"/>
        <v/>
      </c>
      <c r="Q205" s="621" t="str">
        <f t="shared" si="31"/>
        <v/>
      </c>
      <c r="R205" s="706" t="str">
        <f t="shared" si="32"/>
        <v/>
      </c>
      <c r="S205" s="767"/>
    </row>
    <row r="206" spans="3:19" x14ac:dyDescent="0.25">
      <c r="C206" s="622"/>
      <c r="D206" s="623"/>
      <c r="E206" s="618"/>
      <c r="F206" s="624"/>
      <c r="G206" s="734"/>
      <c r="H206" s="734"/>
      <c r="I206" s="736" t="str">
        <f t="shared" si="33"/>
        <v/>
      </c>
      <c r="J206" s="736" t="str">
        <f t="shared" si="34"/>
        <v/>
      </c>
      <c r="K206" s="736" t="str">
        <f t="shared" si="35"/>
        <v/>
      </c>
      <c r="M206" s="620" t="str">
        <f t="shared" si="36"/>
        <v/>
      </c>
      <c r="N206" s="621" t="str">
        <f t="shared" si="28"/>
        <v/>
      </c>
      <c r="O206" s="621" t="str">
        <f t="shared" si="29"/>
        <v/>
      </c>
      <c r="P206" s="765" t="str">
        <f t="shared" si="30"/>
        <v/>
      </c>
      <c r="Q206" s="621" t="str">
        <f t="shared" si="31"/>
        <v/>
      </c>
      <c r="R206" s="706" t="str">
        <f t="shared" si="32"/>
        <v/>
      </c>
      <c r="S206" s="767"/>
    </row>
    <row r="207" spans="3:19" x14ac:dyDescent="0.25">
      <c r="C207" s="622"/>
      <c r="D207" s="623"/>
      <c r="E207" s="618"/>
      <c r="F207" s="624"/>
      <c r="G207" s="734"/>
      <c r="H207" s="734"/>
      <c r="I207" s="736" t="str">
        <f t="shared" si="33"/>
        <v/>
      </c>
      <c r="J207" s="736" t="str">
        <f t="shared" si="34"/>
        <v/>
      </c>
      <c r="K207" s="736" t="str">
        <f t="shared" si="35"/>
        <v/>
      </c>
      <c r="M207" s="620" t="str">
        <f t="shared" si="36"/>
        <v/>
      </c>
      <c r="N207" s="621" t="str">
        <f t="shared" si="28"/>
        <v/>
      </c>
      <c r="O207" s="621" t="str">
        <f t="shared" si="29"/>
        <v/>
      </c>
      <c r="P207" s="765" t="str">
        <f t="shared" si="30"/>
        <v/>
      </c>
      <c r="Q207" s="621" t="str">
        <f t="shared" si="31"/>
        <v/>
      </c>
      <c r="R207" s="706" t="str">
        <f t="shared" si="32"/>
        <v/>
      </c>
      <c r="S207" s="767"/>
    </row>
    <row r="208" spans="3:19" x14ac:dyDescent="0.25">
      <c r="C208" s="622"/>
      <c r="D208" s="623"/>
      <c r="E208" s="618"/>
      <c r="F208" s="624"/>
      <c r="G208" s="734"/>
      <c r="H208" s="734"/>
      <c r="I208" s="736" t="str">
        <f t="shared" si="33"/>
        <v/>
      </c>
      <c r="J208" s="736" t="str">
        <f t="shared" si="34"/>
        <v/>
      </c>
      <c r="K208" s="736" t="str">
        <f t="shared" si="35"/>
        <v/>
      </c>
      <c r="M208" s="620" t="str">
        <f t="shared" si="36"/>
        <v/>
      </c>
      <c r="N208" s="621" t="str">
        <f t="shared" si="28"/>
        <v/>
      </c>
      <c r="O208" s="621" t="str">
        <f t="shared" si="29"/>
        <v/>
      </c>
      <c r="P208" s="765" t="str">
        <f t="shared" si="30"/>
        <v/>
      </c>
      <c r="Q208" s="621" t="str">
        <f t="shared" si="31"/>
        <v/>
      </c>
      <c r="R208" s="706" t="str">
        <f t="shared" si="32"/>
        <v/>
      </c>
      <c r="S208" s="767"/>
    </row>
    <row r="209" spans="3:19" x14ac:dyDescent="0.25">
      <c r="C209" s="622"/>
      <c r="D209" s="623"/>
      <c r="E209" s="618"/>
      <c r="F209" s="624"/>
      <c r="G209" s="734"/>
      <c r="H209" s="734"/>
      <c r="I209" s="736" t="str">
        <f t="shared" si="33"/>
        <v/>
      </c>
      <c r="J209" s="736" t="str">
        <f t="shared" si="34"/>
        <v/>
      </c>
      <c r="K209" s="736" t="str">
        <f t="shared" si="35"/>
        <v/>
      </c>
      <c r="M209" s="620" t="str">
        <f t="shared" si="36"/>
        <v/>
      </c>
      <c r="N209" s="621" t="str">
        <f t="shared" si="28"/>
        <v/>
      </c>
      <c r="O209" s="621" t="str">
        <f t="shared" si="29"/>
        <v/>
      </c>
      <c r="P209" s="765" t="str">
        <f t="shared" si="30"/>
        <v/>
      </c>
      <c r="Q209" s="621" t="str">
        <f t="shared" si="31"/>
        <v/>
      </c>
      <c r="R209" s="706" t="str">
        <f t="shared" si="32"/>
        <v/>
      </c>
      <c r="S209" s="767"/>
    </row>
    <row r="210" spans="3:19" x14ac:dyDescent="0.25">
      <c r="C210" s="622"/>
      <c r="D210" s="623"/>
      <c r="E210" s="618"/>
      <c r="F210" s="624"/>
      <c r="G210" s="734"/>
      <c r="H210" s="734"/>
      <c r="I210" s="736" t="str">
        <f t="shared" si="33"/>
        <v/>
      </c>
      <c r="J210" s="736" t="str">
        <f t="shared" si="34"/>
        <v/>
      </c>
      <c r="K210" s="736" t="str">
        <f t="shared" si="35"/>
        <v/>
      </c>
      <c r="M210" s="620" t="str">
        <f t="shared" si="36"/>
        <v/>
      </c>
      <c r="N210" s="621" t="str">
        <f t="shared" si="28"/>
        <v/>
      </c>
      <c r="O210" s="621" t="str">
        <f t="shared" si="29"/>
        <v/>
      </c>
      <c r="P210" s="765" t="str">
        <f t="shared" si="30"/>
        <v/>
      </c>
      <c r="Q210" s="621" t="str">
        <f t="shared" si="31"/>
        <v/>
      </c>
      <c r="R210" s="706" t="str">
        <f t="shared" si="32"/>
        <v/>
      </c>
      <c r="S210" s="767"/>
    </row>
    <row r="211" spans="3:19" x14ac:dyDescent="0.25">
      <c r="C211" s="622"/>
      <c r="D211" s="623"/>
      <c r="E211" s="618"/>
      <c r="F211" s="624"/>
      <c r="G211" s="734"/>
      <c r="H211" s="734"/>
      <c r="I211" s="736" t="str">
        <f t="shared" si="33"/>
        <v/>
      </c>
      <c r="J211" s="736" t="str">
        <f t="shared" si="34"/>
        <v/>
      </c>
      <c r="K211" s="736" t="str">
        <f t="shared" si="35"/>
        <v/>
      </c>
      <c r="M211" s="620" t="str">
        <f t="shared" si="36"/>
        <v/>
      </c>
      <c r="N211" s="621" t="str">
        <f t="shared" si="28"/>
        <v/>
      </c>
      <c r="O211" s="621" t="str">
        <f t="shared" si="29"/>
        <v/>
      </c>
      <c r="P211" s="765" t="str">
        <f t="shared" si="30"/>
        <v/>
      </c>
      <c r="Q211" s="621" t="str">
        <f t="shared" si="31"/>
        <v/>
      </c>
      <c r="R211" s="706" t="str">
        <f t="shared" si="32"/>
        <v/>
      </c>
      <c r="S211" s="767"/>
    </row>
    <row r="212" spans="3:19" x14ac:dyDescent="0.25">
      <c r="C212" s="622"/>
      <c r="D212" s="623"/>
      <c r="E212" s="618"/>
      <c r="F212" s="624"/>
      <c r="G212" s="734"/>
      <c r="H212" s="734"/>
      <c r="I212" s="736" t="str">
        <f t="shared" si="33"/>
        <v/>
      </c>
      <c r="J212" s="736" t="str">
        <f t="shared" si="34"/>
        <v/>
      </c>
      <c r="K212" s="736" t="str">
        <f t="shared" si="35"/>
        <v/>
      </c>
      <c r="M212" s="620" t="str">
        <f t="shared" si="36"/>
        <v/>
      </c>
      <c r="N212" s="621" t="str">
        <f t="shared" si="28"/>
        <v/>
      </c>
      <c r="O212" s="621" t="str">
        <f t="shared" si="29"/>
        <v/>
      </c>
      <c r="P212" s="765" t="str">
        <f t="shared" si="30"/>
        <v/>
      </c>
      <c r="Q212" s="621" t="str">
        <f t="shared" si="31"/>
        <v/>
      </c>
      <c r="R212" s="706" t="str">
        <f t="shared" si="32"/>
        <v/>
      </c>
      <c r="S212" s="767"/>
    </row>
    <row r="213" spans="3:19" x14ac:dyDescent="0.25">
      <c r="C213" s="622"/>
      <c r="D213" s="623"/>
      <c r="E213" s="618"/>
      <c r="F213" s="624"/>
      <c r="G213" s="734"/>
      <c r="H213" s="734"/>
      <c r="I213" s="736" t="str">
        <f t="shared" si="33"/>
        <v/>
      </c>
      <c r="J213" s="736" t="str">
        <f t="shared" si="34"/>
        <v/>
      </c>
      <c r="K213" s="736" t="str">
        <f t="shared" si="35"/>
        <v/>
      </c>
      <c r="M213" s="620" t="str">
        <f t="shared" si="36"/>
        <v/>
      </c>
      <c r="N213" s="621" t="str">
        <f t="shared" si="28"/>
        <v/>
      </c>
      <c r="O213" s="621" t="str">
        <f t="shared" si="29"/>
        <v/>
      </c>
      <c r="P213" s="765" t="str">
        <f t="shared" si="30"/>
        <v/>
      </c>
      <c r="Q213" s="621" t="str">
        <f t="shared" si="31"/>
        <v/>
      </c>
      <c r="R213" s="706" t="str">
        <f t="shared" si="32"/>
        <v/>
      </c>
      <c r="S213" s="767"/>
    </row>
    <row r="214" spans="3:19" x14ac:dyDescent="0.25">
      <c r="C214" s="622"/>
      <c r="D214" s="623"/>
      <c r="E214" s="618"/>
      <c r="F214" s="624"/>
      <c r="G214" s="734"/>
      <c r="H214" s="734"/>
      <c r="I214" s="736" t="str">
        <f t="shared" si="33"/>
        <v/>
      </c>
      <c r="J214" s="736" t="str">
        <f t="shared" si="34"/>
        <v/>
      </c>
      <c r="K214" s="736" t="str">
        <f t="shared" si="35"/>
        <v/>
      </c>
      <c r="M214" s="620" t="str">
        <f t="shared" si="36"/>
        <v/>
      </c>
      <c r="N214" s="621" t="str">
        <f t="shared" si="28"/>
        <v/>
      </c>
      <c r="O214" s="621" t="str">
        <f t="shared" si="29"/>
        <v/>
      </c>
      <c r="P214" s="765" t="str">
        <f t="shared" si="30"/>
        <v/>
      </c>
      <c r="Q214" s="621" t="str">
        <f t="shared" si="31"/>
        <v/>
      </c>
      <c r="R214" s="706" t="str">
        <f t="shared" si="32"/>
        <v/>
      </c>
      <c r="S214" s="767"/>
    </row>
    <row r="215" spans="3:19" x14ac:dyDescent="0.25">
      <c r="C215" s="622"/>
      <c r="D215" s="623"/>
      <c r="E215" s="618"/>
      <c r="F215" s="624"/>
      <c r="G215" s="734"/>
      <c r="H215" s="734"/>
      <c r="I215" s="736" t="str">
        <f t="shared" si="33"/>
        <v/>
      </c>
      <c r="J215" s="736" t="str">
        <f t="shared" si="34"/>
        <v/>
      </c>
      <c r="K215" s="736" t="str">
        <f t="shared" si="35"/>
        <v/>
      </c>
      <c r="M215" s="620" t="str">
        <f t="shared" si="36"/>
        <v/>
      </c>
      <c r="N215" s="621" t="str">
        <f t="shared" si="28"/>
        <v/>
      </c>
      <c r="O215" s="621" t="str">
        <f t="shared" si="29"/>
        <v/>
      </c>
      <c r="P215" s="765" t="str">
        <f t="shared" si="30"/>
        <v/>
      </c>
      <c r="Q215" s="621" t="str">
        <f t="shared" si="31"/>
        <v/>
      </c>
      <c r="R215" s="706" t="str">
        <f t="shared" si="32"/>
        <v/>
      </c>
      <c r="S215" s="767"/>
    </row>
    <row r="216" spans="3:19" x14ac:dyDescent="0.25">
      <c r="C216" s="622"/>
      <c r="D216" s="623"/>
      <c r="E216" s="618"/>
      <c r="F216" s="624"/>
      <c r="G216" s="734"/>
      <c r="H216" s="734"/>
      <c r="I216" s="736" t="str">
        <f t="shared" si="33"/>
        <v/>
      </c>
      <c r="J216" s="736" t="str">
        <f t="shared" si="34"/>
        <v/>
      </c>
      <c r="K216" s="736" t="str">
        <f t="shared" si="35"/>
        <v/>
      </c>
      <c r="M216" s="620" t="str">
        <f t="shared" si="36"/>
        <v/>
      </c>
      <c r="N216" s="621" t="str">
        <f t="shared" si="28"/>
        <v/>
      </c>
      <c r="O216" s="621" t="str">
        <f t="shared" si="29"/>
        <v/>
      </c>
      <c r="P216" s="765" t="str">
        <f t="shared" si="30"/>
        <v/>
      </c>
      <c r="Q216" s="621" t="str">
        <f t="shared" si="31"/>
        <v/>
      </c>
      <c r="R216" s="706" t="str">
        <f t="shared" si="32"/>
        <v/>
      </c>
      <c r="S216" s="767"/>
    </row>
    <row r="217" spans="3:19" x14ac:dyDescent="0.25">
      <c r="C217" s="622"/>
      <c r="D217" s="623"/>
      <c r="E217" s="618"/>
      <c r="F217" s="624"/>
      <c r="G217" s="734"/>
      <c r="H217" s="734"/>
      <c r="I217" s="736" t="str">
        <f t="shared" si="33"/>
        <v/>
      </c>
      <c r="J217" s="736" t="str">
        <f t="shared" si="34"/>
        <v/>
      </c>
      <c r="K217" s="736" t="str">
        <f t="shared" si="35"/>
        <v/>
      </c>
      <c r="M217" s="620" t="str">
        <f t="shared" si="36"/>
        <v/>
      </c>
      <c r="N217" s="621" t="str">
        <f t="shared" si="28"/>
        <v/>
      </c>
      <c r="O217" s="621" t="str">
        <f t="shared" si="29"/>
        <v/>
      </c>
      <c r="P217" s="765" t="str">
        <f t="shared" si="30"/>
        <v/>
      </c>
      <c r="Q217" s="621" t="str">
        <f t="shared" si="31"/>
        <v/>
      </c>
      <c r="R217" s="706" t="str">
        <f t="shared" si="32"/>
        <v/>
      </c>
      <c r="S217" s="767"/>
    </row>
    <row r="218" spans="3:19" x14ac:dyDescent="0.25">
      <c r="C218" s="622"/>
      <c r="D218" s="623"/>
      <c r="E218" s="618"/>
      <c r="F218" s="624"/>
      <c r="G218" s="734"/>
      <c r="H218" s="734"/>
      <c r="I218" s="736" t="str">
        <f t="shared" si="33"/>
        <v/>
      </c>
      <c r="J218" s="736" t="str">
        <f t="shared" si="34"/>
        <v/>
      </c>
      <c r="K218" s="736" t="str">
        <f t="shared" si="35"/>
        <v/>
      </c>
      <c r="M218" s="620" t="str">
        <f t="shared" si="36"/>
        <v/>
      </c>
      <c r="N218" s="621" t="str">
        <f t="shared" si="28"/>
        <v/>
      </c>
      <c r="O218" s="621" t="str">
        <f t="shared" si="29"/>
        <v/>
      </c>
      <c r="P218" s="765" t="str">
        <f t="shared" si="30"/>
        <v/>
      </c>
      <c r="Q218" s="621" t="str">
        <f t="shared" si="31"/>
        <v/>
      </c>
      <c r="R218" s="706" t="str">
        <f t="shared" si="32"/>
        <v/>
      </c>
      <c r="S218" s="767"/>
    </row>
    <row r="219" spans="3:19" x14ac:dyDescent="0.25">
      <c r="C219" s="622"/>
      <c r="D219" s="623"/>
      <c r="E219" s="618"/>
      <c r="F219" s="624"/>
      <c r="G219" s="734"/>
      <c r="H219" s="734"/>
      <c r="I219" s="736" t="str">
        <f t="shared" si="33"/>
        <v/>
      </c>
      <c r="J219" s="736" t="str">
        <f t="shared" si="34"/>
        <v/>
      </c>
      <c r="K219" s="736" t="str">
        <f t="shared" si="35"/>
        <v/>
      </c>
      <c r="M219" s="620" t="str">
        <f t="shared" si="36"/>
        <v/>
      </c>
      <c r="N219" s="621" t="str">
        <f t="shared" ref="N219:N250" si="37">IFERROR(INDEX(CNTR_FuelListIsZero, MATCH(E219, CNTR_FuelListNames, 0)),"")</f>
        <v/>
      </c>
      <c r="O219" s="621" t="str">
        <f t="shared" ref="O219:O250" si="38">IF(E219="","",IFERROR(NOT(ISNUMBER(INDEX(CNTR_FuelListSupportRate, MATCH(E219, CNTR_FuelListNames, 0)))),  ""))</f>
        <v/>
      </c>
      <c r="P219" s="765" t="str">
        <f t="shared" ref="P219:P250" si="39">IFERROR( OR( INDEX(CNTR_FuelListCompleteData, MATCH(E219, CNTR_FuelListNames, 0)) = FALSE,   INDEX(CNTR_FuelListIsFossil, MATCH(E219, CNTR_FuelListNames, 0)) = TRUE),  "")</f>
        <v/>
      </c>
      <c r="Q219" s="621" t="str">
        <f t="shared" ref="Q219:Q250" si="40">IFERROR(IF(INDEX(CNTR_FuelListSubType, MATCH(E219, CNTR_FuelListNames, 0)) = "",  "",  INDEX(CNTR_FuelListSubType, MATCH(E219, CNTR_FuelListNames, 0))),  "")</f>
        <v/>
      </c>
      <c r="R219" s="706" t="str">
        <f t="shared" ref="R219:R250" si="41">IFERROR(IF( AND(D219=TRUE, ISNUMBER(INDEX(CNTR_FuelListSupportRate, MATCH( E219, CNTR_FuelListNames, 0)))),   1,   INDEX(CNTR_FuelListSupportRate, MATCH(E219, CNTR_FuelListNames, 0))),  "")</f>
        <v/>
      </c>
      <c r="S219" s="767"/>
    </row>
    <row r="220" spans="3:19" x14ac:dyDescent="0.25">
      <c r="C220" s="622"/>
      <c r="D220" s="623"/>
      <c r="E220" s="618"/>
      <c r="F220" s="624"/>
      <c r="G220" s="734"/>
      <c r="H220" s="734"/>
      <c r="I220" s="736" t="str">
        <f t="shared" si="33"/>
        <v/>
      </c>
      <c r="J220" s="736" t="str">
        <f t="shared" si="34"/>
        <v/>
      </c>
      <c r="K220" s="736" t="str">
        <f t="shared" si="35"/>
        <v/>
      </c>
      <c r="M220" s="620" t="str">
        <f t="shared" si="36"/>
        <v/>
      </c>
      <c r="N220" s="621" t="str">
        <f t="shared" si="37"/>
        <v/>
      </c>
      <c r="O220" s="621" t="str">
        <f t="shared" si="38"/>
        <v/>
      </c>
      <c r="P220" s="765" t="str">
        <f t="shared" si="39"/>
        <v/>
      </c>
      <c r="Q220" s="621" t="str">
        <f t="shared" si="40"/>
        <v/>
      </c>
      <c r="R220" s="706" t="str">
        <f t="shared" si="41"/>
        <v/>
      </c>
      <c r="S220" s="767"/>
    </row>
    <row r="221" spans="3:19" x14ac:dyDescent="0.25">
      <c r="C221" s="622"/>
      <c r="D221" s="623"/>
      <c r="E221" s="618"/>
      <c r="F221" s="624"/>
      <c r="G221" s="734"/>
      <c r="H221" s="734"/>
      <c r="I221" s="736" t="str">
        <f t="shared" si="33"/>
        <v/>
      </c>
      <c r="J221" s="736" t="str">
        <f t="shared" si="34"/>
        <v/>
      </c>
      <c r="K221" s="736" t="str">
        <f t="shared" si="35"/>
        <v/>
      </c>
      <c r="M221" s="620" t="str">
        <f t="shared" si="36"/>
        <v/>
      </c>
      <c r="N221" s="621" t="str">
        <f t="shared" si="37"/>
        <v/>
      </c>
      <c r="O221" s="621" t="str">
        <f t="shared" si="38"/>
        <v/>
      </c>
      <c r="P221" s="765" t="str">
        <f t="shared" si="39"/>
        <v/>
      </c>
      <c r="Q221" s="621" t="str">
        <f t="shared" si="40"/>
        <v/>
      </c>
      <c r="R221" s="706" t="str">
        <f t="shared" si="41"/>
        <v/>
      </c>
      <c r="S221" s="767"/>
    </row>
    <row r="222" spans="3:19" x14ac:dyDescent="0.25">
      <c r="C222" s="622"/>
      <c r="D222" s="623"/>
      <c r="E222" s="618"/>
      <c r="F222" s="624"/>
      <c r="G222" s="734"/>
      <c r="H222" s="734"/>
      <c r="I222" s="736" t="str">
        <f t="shared" si="33"/>
        <v/>
      </c>
      <c r="J222" s="736" t="str">
        <f t="shared" si="34"/>
        <v/>
      </c>
      <c r="K222" s="736" t="str">
        <f t="shared" si="35"/>
        <v/>
      </c>
      <c r="M222" s="620" t="str">
        <f t="shared" si="36"/>
        <v/>
      </c>
      <c r="N222" s="621" t="str">
        <f t="shared" si="37"/>
        <v/>
      </c>
      <c r="O222" s="621" t="str">
        <f t="shared" si="38"/>
        <v/>
      </c>
      <c r="P222" s="765" t="str">
        <f t="shared" si="39"/>
        <v/>
      </c>
      <c r="Q222" s="621" t="str">
        <f t="shared" si="40"/>
        <v/>
      </c>
      <c r="R222" s="706" t="str">
        <f t="shared" si="41"/>
        <v/>
      </c>
      <c r="S222" s="767"/>
    </row>
    <row r="223" spans="3:19" x14ac:dyDescent="0.25">
      <c r="C223" s="622"/>
      <c r="D223" s="623"/>
      <c r="E223" s="618"/>
      <c r="F223" s="624"/>
      <c r="G223" s="734"/>
      <c r="H223" s="734"/>
      <c r="I223" s="736" t="str">
        <f t="shared" si="33"/>
        <v/>
      </c>
      <c r="J223" s="736" t="str">
        <f t="shared" si="34"/>
        <v/>
      </c>
      <c r="K223" s="736" t="str">
        <f t="shared" si="35"/>
        <v/>
      </c>
      <c r="M223" s="620" t="str">
        <f t="shared" si="36"/>
        <v/>
      </c>
      <c r="N223" s="621" t="str">
        <f t="shared" si="37"/>
        <v/>
      </c>
      <c r="O223" s="621" t="str">
        <f t="shared" si="38"/>
        <v/>
      </c>
      <c r="P223" s="765" t="str">
        <f t="shared" si="39"/>
        <v/>
      </c>
      <c r="Q223" s="621" t="str">
        <f t="shared" si="40"/>
        <v/>
      </c>
      <c r="R223" s="706" t="str">
        <f t="shared" si="41"/>
        <v/>
      </c>
      <c r="S223" s="767"/>
    </row>
    <row r="224" spans="3:19" x14ac:dyDescent="0.25">
      <c r="C224" s="622"/>
      <c r="D224" s="623"/>
      <c r="E224" s="618"/>
      <c r="F224" s="624"/>
      <c r="G224" s="734"/>
      <c r="H224" s="734"/>
      <c r="I224" s="736" t="str">
        <f t="shared" si="33"/>
        <v/>
      </c>
      <c r="J224" s="736" t="str">
        <f t="shared" si="34"/>
        <v/>
      </c>
      <c r="K224" s="736" t="str">
        <f t="shared" si="35"/>
        <v/>
      </c>
      <c r="M224" s="620" t="str">
        <f t="shared" si="36"/>
        <v/>
      </c>
      <c r="N224" s="621" t="str">
        <f t="shared" si="37"/>
        <v/>
      </c>
      <c r="O224" s="621" t="str">
        <f t="shared" si="38"/>
        <v/>
      </c>
      <c r="P224" s="765" t="str">
        <f t="shared" si="39"/>
        <v/>
      </c>
      <c r="Q224" s="621" t="str">
        <f t="shared" si="40"/>
        <v/>
      </c>
      <c r="R224" s="706" t="str">
        <f t="shared" si="41"/>
        <v/>
      </c>
      <c r="S224" s="767"/>
    </row>
    <row r="225" spans="3:19" x14ac:dyDescent="0.25">
      <c r="C225" s="622"/>
      <c r="D225" s="623"/>
      <c r="E225" s="618"/>
      <c r="F225" s="624"/>
      <c r="G225" s="734"/>
      <c r="H225" s="734"/>
      <c r="I225" s="736" t="str">
        <f t="shared" si="33"/>
        <v/>
      </c>
      <c r="J225" s="736" t="str">
        <f t="shared" si="34"/>
        <v/>
      </c>
      <c r="K225" s="736" t="str">
        <f t="shared" si="35"/>
        <v/>
      </c>
      <c r="M225" s="620" t="str">
        <f t="shared" si="36"/>
        <v/>
      </c>
      <c r="N225" s="621" t="str">
        <f t="shared" si="37"/>
        <v/>
      </c>
      <c r="O225" s="621" t="str">
        <f t="shared" si="38"/>
        <v/>
      </c>
      <c r="P225" s="765" t="str">
        <f t="shared" si="39"/>
        <v/>
      </c>
      <c r="Q225" s="621" t="str">
        <f t="shared" si="40"/>
        <v/>
      </c>
      <c r="R225" s="706" t="str">
        <f t="shared" si="41"/>
        <v/>
      </c>
      <c r="S225" s="767"/>
    </row>
    <row r="226" spans="3:19" x14ac:dyDescent="0.25">
      <c r="C226" s="622"/>
      <c r="D226" s="623"/>
      <c r="E226" s="618"/>
      <c r="F226" s="624"/>
      <c r="G226" s="734"/>
      <c r="H226" s="734"/>
      <c r="I226" s="736" t="str">
        <f t="shared" si="33"/>
        <v/>
      </c>
      <c r="J226" s="736" t="str">
        <f t="shared" si="34"/>
        <v/>
      </c>
      <c r="K226" s="736" t="str">
        <f t="shared" si="35"/>
        <v/>
      </c>
      <c r="M226" s="620" t="str">
        <f t="shared" si="36"/>
        <v/>
      </c>
      <c r="N226" s="621" t="str">
        <f t="shared" si="37"/>
        <v/>
      </c>
      <c r="O226" s="621" t="str">
        <f t="shared" si="38"/>
        <v/>
      </c>
      <c r="P226" s="765" t="str">
        <f t="shared" si="39"/>
        <v/>
      </c>
      <c r="Q226" s="621" t="str">
        <f t="shared" si="40"/>
        <v/>
      </c>
      <c r="R226" s="706" t="str">
        <f t="shared" si="41"/>
        <v/>
      </c>
      <c r="S226" s="767"/>
    </row>
    <row r="227" spans="3:19" x14ac:dyDescent="0.25">
      <c r="C227" s="622"/>
      <c r="D227" s="623"/>
      <c r="E227" s="618"/>
      <c r="F227" s="624"/>
      <c r="G227" s="734"/>
      <c r="H227" s="734"/>
      <c r="I227" s="736" t="str">
        <f t="shared" si="33"/>
        <v/>
      </c>
      <c r="J227" s="736" t="str">
        <f t="shared" si="34"/>
        <v/>
      </c>
      <c r="K227" s="736" t="str">
        <f t="shared" si="35"/>
        <v/>
      </c>
      <c r="M227" s="620" t="str">
        <f t="shared" si="36"/>
        <v/>
      </c>
      <c r="N227" s="621" t="str">
        <f t="shared" si="37"/>
        <v/>
      </c>
      <c r="O227" s="621" t="str">
        <f t="shared" si="38"/>
        <v/>
      </c>
      <c r="P227" s="765" t="str">
        <f t="shared" si="39"/>
        <v/>
      </c>
      <c r="Q227" s="621" t="str">
        <f t="shared" si="40"/>
        <v/>
      </c>
      <c r="R227" s="706" t="str">
        <f t="shared" si="41"/>
        <v/>
      </c>
      <c r="S227" s="767"/>
    </row>
    <row r="228" spans="3:19" x14ac:dyDescent="0.25">
      <c r="C228" s="622"/>
      <c r="D228" s="623"/>
      <c r="E228" s="618"/>
      <c r="F228" s="624"/>
      <c r="G228" s="734"/>
      <c r="H228" s="734"/>
      <c r="I228" s="736" t="str">
        <f t="shared" si="33"/>
        <v/>
      </c>
      <c r="J228" s="736" t="str">
        <f t="shared" si="34"/>
        <v/>
      </c>
      <c r="K228" s="736" t="str">
        <f t="shared" si="35"/>
        <v/>
      </c>
      <c r="M228" s="620" t="str">
        <f t="shared" si="36"/>
        <v/>
      </c>
      <c r="N228" s="621" t="str">
        <f t="shared" si="37"/>
        <v/>
      </c>
      <c r="O228" s="621" t="str">
        <f t="shared" si="38"/>
        <v/>
      </c>
      <c r="P228" s="765" t="str">
        <f t="shared" si="39"/>
        <v/>
      </c>
      <c r="Q228" s="621" t="str">
        <f t="shared" si="40"/>
        <v/>
      </c>
      <c r="R228" s="706" t="str">
        <f t="shared" si="41"/>
        <v/>
      </c>
      <c r="S228" s="767"/>
    </row>
    <row r="229" spans="3:19" x14ac:dyDescent="0.25">
      <c r="C229" s="622"/>
      <c r="D229" s="623"/>
      <c r="E229" s="618"/>
      <c r="F229" s="624"/>
      <c r="G229" s="734"/>
      <c r="H229" s="734"/>
      <c r="I229" s="736" t="str">
        <f t="shared" si="33"/>
        <v/>
      </c>
      <c r="J229" s="736" t="str">
        <f t="shared" si="34"/>
        <v/>
      </c>
      <c r="K229" s="736" t="str">
        <f t="shared" si="35"/>
        <v/>
      </c>
      <c r="M229" s="620" t="str">
        <f t="shared" si="36"/>
        <v/>
      </c>
      <c r="N229" s="621" t="str">
        <f t="shared" si="37"/>
        <v/>
      </c>
      <c r="O229" s="621" t="str">
        <f t="shared" si="38"/>
        <v/>
      </c>
      <c r="P229" s="765" t="str">
        <f t="shared" si="39"/>
        <v/>
      </c>
      <c r="Q229" s="621" t="str">
        <f t="shared" si="40"/>
        <v/>
      </c>
      <c r="R229" s="706" t="str">
        <f t="shared" si="41"/>
        <v/>
      </c>
      <c r="S229" s="767"/>
    </row>
    <row r="230" spans="3:19" x14ac:dyDescent="0.25">
      <c r="C230" s="622"/>
      <c r="D230" s="623"/>
      <c r="E230" s="618"/>
      <c r="F230" s="624"/>
      <c r="G230" s="734"/>
      <c r="H230" s="734"/>
      <c r="I230" s="736" t="str">
        <f t="shared" si="33"/>
        <v/>
      </c>
      <c r="J230" s="736" t="str">
        <f t="shared" si="34"/>
        <v/>
      </c>
      <c r="K230" s="736" t="str">
        <f t="shared" si="35"/>
        <v/>
      </c>
      <c r="M230" s="620" t="str">
        <f t="shared" si="36"/>
        <v/>
      </c>
      <c r="N230" s="621" t="str">
        <f t="shared" si="37"/>
        <v/>
      </c>
      <c r="O230" s="621" t="str">
        <f t="shared" si="38"/>
        <v/>
      </c>
      <c r="P230" s="765" t="str">
        <f t="shared" si="39"/>
        <v/>
      </c>
      <c r="Q230" s="621" t="str">
        <f t="shared" si="40"/>
        <v/>
      </c>
      <c r="R230" s="706" t="str">
        <f t="shared" si="41"/>
        <v/>
      </c>
      <c r="S230" s="767"/>
    </row>
    <row r="231" spans="3:19" x14ac:dyDescent="0.25">
      <c r="C231" s="622"/>
      <c r="D231" s="623"/>
      <c r="E231" s="618"/>
      <c r="F231" s="624"/>
      <c r="G231" s="734"/>
      <c r="H231" s="734"/>
      <c r="I231" s="736" t="str">
        <f t="shared" si="33"/>
        <v/>
      </c>
      <c r="J231" s="736" t="str">
        <f t="shared" si="34"/>
        <v/>
      </c>
      <c r="K231" s="736" t="str">
        <f t="shared" si="35"/>
        <v/>
      </c>
      <c r="M231" s="620" t="str">
        <f t="shared" si="36"/>
        <v/>
      </c>
      <c r="N231" s="621" t="str">
        <f t="shared" si="37"/>
        <v/>
      </c>
      <c r="O231" s="621" t="str">
        <f t="shared" si="38"/>
        <v/>
      </c>
      <c r="P231" s="765" t="str">
        <f t="shared" si="39"/>
        <v/>
      </c>
      <c r="Q231" s="621" t="str">
        <f t="shared" si="40"/>
        <v/>
      </c>
      <c r="R231" s="706" t="str">
        <f t="shared" si="41"/>
        <v/>
      </c>
      <c r="S231" s="767"/>
    </row>
    <row r="232" spans="3:19" x14ac:dyDescent="0.25">
      <c r="C232" s="622"/>
      <c r="D232" s="623"/>
      <c r="E232" s="618"/>
      <c r="F232" s="624"/>
      <c r="G232" s="734"/>
      <c r="H232" s="734"/>
      <c r="I232" s="736" t="str">
        <f t="shared" si="33"/>
        <v/>
      </c>
      <c r="J232" s="736" t="str">
        <f t="shared" si="34"/>
        <v/>
      </c>
      <c r="K232" s="736" t="str">
        <f t="shared" si="35"/>
        <v/>
      </c>
      <c r="M232" s="620" t="str">
        <f t="shared" si="36"/>
        <v/>
      </c>
      <c r="N232" s="621" t="str">
        <f t="shared" si="37"/>
        <v/>
      </c>
      <c r="O232" s="621" t="str">
        <f t="shared" si="38"/>
        <v/>
      </c>
      <c r="P232" s="765" t="str">
        <f t="shared" si="39"/>
        <v/>
      </c>
      <c r="Q232" s="621" t="str">
        <f t="shared" si="40"/>
        <v/>
      </c>
      <c r="R232" s="706" t="str">
        <f t="shared" si="41"/>
        <v/>
      </c>
      <c r="S232" s="767"/>
    </row>
    <row r="233" spans="3:19" x14ac:dyDescent="0.25">
      <c r="C233" s="622"/>
      <c r="D233" s="623"/>
      <c r="E233" s="618"/>
      <c r="F233" s="624"/>
      <c r="G233" s="734"/>
      <c r="H233" s="734"/>
      <c r="I233" s="736" t="str">
        <f t="shared" si="33"/>
        <v/>
      </c>
      <c r="J233" s="736" t="str">
        <f t="shared" si="34"/>
        <v/>
      </c>
      <c r="K233" s="736" t="str">
        <f t="shared" si="35"/>
        <v/>
      </c>
      <c r="M233" s="620" t="str">
        <f t="shared" si="36"/>
        <v/>
      </c>
      <c r="N233" s="621" t="str">
        <f t="shared" si="37"/>
        <v/>
      </c>
      <c r="O233" s="621" t="str">
        <f t="shared" si="38"/>
        <v/>
      </c>
      <c r="P233" s="765" t="str">
        <f t="shared" si="39"/>
        <v/>
      </c>
      <c r="Q233" s="621" t="str">
        <f t="shared" si="40"/>
        <v/>
      </c>
      <c r="R233" s="706" t="str">
        <f t="shared" si="41"/>
        <v/>
      </c>
      <c r="S233" s="767"/>
    </row>
    <row r="234" spans="3:19" x14ac:dyDescent="0.25">
      <c r="C234" s="622"/>
      <c r="D234" s="623"/>
      <c r="E234" s="618"/>
      <c r="F234" s="624"/>
      <c r="G234" s="734"/>
      <c r="H234" s="734"/>
      <c r="I234" s="736" t="str">
        <f t="shared" si="33"/>
        <v/>
      </c>
      <c r="J234" s="736" t="str">
        <f t="shared" si="34"/>
        <v/>
      </c>
      <c r="K234" s="736" t="str">
        <f t="shared" si="35"/>
        <v/>
      </c>
      <c r="M234" s="620" t="str">
        <f t="shared" si="36"/>
        <v/>
      </c>
      <c r="N234" s="621" t="str">
        <f t="shared" si="37"/>
        <v/>
      </c>
      <c r="O234" s="621" t="str">
        <f t="shared" si="38"/>
        <v/>
      </c>
      <c r="P234" s="765" t="str">
        <f t="shared" si="39"/>
        <v/>
      </c>
      <c r="Q234" s="621" t="str">
        <f t="shared" si="40"/>
        <v/>
      </c>
      <c r="R234" s="706" t="str">
        <f t="shared" si="41"/>
        <v/>
      </c>
      <c r="S234" s="767"/>
    </row>
    <row r="235" spans="3:19" x14ac:dyDescent="0.25">
      <c r="C235" s="622"/>
      <c r="D235" s="623"/>
      <c r="E235" s="618"/>
      <c r="F235" s="624"/>
      <c r="G235" s="734"/>
      <c r="H235" s="734"/>
      <c r="I235" s="736" t="str">
        <f t="shared" si="33"/>
        <v/>
      </c>
      <c r="J235" s="736" t="str">
        <f t="shared" si="34"/>
        <v/>
      </c>
      <c r="K235" s="736" t="str">
        <f t="shared" si="35"/>
        <v/>
      </c>
      <c r="M235" s="620" t="str">
        <f t="shared" si="36"/>
        <v/>
      </c>
      <c r="N235" s="621" t="str">
        <f t="shared" si="37"/>
        <v/>
      </c>
      <c r="O235" s="621" t="str">
        <f t="shared" si="38"/>
        <v/>
      </c>
      <c r="P235" s="765" t="str">
        <f t="shared" si="39"/>
        <v/>
      </c>
      <c r="Q235" s="621" t="str">
        <f t="shared" si="40"/>
        <v/>
      </c>
      <c r="R235" s="706" t="str">
        <f t="shared" si="41"/>
        <v/>
      </c>
      <c r="S235" s="767"/>
    </row>
    <row r="236" spans="3:19" x14ac:dyDescent="0.25">
      <c r="C236" s="622"/>
      <c r="D236" s="623"/>
      <c r="E236" s="618"/>
      <c r="F236" s="624"/>
      <c r="G236" s="734"/>
      <c r="H236" s="734"/>
      <c r="I236" s="736" t="str">
        <f t="shared" si="33"/>
        <v/>
      </c>
      <c r="J236" s="736" t="str">
        <f t="shared" si="34"/>
        <v/>
      </c>
      <c r="K236" s="736" t="str">
        <f t="shared" si="35"/>
        <v/>
      </c>
      <c r="M236" s="620" t="str">
        <f t="shared" si="36"/>
        <v/>
      </c>
      <c r="N236" s="621" t="str">
        <f t="shared" si="37"/>
        <v/>
      </c>
      <c r="O236" s="621" t="str">
        <f t="shared" si="38"/>
        <v/>
      </c>
      <c r="P236" s="765" t="str">
        <f t="shared" si="39"/>
        <v/>
      </c>
      <c r="Q236" s="621" t="str">
        <f t="shared" si="40"/>
        <v/>
      </c>
      <c r="R236" s="706" t="str">
        <f t="shared" si="41"/>
        <v/>
      </c>
      <c r="S236" s="767"/>
    </row>
    <row r="237" spans="3:19" x14ac:dyDescent="0.25">
      <c r="C237" s="622"/>
      <c r="D237" s="623"/>
      <c r="E237" s="618"/>
      <c r="F237" s="624"/>
      <c r="G237" s="734"/>
      <c r="H237" s="734"/>
      <c r="I237" s="736" t="str">
        <f t="shared" si="33"/>
        <v/>
      </c>
      <c r="J237" s="736" t="str">
        <f t="shared" si="34"/>
        <v/>
      </c>
      <c r="K237" s="736" t="str">
        <f t="shared" si="35"/>
        <v/>
      </c>
      <c r="M237" s="620" t="str">
        <f t="shared" si="36"/>
        <v/>
      </c>
      <c r="N237" s="621" t="str">
        <f t="shared" si="37"/>
        <v/>
      </c>
      <c r="O237" s="621" t="str">
        <f t="shared" si="38"/>
        <v/>
      </c>
      <c r="P237" s="765" t="str">
        <f t="shared" si="39"/>
        <v/>
      </c>
      <c r="Q237" s="621" t="str">
        <f t="shared" si="40"/>
        <v/>
      </c>
      <c r="R237" s="706" t="str">
        <f t="shared" si="41"/>
        <v/>
      </c>
      <c r="S237" s="767"/>
    </row>
    <row r="238" spans="3:19" x14ac:dyDescent="0.25">
      <c r="C238" s="622"/>
      <c r="D238" s="623"/>
      <c r="E238" s="618"/>
      <c r="F238" s="624"/>
      <c r="G238" s="734"/>
      <c r="H238" s="734"/>
      <c r="I238" s="736" t="str">
        <f t="shared" si="33"/>
        <v/>
      </c>
      <c r="J238" s="736" t="str">
        <f t="shared" si="34"/>
        <v/>
      </c>
      <c r="K238" s="736" t="str">
        <f t="shared" si="35"/>
        <v/>
      </c>
      <c r="M238" s="620" t="str">
        <f t="shared" si="36"/>
        <v/>
      </c>
      <c r="N238" s="621" t="str">
        <f t="shared" si="37"/>
        <v/>
      </c>
      <c r="O238" s="621" t="str">
        <f t="shared" si="38"/>
        <v/>
      </c>
      <c r="P238" s="765" t="str">
        <f t="shared" si="39"/>
        <v/>
      </c>
      <c r="Q238" s="621" t="str">
        <f t="shared" si="40"/>
        <v/>
      </c>
      <c r="R238" s="706" t="str">
        <f t="shared" si="41"/>
        <v/>
      </c>
      <c r="S238" s="767"/>
    </row>
    <row r="239" spans="3:19" x14ac:dyDescent="0.25">
      <c r="C239" s="622"/>
      <c r="D239" s="623"/>
      <c r="E239" s="618"/>
      <c r="F239" s="624"/>
      <c r="G239" s="734"/>
      <c r="H239" s="734"/>
      <c r="I239" s="736" t="str">
        <f t="shared" si="33"/>
        <v/>
      </c>
      <c r="J239" s="736" t="str">
        <f t="shared" si="34"/>
        <v/>
      </c>
      <c r="K239" s="736" t="str">
        <f t="shared" si="35"/>
        <v/>
      </c>
      <c r="M239" s="620" t="str">
        <f t="shared" si="36"/>
        <v/>
      </c>
      <c r="N239" s="621" t="str">
        <f t="shared" si="37"/>
        <v/>
      </c>
      <c r="O239" s="621" t="str">
        <f t="shared" si="38"/>
        <v/>
      </c>
      <c r="P239" s="765" t="str">
        <f t="shared" si="39"/>
        <v/>
      </c>
      <c r="Q239" s="621" t="str">
        <f t="shared" si="40"/>
        <v/>
      </c>
      <c r="R239" s="706" t="str">
        <f t="shared" si="41"/>
        <v/>
      </c>
      <c r="S239" s="767"/>
    </row>
    <row r="240" spans="3:19" x14ac:dyDescent="0.25">
      <c r="C240" s="622"/>
      <c r="D240" s="623"/>
      <c r="E240" s="618"/>
      <c r="F240" s="624"/>
      <c r="G240" s="734"/>
      <c r="H240" s="734"/>
      <c r="I240" s="736" t="str">
        <f t="shared" si="33"/>
        <v/>
      </c>
      <c r="J240" s="736" t="str">
        <f t="shared" si="34"/>
        <v/>
      </c>
      <c r="K240" s="736" t="str">
        <f t="shared" si="35"/>
        <v/>
      </c>
      <c r="M240" s="620" t="str">
        <f t="shared" si="36"/>
        <v/>
      </c>
      <c r="N240" s="621" t="str">
        <f t="shared" si="37"/>
        <v/>
      </c>
      <c r="O240" s="621" t="str">
        <f t="shared" si="38"/>
        <v/>
      </c>
      <c r="P240" s="765" t="str">
        <f t="shared" si="39"/>
        <v/>
      </c>
      <c r="Q240" s="621" t="str">
        <f t="shared" si="40"/>
        <v/>
      </c>
      <c r="R240" s="706" t="str">
        <f t="shared" si="41"/>
        <v/>
      </c>
      <c r="S240" s="767"/>
    </row>
    <row r="241" spans="3:19" x14ac:dyDescent="0.25">
      <c r="C241" s="622"/>
      <c r="D241" s="623"/>
      <c r="E241" s="618"/>
      <c r="F241" s="624"/>
      <c r="G241" s="734"/>
      <c r="H241" s="734"/>
      <c r="I241" s="736" t="str">
        <f t="shared" si="33"/>
        <v/>
      </c>
      <c r="J241" s="736" t="str">
        <f t="shared" si="34"/>
        <v/>
      </c>
      <c r="K241" s="736" t="str">
        <f t="shared" si="35"/>
        <v/>
      </c>
      <c r="M241" s="620" t="str">
        <f t="shared" si="36"/>
        <v/>
      </c>
      <c r="N241" s="621" t="str">
        <f t="shared" si="37"/>
        <v/>
      </c>
      <c r="O241" s="621" t="str">
        <f t="shared" si="38"/>
        <v/>
      </c>
      <c r="P241" s="765" t="str">
        <f t="shared" si="39"/>
        <v/>
      </c>
      <c r="Q241" s="621" t="str">
        <f t="shared" si="40"/>
        <v/>
      </c>
      <c r="R241" s="706" t="str">
        <f t="shared" si="41"/>
        <v/>
      </c>
      <c r="S241" s="767"/>
    </row>
    <row r="242" spans="3:19" x14ac:dyDescent="0.25">
      <c r="C242" s="622"/>
      <c r="D242" s="623"/>
      <c r="E242" s="618"/>
      <c r="F242" s="624"/>
      <c r="G242" s="734"/>
      <c r="H242" s="734"/>
      <c r="I242" s="736" t="str">
        <f t="shared" si="33"/>
        <v/>
      </c>
      <c r="J242" s="736" t="str">
        <f t="shared" si="34"/>
        <v/>
      </c>
      <c r="K242" s="736" t="str">
        <f t="shared" si="35"/>
        <v/>
      </c>
      <c r="M242" s="620" t="str">
        <f t="shared" si="36"/>
        <v/>
      </c>
      <c r="N242" s="621" t="str">
        <f t="shared" si="37"/>
        <v/>
      </c>
      <c r="O242" s="621" t="str">
        <f t="shared" si="38"/>
        <v/>
      </c>
      <c r="P242" s="765" t="str">
        <f t="shared" si="39"/>
        <v/>
      </c>
      <c r="Q242" s="621" t="str">
        <f t="shared" si="40"/>
        <v/>
      </c>
      <c r="R242" s="706" t="str">
        <f t="shared" si="41"/>
        <v/>
      </c>
      <c r="S242" s="767"/>
    </row>
    <row r="243" spans="3:19" x14ac:dyDescent="0.25">
      <c r="C243" s="622"/>
      <c r="D243" s="623"/>
      <c r="E243" s="618"/>
      <c r="F243" s="624"/>
      <c r="G243" s="734"/>
      <c r="H243" s="734"/>
      <c r="I243" s="736" t="str">
        <f t="shared" si="33"/>
        <v/>
      </c>
      <c r="J243" s="736" t="str">
        <f t="shared" si="34"/>
        <v/>
      </c>
      <c r="K243" s="736" t="str">
        <f t="shared" si="35"/>
        <v/>
      </c>
      <c r="M243" s="620" t="str">
        <f t="shared" si="36"/>
        <v/>
      </c>
      <c r="N243" s="621" t="str">
        <f t="shared" si="37"/>
        <v/>
      </c>
      <c r="O243" s="621" t="str">
        <f t="shared" si="38"/>
        <v/>
      </c>
      <c r="P243" s="765" t="str">
        <f t="shared" si="39"/>
        <v/>
      </c>
      <c r="Q243" s="621" t="str">
        <f t="shared" si="40"/>
        <v/>
      </c>
      <c r="R243" s="706" t="str">
        <f t="shared" si="41"/>
        <v/>
      </c>
      <c r="S243" s="767"/>
    </row>
    <row r="244" spans="3:19" x14ac:dyDescent="0.25">
      <c r="C244" s="622"/>
      <c r="D244" s="623"/>
      <c r="E244" s="618"/>
      <c r="F244" s="624"/>
      <c r="G244" s="734"/>
      <c r="H244" s="734"/>
      <c r="I244" s="736" t="str">
        <f t="shared" si="33"/>
        <v/>
      </c>
      <c r="J244" s="736" t="str">
        <f t="shared" si="34"/>
        <v/>
      </c>
      <c r="K244" s="736" t="str">
        <f t="shared" si="35"/>
        <v/>
      </c>
      <c r="M244" s="620" t="str">
        <f t="shared" si="36"/>
        <v/>
      </c>
      <c r="N244" s="621" t="str">
        <f t="shared" si="37"/>
        <v/>
      </c>
      <c r="O244" s="621" t="str">
        <f t="shared" si="38"/>
        <v/>
      </c>
      <c r="P244" s="765" t="str">
        <f t="shared" si="39"/>
        <v/>
      </c>
      <c r="Q244" s="621" t="str">
        <f t="shared" si="40"/>
        <v/>
      </c>
      <c r="R244" s="706" t="str">
        <f t="shared" si="41"/>
        <v/>
      </c>
      <c r="S244" s="767"/>
    </row>
    <row r="245" spans="3:19" x14ac:dyDescent="0.25">
      <c r="C245" s="622"/>
      <c r="D245" s="623"/>
      <c r="E245" s="618"/>
      <c r="F245" s="624"/>
      <c r="G245" s="734"/>
      <c r="H245" s="734"/>
      <c r="I245" s="736" t="str">
        <f t="shared" si="33"/>
        <v/>
      </c>
      <c r="J245" s="736" t="str">
        <f t="shared" si="34"/>
        <v/>
      </c>
      <c r="K245" s="736" t="str">
        <f t="shared" si="35"/>
        <v/>
      </c>
      <c r="M245" s="620" t="str">
        <f t="shared" si="36"/>
        <v/>
      </c>
      <c r="N245" s="621" t="str">
        <f t="shared" si="37"/>
        <v/>
      </c>
      <c r="O245" s="621" t="str">
        <f t="shared" si="38"/>
        <v/>
      </c>
      <c r="P245" s="765" t="str">
        <f t="shared" si="39"/>
        <v/>
      </c>
      <c r="Q245" s="621" t="str">
        <f t="shared" si="40"/>
        <v/>
      </c>
      <c r="R245" s="706" t="str">
        <f t="shared" si="41"/>
        <v/>
      </c>
      <c r="S245" s="767"/>
    </row>
    <row r="246" spans="3:19" x14ac:dyDescent="0.25">
      <c r="C246" s="622"/>
      <c r="D246" s="623"/>
      <c r="E246" s="618"/>
      <c r="F246" s="624"/>
      <c r="G246" s="734"/>
      <c r="H246" s="734"/>
      <c r="I246" s="736" t="str">
        <f t="shared" si="33"/>
        <v/>
      </c>
      <c r="J246" s="736" t="str">
        <f t="shared" si="34"/>
        <v/>
      </c>
      <c r="K246" s="736" t="str">
        <f t="shared" si="35"/>
        <v/>
      </c>
      <c r="M246" s="620" t="str">
        <f t="shared" si="36"/>
        <v/>
      </c>
      <c r="N246" s="621" t="str">
        <f t="shared" si="37"/>
        <v/>
      </c>
      <c r="O246" s="621" t="str">
        <f t="shared" si="38"/>
        <v/>
      </c>
      <c r="P246" s="765" t="str">
        <f t="shared" si="39"/>
        <v/>
      </c>
      <c r="Q246" s="621" t="str">
        <f t="shared" si="40"/>
        <v/>
      </c>
      <c r="R246" s="706" t="str">
        <f t="shared" si="41"/>
        <v/>
      </c>
      <c r="S246" s="767"/>
    </row>
    <row r="247" spans="3:19" x14ac:dyDescent="0.25">
      <c r="C247" s="622"/>
      <c r="D247" s="623"/>
      <c r="E247" s="618"/>
      <c r="F247" s="624"/>
      <c r="G247" s="734"/>
      <c r="H247" s="734"/>
      <c r="I247" s="736" t="str">
        <f t="shared" si="33"/>
        <v/>
      </c>
      <c r="J247" s="736" t="str">
        <f t="shared" si="34"/>
        <v/>
      </c>
      <c r="K247" s="736" t="str">
        <f t="shared" si="35"/>
        <v/>
      </c>
      <c r="M247" s="620" t="str">
        <f t="shared" si="36"/>
        <v/>
      </c>
      <c r="N247" s="621" t="str">
        <f t="shared" si="37"/>
        <v/>
      </c>
      <c r="O247" s="621" t="str">
        <f t="shared" si="38"/>
        <v/>
      </c>
      <c r="P247" s="765" t="str">
        <f t="shared" si="39"/>
        <v/>
      </c>
      <c r="Q247" s="621" t="str">
        <f t="shared" si="40"/>
        <v/>
      </c>
      <c r="R247" s="706" t="str">
        <f t="shared" si="41"/>
        <v/>
      </c>
      <c r="S247" s="767"/>
    </row>
    <row r="248" spans="3:19" x14ac:dyDescent="0.25">
      <c r="C248" s="622"/>
      <c r="D248" s="623"/>
      <c r="E248" s="618"/>
      <c r="F248" s="624"/>
      <c r="G248" s="734"/>
      <c r="H248" s="734"/>
      <c r="I248" s="736" t="str">
        <f t="shared" si="33"/>
        <v/>
      </c>
      <c r="J248" s="736" t="str">
        <f t="shared" si="34"/>
        <v/>
      </c>
      <c r="K248" s="736" t="str">
        <f t="shared" si="35"/>
        <v/>
      </c>
      <c r="M248" s="620" t="str">
        <f t="shared" si="36"/>
        <v/>
      </c>
      <c r="N248" s="621" t="str">
        <f t="shared" si="37"/>
        <v/>
      </c>
      <c r="O248" s="621" t="str">
        <f t="shared" si="38"/>
        <v/>
      </c>
      <c r="P248" s="765" t="str">
        <f t="shared" si="39"/>
        <v/>
      </c>
      <c r="Q248" s="621" t="str">
        <f t="shared" si="40"/>
        <v/>
      </c>
      <c r="R248" s="706" t="str">
        <f t="shared" si="41"/>
        <v/>
      </c>
      <c r="S248" s="767"/>
    </row>
    <row r="249" spans="3:19" x14ac:dyDescent="0.25">
      <c r="C249" s="622"/>
      <c r="D249" s="623"/>
      <c r="E249" s="618"/>
      <c r="F249" s="624"/>
      <c r="G249" s="734"/>
      <c r="H249" s="734"/>
      <c r="I249" s="736" t="str">
        <f t="shared" si="33"/>
        <v/>
      </c>
      <c r="J249" s="736" t="str">
        <f t="shared" si="34"/>
        <v/>
      </c>
      <c r="K249" s="736" t="str">
        <f t="shared" si="35"/>
        <v/>
      </c>
      <c r="M249" s="620" t="str">
        <f t="shared" si="36"/>
        <v/>
      </c>
      <c r="N249" s="621" t="str">
        <f t="shared" si="37"/>
        <v/>
      </c>
      <c r="O249" s="621" t="str">
        <f t="shared" si="38"/>
        <v/>
      </c>
      <c r="P249" s="765" t="str">
        <f t="shared" si="39"/>
        <v/>
      </c>
      <c r="Q249" s="621" t="str">
        <f t="shared" si="40"/>
        <v/>
      </c>
      <c r="R249" s="706" t="str">
        <f t="shared" si="41"/>
        <v/>
      </c>
      <c r="S249" s="767"/>
    </row>
    <row r="250" spans="3:19" x14ac:dyDescent="0.25">
      <c r="C250" s="622"/>
      <c r="D250" s="623"/>
      <c r="E250" s="618"/>
      <c r="F250" s="624"/>
      <c r="G250" s="734"/>
      <c r="H250" s="734"/>
      <c r="I250" s="736" t="str">
        <f t="shared" si="33"/>
        <v/>
      </c>
      <c r="J250" s="736" t="str">
        <f t="shared" si="34"/>
        <v/>
      </c>
      <c r="K250" s="736" t="str">
        <f t="shared" si="35"/>
        <v/>
      </c>
      <c r="M250" s="620" t="str">
        <f t="shared" si="36"/>
        <v/>
      </c>
      <c r="N250" s="621" t="str">
        <f t="shared" si="37"/>
        <v/>
      </c>
      <c r="O250" s="621" t="str">
        <f t="shared" si="38"/>
        <v/>
      </c>
      <c r="P250" s="765" t="str">
        <f t="shared" si="39"/>
        <v/>
      </c>
      <c r="Q250" s="621" t="str">
        <f t="shared" si="40"/>
        <v/>
      </c>
      <c r="R250" s="706" t="str">
        <f t="shared" si="41"/>
        <v/>
      </c>
      <c r="S250" s="767"/>
    </row>
    <row r="251" spans="3:19" x14ac:dyDescent="0.25">
      <c r="C251" s="622"/>
      <c r="D251" s="623"/>
      <c r="E251" s="618"/>
      <c r="F251" s="624"/>
      <c r="G251" s="734"/>
      <c r="H251" s="734"/>
      <c r="I251" s="736" t="str">
        <f t="shared" si="33"/>
        <v/>
      </c>
      <c r="J251" s="736" t="str">
        <f t="shared" si="34"/>
        <v/>
      </c>
      <c r="K251" s="736" t="str">
        <f t="shared" si="35"/>
        <v/>
      </c>
      <c r="M251" s="620" t="str">
        <f t="shared" si="36"/>
        <v/>
      </c>
      <c r="N251" s="621" t="str">
        <f t="shared" ref="N251:N258" si="42">IFERROR(INDEX(CNTR_FuelListIsZero, MATCH(E251, CNTR_FuelListNames, 0)),"")</f>
        <v/>
      </c>
      <c r="O251" s="621" t="str">
        <f t="shared" ref="O251:O258" si="43">IF(E251="","",IFERROR(NOT(ISNUMBER(INDEX(CNTR_FuelListSupportRate, MATCH(E251, CNTR_FuelListNames, 0)))),  ""))</f>
        <v/>
      </c>
      <c r="P251" s="765" t="str">
        <f t="shared" ref="P251:P258" si="44">IFERROR( OR( INDEX(CNTR_FuelListCompleteData, MATCH(E251, CNTR_FuelListNames, 0)) = FALSE,   INDEX(CNTR_FuelListIsFossil, MATCH(E251, CNTR_FuelListNames, 0)) = TRUE),  "")</f>
        <v/>
      </c>
      <c r="Q251" s="621" t="str">
        <f t="shared" ref="Q251:Q258" si="45">IFERROR(IF(INDEX(CNTR_FuelListSubType, MATCH(E251, CNTR_FuelListNames, 0)) = "",  "",  INDEX(CNTR_FuelListSubType, MATCH(E251, CNTR_FuelListNames, 0))),  "")</f>
        <v/>
      </c>
      <c r="R251" s="706" t="str">
        <f t="shared" ref="R251:R258" si="46">IFERROR(IF( AND(D251=TRUE, ISNUMBER(INDEX(CNTR_FuelListSupportRate, MATCH( E251, CNTR_FuelListNames, 0)))),   1,   INDEX(CNTR_FuelListSupportRate, MATCH(E251, CNTR_FuelListNames, 0))),  "")</f>
        <v/>
      </c>
      <c r="S251" s="767"/>
    </row>
    <row r="252" spans="3:19" x14ac:dyDescent="0.25">
      <c r="C252" s="622"/>
      <c r="D252" s="623"/>
      <c r="E252" s="618"/>
      <c r="F252" s="624"/>
      <c r="G252" s="734"/>
      <c r="H252" s="734"/>
      <c r="I252" s="736" t="str">
        <f t="shared" ref="I252:I258" si="47">IF(ISNUMBER($F252), IFERROR($F252*G252,"--"),"")</f>
        <v/>
      </c>
      <c r="J252" s="736" t="str">
        <f t="shared" ref="J252:J258" si="48">IF(AND(ISNUMBER($F252),N252=TRUE), IFERROR($F252*G252,"--"),"")</f>
        <v/>
      </c>
      <c r="K252" s="736" t="str">
        <f t="shared" ref="K252:K258" si="49">IF(ISNUMBER($F252), IFERROR($F252*H252,"--"),"")</f>
        <v/>
      </c>
      <c r="M252" s="620" t="str">
        <f t="shared" ref="M252:M258" si="50">IF(E252="","", IFERROR(IF(N252 = FALSE,  TRUE,  FALSE),  ""))</f>
        <v/>
      </c>
      <c r="N252" s="621" t="str">
        <f t="shared" si="42"/>
        <v/>
      </c>
      <c r="O252" s="621" t="str">
        <f t="shared" si="43"/>
        <v/>
      </c>
      <c r="P252" s="765" t="str">
        <f t="shared" si="44"/>
        <v/>
      </c>
      <c r="Q252" s="621" t="str">
        <f t="shared" si="45"/>
        <v/>
      </c>
      <c r="R252" s="706" t="str">
        <f t="shared" si="46"/>
        <v/>
      </c>
      <c r="S252" s="767"/>
    </row>
    <row r="253" spans="3:19" x14ac:dyDescent="0.25">
      <c r="C253" s="622"/>
      <c r="D253" s="623"/>
      <c r="E253" s="618"/>
      <c r="F253" s="624"/>
      <c r="G253" s="734"/>
      <c r="H253" s="734"/>
      <c r="I253" s="736" t="str">
        <f t="shared" si="47"/>
        <v/>
      </c>
      <c r="J253" s="736" t="str">
        <f t="shared" si="48"/>
        <v/>
      </c>
      <c r="K253" s="736" t="str">
        <f t="shared" si="49"/>
        <v/>
      </c>
      <c r="M253" s="620" t="str">
        <f t="shared" si="50"/>
        <v/>
      </c>
      <c r="N253" s="621" t="str">
        <f t="shared" si="42"/>
        <v/>
      </c>
      <c r="O253" s="621" t="str">
        <f t="shared" si="43"/>
        <v/>
      </c>
      <c r="P253" s="765" t="str">
        <f t="shared" si="44"/>
        <v/>
      </c>
      <c r="Q253" s="621" t="str">
        <f t="shared" si="45"/>
        <v/>
      </c>
      <c r="R253" s="706" t="str">
        <f t="shared" si="46"/>
        <v/>
      </c>
      <c r="S253" s="767"/>
    </row>
    <row r="254" spans="3:19" x14ac:dyDescent="0.25">
      <c r="C254" s="622"/>
      <c r="D254" s="623"/>
      <c r="E254" s="618"/>
      <c r="F254" s="624"/>
      <c r="G254" s="734"/>
      <c r="H254" s="734"/>
      <c r="I254" s="736" t="str">
        <f t="shared" si="47"/>
        <v/>
      </c>
      <c r="J254" s="736" t="str">
        <f t="shared" si="48"/>
        <v/>
      </c>
      <c r="K254" s="736" t="str">
        <f t="shared" si="49"/>
        <v/>
      </c>
      <c r="M254" s="620" t="str">
        <f t="shared" si="50"/>
        <v/>
      </c>
      <c r="N254" s="621" t="str">
        <f t="shared" si="42"/>
        <v/>
      </c>
      <c r="O254" s="621" t="str">
        <f t="shared" si="43"/>
        <v/>
      </c>
      <c r="P254" s="765" t="str">
        <f t="shared" si="44"/>
        <v/>
      </c>
      <c r="Q254" s="621" t="str">
        <f t="shared" si="45"/>
        <v/>
      </c>
      <c r="R254" s="706" t="str">
        <f t="shared" si="46"/>
        <v/>
      </c>
      <c r="S254" s="767"/>
    </row>
    <row r="255" spans="3:19" x14ac:dyDescent="0.25">
      <c r="C255" s="622"/>
      <c r="D255" s="623"/>
      <c r="E255" s="618"/>
      <c r="F255" s="624"/>
      <c r="G255" s="734"/>
      <c r="H255" s="734"/>
      <c r="I255" s="736" t="str">
        <f t="shared" si="47"/>
        <v/>
      </c>
      <c r="J255" s="736" t="str">
        <f t="shared" si="48"/>
        <v/>
      </c>
      <c r="K255" s="736" t="str">
        <f t="shared" si="49"/>
        <v/>
      </c>
      <c r="M255" s="620" t="str">
        <f t="shared" si="50"/>
        <v/>
      </c>
      <c r="N255" s="621" t="str">
        <f t="shared" si="42"/>
        <v/>
      </c>
      <c r="O255" s="621" t="str">
        <f t="shared" si="43"/>
        <v/>
      </c>
      <c r="P255" s="765" t="str">
        <f t="shared" si="44"/>
        <v/>
      </c>
      <c r="Q255" s="621" t="str">
        <f t="shared" si="45"/>
        <v/>
      </c>
      <c r="R255" s="706" t="str">
        <f t="shared" si="46"/>
        <v/>
      </c>
      <c r="S255" s="767"/>
    </row>
    <row r="256" spans="3:19" x14ac:dyDescent="0.25">
      <c r="C256" s="622"/>
      <c r="D256" s="623"/>
      <c r="E256" s="618"/>
      <c r="F256" s="624"/>
      <c r="G256" s="734"/>
      <c r="H256" s="734"/>
      <c r="I256" s="736" t="str">
        <f t="shared" si="47"/>
        <v/>
      </c>
      <c r="J256" s="736" t="str">
        <f t="shared" si="48"/>
        <v/>
      </c>
      <c r="K256" s="736" t="str">
        <f t="shared" si="49"/>
        <v/>
      </c>
      <c r="M256" s="620" t="str">
        <f t="shared" si="50"/>
        <v/>
      </c>
      <c r="N256" s="621" t="str">
        <f t="shared" si="42"/>
        <v/>
      </c>
      <c r="O256" s="621" t="str">
        <f t="shared" si="43"/>
        <v/>
      </c>
      <c r="P256" s="765" t="str">
        <f t="shared" si="44"/>
        <v/>
      </c>
      <c r="Q256" s="621" t="str">
        <f t="shared" si="45"/>
        <v/>
      </c>
      <c r="R256" s="706" t="str">
        <f t="shared" si="46"/>
        <v/>
      </c>
      <c r="S256" s="767"/>
    </row>
    <row r="257" spans="3:19" x14ac:dyDescent="0.25">
      <c r="C257" s="622"/>
      <c r="D257" s="623"/>
      <c r="E257" s="618"/>
      <c r="F257" s="624"/>
      <c r="G257" s="734"/>
      <c r="H257" s="734"/>
      <c r="I257" s="736" t="str">
        <f t="shared" si="47"/>
        <v/>
      </c>
      <c r="J257" s="736" t="str">
        <f t="shared" si="48"/>
        <v/>
      </c>
      <c r="K257" s="736" t="str">
        <f t="shared" si="49"/>
        <v/>
      </c>
      <c r="M257" s="620" t="str">
        <f t="shared" si="50"/>
        <v/>
      </c>
      <c r="N257" s="621" t="str">
        <f t="shared" si="42"/>
        <v/>
      </c>
      <c r="O257" s="621" t="str">
        <f t="shared" si="43"/>
        <v/>
      </c>
      <c r="P257" s="765" t="str">
        <f t="shared" si="44"/>
        <v/>
      </c>
      <c r="Q257" s="621" t="str">
        <f t="shared" si="45"/>
        <v/>
      </c>
      <c r="R257" s="706" t="str">
        <f t="shared" si="46"/>
        <v/>
      </c>
      <c r="S257" s="767"/>
    </row>
    <row r="258" spans="3:19" x14ac:dyDescent="0.25">
      <c r="C258" s="625"/>
      <c r="D258" s="626"/>
      <c r="E258" s="627"/>
      <c r="F258" s="628"/>
      <c r="G258" s="735"/>
      <c r="H258" s="735"/>
      <c r="I258" s="737" t="str">
        <f t="shared" si="47"/>
        <v/>
      </c>
      <c r="J258" s="737" t="str">
        <f t="shared" si="48"/>
        <v/>
      </c>
      <c r="K258" s="736" t="str">
        <f t="shared" si="49"/>
        <v/>
      </c>
      <c r="M258" s="620" t="str">
        <f t="shared" si="50"/>
        <v/>
      </c>
      <c r="N258" s="621" t="str">
        <f t="shared" si="42"/>
        <v/>
      </c>
      <c r="O258" s="621" t="str">
        <f t="shared" si="43"/>
        <v/>
      </c>
      <c r="P258" s="765" t="str">
        <f t="shared" si="44"/>
        <v/>
      </c>
      <c r="Q258" s="621" t="str">
        <f t="shared" si="45"/>
        <v/>
      </c>
      <c r="R258" s="706" t="str">
        <f t="shared" si="46"/>
        <v/>
      </c>
      <c r="S258" s="767"/>
    </row>
    <row r="259" spans="3:19" x14ac:dyDescent="0.25">
      <c r="C259" s="629" t="str">
        <f>Translations!$B$1615</f>
        <v>TOTAL</v>
      </c>
      <c r="D259" s="629"/>
      <c r="E259" s="629"/>
      <c r="F259" s="630">
        <f>SUM(F59:F258)</f>
        <v>0</v>
      </c>
      <c r="G259" s="739" t="str">
        <f>IFERROR(I259/$F259,"")</f>
        <v/>
      </c>
      <c r="H259" s="739" t="str">
        <f>IFERROR(K259/$F259,"")</f>
        <v/>
      </c>
      <c r="I259" s="738">
        <f t="shared" ref="I259:K259" si="51">SUM(I59:I258)</f>
        <v>0</v>
      </c>
      <c r="J259" s="738">
        <f t="shared" si="51"/>
        <v>0</v>
      </c>
      <c r="K259" s="738">
        <f t="shared" si="51"/>
        <v>0</v>
      </c>
      <c r="M259" s="631"/>
      <c r="N259" s="632"/>
      <c r="O259" s="632"/>
      <c r="P259" s="632"/>
      <c r="Q259" s="632"/>
      <c r="R259" s="632"/>
      <c r="S259" s="768"/>
    </row>
    <row r="261" spans="3:19" ht="13.4" customHeight="1" x14ac:dyDescent="0.25">
      <c r="C261" s="1303" t="str">
        <f>Translations!$B$1614</f>
        <v>When ready with entries in this sheet, please click here for returning to entering data in section 5c (fuel quantities used in sheet "Emissions overview").</v>
      </c>
      <c r="D261" s="1304"/>
      <c r="E261" s="1304"/>
      <c r="F261" s="1304"/>
      <c r="G261" s="1304"/>
      <c r="H261" s="1304"/>
      <c r="I261" s="1304"/>
      <c r="J261" s="1304"/>
      <c r="K261" s="1305"/>
    </row>
  </sheetData>
  <sheetProtection sheet="1" objects="1" scenarios="1" formatCells="0" formatColumns="0" formatRows="0" insertColumns="0" insertRows="0"/>
  <mergeCells count="61">
    <mergeCell ref="C3:K3"/>
    <mergeCell ref="C39:D39"/>
    <mergeCell ref="E39:K39"/>
    <mergeCell ref="C40:D40"/>
    <mergeCell ref="E40:K40"/>
    <mergeCell ref="C33:K33"/>
    <mergeCell ref="C30:K30"/>
    <mergeCell ref="C34:D34"/>
    <mergeCell ref="E34:K34"/>
    <mergeCell ref="C35:D35"/>
    <mergeCell ref="E35:K35"/>
    <mergeCell ref="C27:K27"/>
    <mergeCell ref="C28:K28"/>
    <mergeCell ref="C29:K29"/>
    <mergeCell ref="C31:K31"/>
    <mergeCell ref="C32:K32"/>
    <mergeCell ref="C42:D42"/>
    <mergeCell ref="E42:K42"/>
    <mergeCell ref="C36:D36"/>
    <mergeCell ref="E36:K36"/>
    <mergeCell ref="C37:D37"/>
    <mergeCell ref="E37:K37"/>
    <mergeCell ref="C38:D38"/>
    <mergeCell ref="E38:K38"/>
    <mergeCell ref="C15:K15"/>
    <mergeCell ref="D16:K16"/>
    <mergeCell ref="D17:K17"/>
    <mergeCell ref="D18:K18"/>
    <mergeCell ref="D19:K19"/>
    <mergeCell ref="D20:K20"/>
    <mergeCell ref="C22:D22"/>
    <mergeCell ref="C21:K21"/>
    <mergeCell ref="E22:K22"/>
    <mergeCell ref="E23:K23"/>
    <mergeCell ref="C23:D25"/>
    <mergeCell ref="E24:K24"/>
    <mergeCell ref="E25:K25"/>
    <mergeCell ref="C13:K13"/>
    <mergeCell ref="C14:K14"/>
    <mergeCell ref="C7:K7"/>
    <mergeCell ref="C9:K9"/>
    <mergeCell ref="C10:K10"/>
    <mergeCell ref="C11:K11"/>
    <mergeCell ref="C12:K12"/>
    <mergeCell ref="C8:K8"/>
    <mergeCell ref="C56:K56"/>
    <mergeCell ref="C261:K261"/>
    <mergeCell ref="C41:D41"/>
    <mergeCell ref="E41:K41"/>
    <mergeCell ref="C55:K55"/>
    <mergeCell ref="C45:K45"/>
    <mergeCell ref="D48:K48"/>
    <mergeCell ref="D49:K49"/>
    <mergeCell ref="D50:K50"/>
    <mergeCell ref="C47:K47"/>
    <mergeCell ref="C53:D53"/>
    <mergeCell ref="C46:K46"/>
    <mergeCell ref="C51:K51"/>
    <mergeCell ref="C52:K52"/>
    <mergeCell ref="C43:D43"/>
    <mergeCell ref="E43:K43"/>
  </mergeCells>
  <conditionalFormatting sqref="F59:H258">
    <cfRule type="expression" dxfId="10" priority="328">
      <formula>$P59=TRUE</formula>
    </cfRule>
  </conditionalFormatting>
  <conditionalFormatting sqref="H59:H258">
    <cfRule type="expression" dxfId="9" priority="3">
      <formula>$O59=TRUE</formula>
    </cfRule>
  </conditionalFormatting>
  <conditionalFormatting sqref="J59:J258">
    <cfRule type="expression" dxfId="8" priority="4">
      <formula>IF($M59=TRUE,TRUE,FALSE)</formula>
    </cfRule>
  </conditionalFormatting>
  <dataValidations count="3">
    <dataValidation type="list" allowBlank="1" showInputMessage="1" showErrorMessage="1" sqref="D59:D258" xr:uid="{00000000-0002-0000-0700-000000000000}">
      <formula1>TrueFalse</formula1>
    </dataValidation>
    <dataValidation type="list" allowBlank="1" showInputMessage="1" showErrorMessage="1" sqref="E59:E258" xr:uid="{00000000-0002-0000-0700-000001000000}">
      <formula1>INDIRECT(CNTR_FuelSelection)</formula1>
    </dataValidation>
    <dataValidation type="decimal" allowBlank="1" showInputMessage="1" showErrorMessage="1" sqref="G59:H258" xr:uid="{00000000-0002-0000-0700-000002000000}">
      <formula1>0</formula1>
      <formula2>1</formula2>
    </dataValidation>
  </dataValidations>
  <hyperlinks>
    <hyperlink ref="C56:K56" location="JUMP_5c" display="When ready with entries in this sheet, for returning to entering data in section 5c (fuel quantities used in sheet &quot;Emissions overview&quot;), please click here." xr:uid="{00000000-0004-0000-0700-000000000000}"/>
    <hyperlink ref="C261:K261" location="JUMP_5c" display="When ready with entries in this sheet, for returning to entering data in section 5c (fuel quantities used in sheet &quot;Emissions overview&quot;), please click here." xr:uid="{00000000-0004-0000-0700-000001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tabColor rgb="FF7030A0"/>
  </sheetPr>
  <dimension ref="A1:L32"/>
  <sheetViews>
    <sheetView topLeftCell="B2" zoomScale="115" zoomScaleNormal="115" workbookViewId="0">
      <selection activeCell="L27" sqref="L27"/>
    </sheetView>
  </sheetViews>
  <sheetFormatPr baseColWidth="10" defaultColWidth="9.1796875" defaultRowHeight="14" x14ac:dyDescent="0.25"/>
  <cols>
    <col min="1" max="1" width="4.453125" style="643" hidden="1" customWidth="1"/>
    <col min="2" max="2" width="4.453125" style="637" customWidth="1"/>
    <col min="3" max="3" width="5.453125" style="637" customWidth="1"/>
    <col min="4" max="4" width="32.54296875" style="637" customWidth="1"/>
    <col min="5" max="9" width="12.54296875" style="637" customWidth="1"/>
    <col min="10" max="10" width="3.54296875" style="637" customWidth="1"/>
    <col min="11" max="11" width="9.1796875" style="643" hidden="1" customWidth="1"/>
    <col min="12" max="12" width="3.54296875" style="637" customWidth="1"/>
    <col min="13" max="13" width="9.1796875" style="637" customWidth="1"/>
    <col min="14" max="16384" width="9.1796875" style="637"/>
  </cols>
  <sheetData>
    <row r="1" spans="1:12" s="643" customFormat="1" hidden="1" x14ac:dyDescent="0.25">
      <c r="A1" s="643" t="s">
        <v>30</v>
      </c>
      <c r="K1" s="643" t="s">
        <v>30</v>
      </c>
    </row>
    <row r="3" spans="1:12" ht="30" customHeight="1" x14ac:dyDescent="0.25">
      <c r="C3" s="1112" t="str">
        <f>Translations!$B$1616</f>
        <v>AUTOMATIC AGGREGATION OF ALTERNATIVE FUEL TYPES</v>
      </c>
      <c r="D3" s="1112"/>
      <c r="E3" s="1112"/>
      <c r="F3" s="1112"/>
      <c r="G3" s="1112"/>
      <c r="H3" s="1112"/>
      <c r="I3" s="1112"/>
    </row>
    <row r="5" spans="1:12" ht="15.5" x14ac:dyDescent="0.25">
      <c r="C5" s="1026" t="s">
        <v>4</v>
      </c>
      <c r="D5" s="1262" t="str">
        <f>Translations!$B$1403</f>
        <v>Support under Article 3c(6) of the EU ETS Directive</v>
      </c>
      <c r="E5" s="1333"/>
      <c r="F5" s="1333"/>
      <c r="G5" s="1333"/>
      <c r="H5" s="1333"/>
      <c r="I5" s="1333"/>
    </row>
    <row r="6" spans="1:12" x14ac:dyDescent="0.25">
      <c r="H6" s="638"/>
    </row>
    <row r="7" spans="1:12" ht="26.5" customHeight="1" x14ac:dyDescent="0.25">
      <c r="C7" s="646" t="s">
        <v>25</v>
      </c>
      <c r="D7" s="1068" t="str">
        <f>Translations!$B$1617</f>
        <v>Please, indicate here if you do NOT want to apply for the free allocation to support the use of eligible aviation fuels pursuant to Article 3c(6) of the EU ETS Directive.</v>
      </c>
      <c r="E7" s="1068"/>
      <c r="F7" s="1068"/>
      <c r="G7" s="1068"/>
      <c r="H7" s="1068"/>
      <c r="I7" s="1034"/>
    </row>
    <row r="8" spans="1:12" ht="13.4" customHeight="1" x14ac:dyDescent="0.25">
      <c r="C8" s="639"/>
      <c r="D8" s="1311" t="str">
        <f>Translations!$B$1618</f>
        <v>In selecting "TRUE", you are opting-out from the ETS support pursuant to Article 3c(6) of the EU ETS Directive.</v>
      </c>
      <c r="E8" s="1062"/>
      <c r="F8" s="1062"/>
      <c r="G8" s="1062"/>
      <c r="H8" s="1062"/>
      <c r="I8" s="642"/>
      <c r="J8" s="638"/>
      <c r="K8" s="358" t="s">
        <v>226</v>
      </c>
      <c r="L8" s="638"/>
    </row>
    <row r="9" spans="1:12" ht="5.15" customHeight="1" x14ac:dyDescent="0.25">
      <c r="H9" s="638"/>
    </row>
    <row r="10" spans="1:12" ht="41.15" customHeight="1" x14ac:dyDescent="0.25">
      <c r="C10" s="639"/>
      <c r="D10" s="1334" t="str">
        <f>IF(CNTR_ETS3c6OptOut,ErrMsg_YouOptOut,ErrMsg_Art3c6OK)</f>
        <v>You are applying for support for the use of eligible aviation fuels under Article 3c(6) of the EU ETS Directive using the data displayed below.</v>
      </c>
      <c r="E10" s="1335"/>
      <c r="F10" s="1335"/>
      <c r="G10" s="1335"/>
      <c r="H10" s="1335"/>
      <c r="I10" s="1336"/>
      <c r="J10" s="638"/>
      <c r="K10" s="644"/>
      <c r="L10" s="638"/>
    </row>
    <row r="11" spans="1:12" ht="13.4" customHeight="1" x14ac:dyDescent="0.25">
      <c r="C11" s="639"/>
      <c r="D11" s="566"/>
      <c r="E11" s="324"/>
      <c r="F11" s="324"/>
      <c r="G11" s="324"/>
      <c r="H11" s="324"/>
      <c r="I11" s="638"/>
      <c r="J11" s="638"/>
      <c r="K11" s="644"/>
      <c r="L11" s="638"/>
    </row>
    <row r="12" spans="1:12" x14ac:dyDescent="0.25">
      <c r="C12" s="519" t="s">
        <v>26</v>
      </c>
      <c r="D12" s="373" t="str">
        <f>Translations!$B$1619</f>
        <v>Aggregated amount of neat fuels eligible for Article 3c(6) support</v>
      </c>
    </row>
    <row r="13" spans="1:12" x14ac:dyDescent="0.25">
      <c r="C13" s="639"/>
      <c r="D13" s="1311" t="str">
        <f>Translations!$B$1620</f>
        <v>The table below lists the amounts of neat fuels in tonnes, attributed proportionally to eligible flights, as entered in section 10a of this report.</v>
      </c>
      <c r="E13" s="1062"/>
      <c r="F13" s="1062"/>
      <c r="G13" s="1062"/>
      <c r="H13" s="1062"/>
      <c r="I13" s="1062"/>
    </row>
    <row r="14" spans="1:12" x14ac:dyDescent="0.25">
      <c r="C14" s="639"/>
      <c r="D14" s="1311" t="str">
        <f>Translations!$B$1621</f>
        <v>The level of support is automatically taken from the fuel definitions in section 5b.</v>
      </c>
      <c r="E14" s="1062"/>
      <c r="F14" s="1062"/>
      <c r="G14" s="1062"/>
      <c r="H14" s="1062"/>
      <c r="I14" s="1062"/>
    </row>
    <row r="15" spans="1:12" ht="27" customHeight="1" x14ac:dyDescent="0.25">
      <c r="C15" s="639"/>
      <c r="D15" s="1311" t="str">
        <f>Translations!$B$1622</f>
        <v>Where an airport listed in section 10b is eligible for 100% support in accordance with Article 3c(6) of the EU ETS Directive, this support level is set to 100%.</v>
      </c>
      <c r="E15" s="1062"/>
      <c r="F15" s="1062"/>
      <c r="G15" s="1062"/>
      <c r="H15" s="1062"/>
      <c r="I15" s="1062"/>
    </row>
    <row r="16" spans="1:12" x14ac:dyDescent="0.25">
      <c r="C16" s="639"/>
      <c r="D16" s="650"/>
      <c r="E16" s="1337" t="str">
        <f>Translations!$B$1623</f>
        <v>Level of direct ETS support under Article 3c(6)</v>
      </c>
      <c r="F16" s="1337"/>
      <c r="G16" s="1337"/>
      <c r="H16" s="1337"/>
      <c r="I16" s="650"/>
      <c r="K16" s="643" t="s">
        <v>232</v>
      </c>
    </row>
    <row r="17" spans="1:11" s="640" customFormat="1" ht="26.5" customHeight="1" x14ac:dyDescent="0.25">
      <c r="A17" s="645"/>
      <c r="C17" s="647"/>
      <c r="D17" s="651" t="str">
        <f>Translations!$B$1624</f>
        <v>Fuels entered in Section 10a [tonnes]</v>
      </c>
      <c r="E17" s="648">
        <v>0.5</v>
      </c>
      <c r="F17" s="648">
        <v>0.7</v>
      </c>
      <c r="G17" s="648">
        <v>0.95</v>
      </c>
      <c r="H17" s="648">
        <v>1</v>
      </c>
      <c r="I17" s="649" t="str">
        <f>Translations!$B$1625</f>
        <v>Total Volume</v>
      </c>
      <c r="K17" s="645"/>
    </row>
    <row r="18" spans="1:11" x14ac:dyDescent="0.25">
      <c r="C18" s="639"/>
      <c r="D18" s="654" t="str">
        <f>Translations!$B$1626</f>
        <v>Advanced Aviation Biofuel</v>
      </c>
      <c r="E18" s="740" t="str">
        <f>IF(CNTR_ETS3c6OptOut=TRUE, "",
                    IF(SUMIFS('Annex Aerodromes'!$K$59:$K$258, 'Annex Aerodromes'!$O$59:$O$258, FALSE, 'Annex Aerodromes'!$P$59:$P$258, FALSE, 'Annex Aerodromes'!$R$59:$R$258, E$17, 'Annex Aerodromes'!$Q$59:$Q$258, $K18) = 0,    "",
                    SUMIFS('Annex Aerodromes'!$K$59:$K$258, 'Annex Aerodromes'!$O$59:$O$258, FALSE, 'Annex Aerodromes'!$P$59:$P$258, FALSE, 'Annex Aerodromes'!$R$59:$R$258, E$17, 'Annex Aerodromes'!$Q$59:$Q$258, $K18)))</f>
        <v/>
      </c>
      <c r="F18" s="656" t="str">
        <f>IF(CNTR_ETS3c6OptOut=TRUE, "",
                    IF(SUMIFS('Annex Aerodromes'!$K$59:$K$258, 'Annex Aerodromes'!$O$59:$O$258, FALSE, 'Annex Aerodromes'!$P$59:$P$258, FALSE, 'Annex Aerodromes'!$R$59:$R$258, F$17, 'Annex Aerodromes'!$Q$59:$Q$258, $K18) = 0,    "",
                    SUMIFS('Annex Aerodromes'!$K$59:$K$258, 'Annex Aerodromes'!$O$59:$O$258, FALSE, 'Annex Aerodromes'!$P$59:$P$258, FALSE, 'Annex Aerodromes'!$R$59:$R$258, F$17, 'Annex Aerodromes'!$Q$59:$Q$258, $K18)))</f>
        <v/>
      </c>
      <c r="G18" s="740" t="str">
        <f>IF(CNTR_ETS3c6OptOut=TRUE, "",
                    IF(SUMIFS('Annex Aerodromes'!$K$59:$K$258, 'Annex Aerodromes'!$O$59:$O$258, FALSE, 'Annex Aerodromes'!$P$59:$P$258, FALSE, 'Annex Aerodromes'!$R$59:$R$258, G$17, 'Annex Aerodromes'!$Q$59:$Q$258, $K18) = 0,    "",
                    SUMIFS('Annex Aerodromes'!$K$59:$K$258, 'Annex Aerodromes'!$O$59:$O$258, FALSE, 'Annex Aerodromes'!$P$59:$P$258, FALSE, 'Annex Aerodromes'!$R$59:$R$258, G$17, 'Annex Aerodromes'!$Q$59:$Q$258, $K18)))</f>
        <v/>
      </c>
      <c r="H18" s="656" t="str">
        <f>IF(CNTR_ETS3c6OptOut=TRUE, "",
                    IF(SUMIFS('Annex Aerodromes'!$K$59:$K$258, 'Annex Aerodromes'!$O$59:$O$258, FALSE, 'Annex Aerodromes'!$P$59:$P$258, FALSE, 'Annex Aerodromes'!$R$59:$R$258, H$17, 'Annex Aerodromes'!$Q$59:$Q$258, $K18) = 0,    "",
                    SUMIFS('Annex Aerodromes'!$K$59:$K$258, 'Annex Aerodromes'!$O$59:$O$258, FALSE, 'Annex Aerodromes'!$P$59:$P$258, FALSE, 'Annex Aerodromes'!$R$59:$R$258, H$17, 'Annex Aerodromes'!$Q$59:$Q$258, $K18)))</f>
        <v/>
      </c>
      <c r="I18" s="657" t="str">
        <f>IF(SUM(E18:H18)=0,"",SUM(E18:H18))</f>
        <v/>
      </c>
      <c r="K18" s="652" t="str">
        <f t="shared" ref="K18:K25" si="0">INDEX(CNST_AltFuelTypesShort,MATCH(D18,CNST_AltFuelTypes,0))</f>
        <v>Adv. Biofuel</v>
      </c>
    </row>
    <row r="19" spans="1:11" x14ac:dyDescent="0.25">
      <c r="C19" s="639"/>
      <c r="D19" s="654" t="str">
        <f>Translations!$B$1449</f>
        <v>Aviation Biofuel</v>
      </c>
      <c r="E19" s="656" t="str">
        <f>IF(CNTR_ETS3c6OptOut=TRUE, "",
                    IF(SUMIFS('Annex Aerodromes'!$K$59:$K$258, 'Annex Aerodromes'!$O$59:$O$258, FALSE, 'Annex Aerodromes'!$P$59:$P$258, FALSE, 'Annex Aerodromes'!$R$59:$R$258, E$17, 'Annex Aerodromes'!$Q$59:$Q$258, $K19) = 0,    "",
                    SUMIFS('Annex Aerodromes'!$K$59:$K$258, 'Annex Aerodromes'!$O$59:$O$258, FALSE, 'Annex Aerodromes'!$P$59:$P$258, FALSE, 'Annex Aerodromes'!$R$59:$R$258, E$17, 'Annex Aerodromes'!$Q$59:$Q$258, $K19)))</f>
        <v/>
      </c>
      <c r="F19" s="740" t="str">
        <f>IF(CNTR_ETS3c6OptOut=TRUE, "",
                    IF(SUMIFS('Annex Aerodromes'!$K$59:$K$258, 'Annex Aerodromes'!$O$59:$O$258, FALSE, 'Annex Aerodromes'!$P$59:$P$258, FALSE, 'Annex Aerodromes'!$R$59:$R$258, F$17, 'Annex Aerodromes'!$Q$59:$Q$258, $K19) = 0,    "",
                    SUMIFS('Annex Aerodromes'!$K$59:$K$258, 'Annex Aerodromes'!$O$59:$O$258, FALSE, 'Annex Aerodromes'!$P$59:$P$258, FALSE, 'Annex Aerodromes'!$R$59:$R$258, F$17, 'Annex Aerodromes'!$Q$59:$Q$258, $K19)))</f>
        <v/>
      </c>
      <c r="G19" s="740" t="str">
        <f>IF(CNTR_ETS3c6OptOut=TRUE, "",
                    IF(SUMIFS('Annex Aerodromes'!$K$59:$K$258, 'Annex Aerodromes'!$O$59:$O$258, FALSE, 'Annex Aerodromes'!$P$59:$P$258, FALSE, 'Annex Aerodromes'!$R$59:$R$258, G$17, 'Annex Aerodromes'!$Q$59:$Q$258, $K19) = 0,    "",
                    SUMIFS('Annex Aerodromes'!$K$59:$K$258, 'Annex Aerodromes'!$O$59:$O$258, FALSE, 'Annex Aerodromes'!$P$59:$P$258, FALSE, 'Annex Aerodromes'!$R$59:$R$258, G$17, 'Annex Aerodromes'!$Q$59:$Q$258, $K19)))</f>
        <v/>
      </c>
      <c r="H19" s="656" t="str">
        <f>IF(CNTR_ETS3c6OptOut=TRUE, "",
                    IF(SUMIFS('Annex Aerodromes'!$K$59:$K$258, 'Annex Aerodromes'!$O$59:$O$258, FALSE, 'Annex Aerodromes'!$P$59:$P$258, FALSE, 'Annex Aerodromes'!$R$59:$R$258, H$17, 'Annex Aerodromes'!$Q$59:$Q$258, $K19) = 0,    "",
                    SUMIFS('Annex Aerodromes'!$K$59:$K$258, 'Annex Aerodromes'!$O$59:$O$258, FALSE, 'Annex Aerodromes'!$P$59:$P$258, FALSE, 'Annex Aerodromes'!$R$59:$R$258, H$17, 'Annex Aerodromes'!$Q$59:$Q$258, $K19)))</f>
        <v/>
      </c>
      <c r="I19" s="657" t="str">
        <f t="shared" ref="I19:I25" si="1">IF(SUM(E19:H19)=0,"",SUM(E19:H19))</f>
        <v/>
      </c>
      <c r="K19" s="652" t="str">
        <f t="shared" si="0"/>
        <v>Biofuel</v>
      </c>
    </row>
    <row r="20" spans="1:11" x14ac:dyDescent="0.25">
      <c r="C20" s="639"/>
      <c r="D20" s="654" t="str">
        <f>Translations!$B$1451</f>
        <v>Other aviation biofuel</v>
      </c>
      <c r="E20" s="656" t="str">
        <f>IF(CNTR_ETS3c6OptOut=TRUE, "",
                    IF(SUMIFS('Annex Aerodromes'!$K$59:$K$258, 'Annex Aerodromes'!$O$59:$O$258, FALSE, 'Annex Aerodromes'!$P$59:$P$258, FALSE, 'Annex Aerodromes'!$R$59:$R$258, E$17, 'Annex Aerodromes'!$Q$59:$Q$258, $K20) = 0,    "",
                    SUMIFS('Annex Aerodromes'!$K$59:$K$258, 'Annex Aerodromes'!$O$59:$O$258, FALSE, 'Annex Aerodromes'!$P$59:$P$258, FALSE, 'Annex Aerodromes'!$R$59:$R$258, E$17, 'Annex Aerodromes'!$Q$59:$Q$258, $K20)))</f>
        <v/>
      </c>
      <c r="F20" s="740" t="str">
        <f>IF(CNTR_ETS3c6OptOut=TRUE, "",
                    IF(SUMIFS('Annex Aerodromes'!$K$59:$K$258, 'Annex Aerodromes'!$O$59:$O$258, FALSE, 'Annex Aerodromes'!$P$59:$P$258, FALSE, 'Annex Aerodromes'!$R$59:$R$258, F$17, 'Annex Aerodromes'!$Q$59:$Q$258, $K20) = 0,    "",
                    SUMIFS('Annex Aerodromes'!$K$59:$K$258, 'Annex Aerodromes'!$O$59:$O$258, FALSE, 'Annex Aerodromes'!$P$59:$P$258, FALSE, 'Annex Aerodromes'!$R$59:$R$258, F$17, 'Annex Aerodromes'!$Q$59:$Q$258, $K20)))</f>
        <v/>
      </c>
      <c r="G20" s="740" t="str">
        <f>IF(CNTR_ETS3c6OptOut=TRUE, "",
                    IF(SUMIFS('Annex Aerodromes'!$K$59:$K$258, 'Annex Aerodromes'!$O$59:$O$258, FALSE, 'Annex Aerodromes'!$P$59:$P$258, FALSE, 'Annex Aerodromes'!$R$59:$R$258, G$17, 'Annex Aerodromes'!$Q$59:$Q$258, $K20) = 0,    "",
                    SUMIFS('Annex Aerodromes'!$K$59:$K$258, 'Annex Aerodromes'!$O$59:$O$258, FALSE, 'Annex Aerodromes'!$P$59:$P$258, FALSE, 'Annex Aerodromes'!$R$59:$R$258, G$17, 'Annex Aerodromes'!$Q$59:$Q$258, $K20)))</f>
        <v/>
      </c>
      <c r="H20" s="656" t="str">
        <f>IF(CNTR_ETS3c6OptOut=TRUE, "",
                    IF(SUMIFS('Annex Aerodromes'!$K$59:$K$258, 'Annex Aerodromes'!$O$59:$O$258, FALSE, 'Annex Aerodromes'!$P$59:$P$258, FALSE, 'Annex Aerodromes'!$R$59:$R$258, H$17, 'Annex Aerodromes'!$Q$59:$Q$258, $K20) = 0,    "",
                    SUMIFS('Annex Aerodromes'!$K$59:$K$258, 'Annex Aerodromes'!$O$59:$O$258, FALSE, 'Annex Aerodromes'!$P$59:$P$258, FALSE, 'Annex Aerodromes'!$R$59:$R$258, H$17, 'Annex Aerodromes'!$Q$59:$Q$258, $K20)))</f>
        <v/>
      </c>
      <c r="I20" s="657" t="str">
        <f t="shared" si="1"/>
        <v/>
      </c>
      <c r="K20" s="652" t="str">
        <f t="shared" si="0"/>
        <v>Other Biofuel</v>
      </c>
    </row>
    <row r="21" spans="1:11" x14ac:dyDescent="0.25">
      <c r="C21" s="639"/>
      <c r="D21" s="654" t="str">
        <f>Translations!$B$1454</f>
        <v>Co-processed advanced biofuel</v>
      </c>
      <c r="E21" s="740" t="str">
        <f>IF(CNTR_ETS3c6OptOut=TRUE, "",
                    IF(SUMIFS('Annex Aerodromes'!$K$59:$K$258, 'Annex Aerodromes'!$O$59:$O$258, FALSE, 'Annex Aerodromes'!$P$59:$P$258, FALSE, 'Annex Aerodromes'!$R$59:$R$258, E$17, 'Annex Aerodromes'!$Q$59:$Q$258, $K21) = 0,    "",
                    SUMIFS('Annex Aerodromes'!$K$59:$K$258, 'Annex Aerodromes'!$O$59:$O$258, FALSE, 'Annex Aerodromes'!$P$59:$P$258, FALSE, 'Annex Aerodromes'!$R$59:$R$258, E$17, 'Annex Aerodromes'!$Q$59:$Q$258, $K21)))</f>
        <v/>
      </c>
      <c r="F21" s="656" t="str">
        <f>IF(CNTR_ETS3c6OptOut=TRUE, "",
                    IF(SUMIFS('Annex Aerodromes'!$K$59:$K$258, 'Annex Aerodromes'!$O$59:$O$258, FALSE, 'Annex Aerodromes'!$P$59:$P$258, FALSE, 'Annex Aerodromes'!$R$59:$R$258, F$17, 'Annex Aerodromes'!$Q$59:$Q$258, $K21) = 0,    "",
                    SUMIFS('Annex Aerodromes'!$K$59:$K$258, 'Annex Aerodromes'!$O$59:$O$258, FALSE, 'Annex Aerodromes'!$P$59:$P$258, FALSE, 'Annex Aerodromes'!$R$59:$R$258, F$17, 'Annex Aerodromes'!$Q$59:$Q$258, $K21)))</f>
        <v/>
      </c>
      <c r="G21" s="740" t="str">
        <f>IF(CNTR_ETS3c6OptOut=TRUE, "",
                    IF(SUMIFS('Annex Aerodromes'!$K$59:$K$258, 'Annex Aerodromes'!$O$59:$O$258, FALSE, 'Annex Aerodromes'!$P$59:$P$258, FALSE, 'Annex Aerodromes'!$R$59:$R$258, G$17, 'Annex Aerodromes'!$Q$59:$Q$258, $K21) = 0,    "",
                    SUMIFS('Annex Aerodromes'!$K$59:$K$258, 'Annex Aerodromes'!$O$59:$O$258, FALSE, 'Annex Aerodromes'!$P$59:$P$258, FALSE, 'Annex Aerodromes'!$R$59:$R$258, G$17, 'Annex Aerodromes'!$Q$59:$Q$258, $K21)))</f>
        <v/>
      </c>
      <c r="H21" s="656" t="str">
        <f>IF(CNTR_ETS3c6OptOut=TRUE, "",
                    IF(SUMIFS('Annex Aerodromes'!$K$59:$K$258, 'Annex Aerodromes'!$O$59:$O$258, FALSE, 'Annex Aerodromes'!$P$59:$P$258, FALSE, 'Annex Aerodromes'!$R$59:$R$258, H$17, 'Annex Aerodromes'!$Q$59:$Q$258, $K21) = 0,    "",
                    SUMIFS('Annex Aerodromes'!$K$59:$K$258, 'Annex Aerodromes'!$O$59:$O$258, FALSE, 'Annex Aerodromes'!$P$59:$P$258, FALSE, 'Annex Aerodromes'!$R$59:$R$258, H$17, 'Annex Aerodromes'!$Q$59:$Q$258, $K21)))</f>
        <v/>
      </c>
      <c r="I21" s="657" t="str">
        <f t="shared" si="1"/>
        <v/>
      </c>
      <c r="K21" s="652" t="str">
        <f t="shared" si="0"/>
        <v>Co-prod. Adv. Biofuel</v>
      </c>
    </row>
    <row r="22" spans="1:11" x14ac:dyDescent="0.25">
      <c r="C22" s="639"/>
      <c r="D22" s="654" t="str">
        <f>Translations!$B$1457</f>
        <v>Co-processed biofuel</v>
      </c>
      <c r="E22" s="656" t="str">
        <f>IF(CNTR_ETS3c6OptOut=TRUE, "",
                    IF(SUMIFS('Annex Aerodromes'!$K$59:$K$258, 'Annex Aerodromes'!$O$59:$O$258, FALSE, 'Annex Aerodromes'!$P$59:$P$258, FALSE, 'Annex Aerodromes'!$R$59:$R$258, E$17, 'Annex Aerodromes'!$Q$59:$Q$258, $K22) = 0,    "",
                    SUMIFS('Annex Aerodromes'!$K$59:$K$258, 'Annex Aerodromes'!$O$59:$O$258, FALSE, 'Annex Aerodromes'!$P$59:$P$258, FALSE, 'Annex Aerodromes'!$R$59:$R$258, E$17, 'Annex Aerodromes'!$Q$59:$Q$258, $K22)))</f>
        <v/>
      </c>
      <c r="F22" s="740" t="str">
        <f>IF(CNTR_ETS3c6OptOut=TRUE, "",
                    IF(SUMIFS('Annex Aerodromes'!$K$59:$K$258, 'Annex Aerodromes'!$O$59:$O$258, FALSE, 'Annex Aerodromes'!$P$59:$P$258, FALSE, 'Annex Aerodromes'!$R$59:$R$258, F$17, 'Annex Aerodromes'!$Q$59:$Q$258, $K22) = 0,    "",
                    SUMIFS('Annex Aerodromes'!$K$59:$K$258, 'Annex Aerodromes'!$O$59:$O$258, FALSE, 'Annex Aerodromes'!$P$59:$P$258, FALSE, 'Annex Aerodromes'!$R$59:$R$258, F$17, 'Annex Aerodromes'!$Q$59:$Q$258, $K22)))</f>
        <v/>
      </c>
      <c r="G22" s="740" t="str">
        <f>IF(CNTR_ETS3c6OptOut=TRUE, "",
                    IF(SUMIFS('Annex Aerodromes'!$K$59:$K$258, 'Annex Aerodromes'!$O$59:$O$258, FALSE, 'Annex Aerodromes'!$P$59:$P$258, FALSE, 'Annex Aerodromes'!$R$59:$R$258, G$17, 'Annex Aerodromes'!$Q$59:$Q$258, $K22) = 0,    "",
                    SUMIFS('Annex Aerodromes'!$K$59:$K$258, 'Annex Aerodromes'!$O$59:$O$258, FALSE, 'Annex Aerodromes'!$P$59:$P$258, FALSE, 'Annex Aerodromes'!$R$59:$R$258, G$17, 'Annex Aerodromes'!$Q$59:$Q$258, $K22)))</f>
        <v/>
      </c>
      <c r="H22" s="656" t="str">
        <f>IF(CNTR_ETS3c6OptOut=TRUE, "",
                    IF(SUMIFS('Annex Aerodromes'!$K$59:$K$258, 'Annex Aerodromes'!$O$59:$O$258, FALSE, 'Annex Aerodromes'!$P$59:$P$258, FALSE, 'Annex Aerodromes'!$R$59:$R$258, H$17, 'Annex Aerodromes'!$Q$59:$Q$258, $K22) = 0,    "",
                    SUMIFS('Annex Aerodromes'!$K$59:$K$258, 'Annex Aerodromes'!$O$59:$O$258, FALSE, 'Annex Aerodromes'!$P$59:$P$258, FALSE, 'Annex Aerodromes'!$R$59:$R$258, H$17, 'Annex Aerodromes'!$Q$59:$Q$258, $K22)))</f>
        <v/>
      </c>
      <c r="I22" s="657" t="str">
        <f t="shared" si="1"/>
        <v/>
      </c>
      <c r="K22" s="652" t="str">
        <f t="shared" si="0"/>
        <v>Co-prod. Biofuel</v>
      </c>
    </row>
    <row r="23" spans="1:11" x14ac:dyDescent="0.25">
      <c r="C23" s="639"/>
      <c r="D23" s="654" t="str">
        <f>Translations!$B$1466</f>
        <v>RFNBO</v>
      </c>
      <c r="E23" s="740" t="str">
        <f>IF(CNTR_ETS3c6OptOut=TRUE, "",
                    IF(SUMIFS('Annex Aerodromes'!$K$59:$K$258, 'Annex Aerodromes'!$O$59:$O$258, FALSE, 'Annex Aerodromes'!$P$59:$P$258, FALSE, 'Annex Aerodromes'!$R$59:$R$258, E$17, 'Annex Aerodromes'!$Q$59:$Q$258, $K23) = 0,    "",
                    SUMIFS('Annex Aerodromes'!$K$59:$K$258, 'Annex Aerodromes'!$O$59:$O$258, FALSE, 'Annex Aerodromes'!$P$59:$P$258, FALSE, 'Annex Aerodromes'!$R$59:$R$258, E$17, 'Annex Aerodromes'!$Q$59:$Q$258, $K23)))</f>
        <v/>
      </c>
      <c r="F23" s="740" t="str">
        <f>IF(CNTR_ETS3c6OptOut=TRUE, "",
                    IF(SUMIFS('Annex Aerodromes'!$K$59:$K$258, 'Annex Aerodromes'!$O$59:$O$258, FALSE, 'Annex Aerodromes'!$P$59:$P$258, FALSE, 'Annex Aerodromes'!$R$59:$R$258, F$17, 'Annex Aerodromes'!$Q$59:$Q$258, $K23) = 0,    "",
                    SUMIFS('Annex Aerodromes'!$K$59:$K$258, 'Annex Aerodromes'!$O$59:$O$258, FALSE, 'Annex Aerodromes'!$P$59:$P$258, FALSE, 'Annex Aerodromes'!$R$59:$R$258, F$17, 'Annex Aerodromes'!$Q$59:$Q$258, $K23)))</f>
        <v/>
      </c>
      <c r="G23" s="656" t="str">
        <f>IF(CNTR_ETS3c6OptOut=TRUE, "",
                    IF(SUMIFS('Annex Aerodromes'!$K$59:$K$258, 'Annex Aerodromes'!$O$59:$O$258, FALSE, 'Annex Aerodromes'!$P$59:$P$258, FALSE, 'Annex Aerodromes'!$R$59:$R$258, G$17, 'Annex Aerodromes'!$Q$59:$Q$258, $K23) = 0,    "",
                    SUMIFS('Annex Aerodromes'!$K$59:$K$258, 'Annex Aerodromes'!$O$59:$O$258, FALSE, 'Annex Aerodromes'!$P$59:$P$258, FALSE, 'Annex Aerodromes'!$R$59:$R$258, G$17, 'Annex Aerodromes'!$Q$59:$Q$258, $K23)))</f>
        <v/>
      </c>
      <c r="H23" s="656" t="str">
        <f>IF(CNTR_ETS3c6OptOut=TRUE, "",
                    IF(SUMIFS('Annex Aerodromes'!$K$59:$K$258, 'Annex Aerodromes'!$O$59:$O$258, FALSE, 'Annex Aerodromes'!$P$59:$P$258, FALSE, 'Annex Aerodromes'!$R$59:$R$258, H$17, 'Annex Aerodromes'!$Q$59:$Q$258, $K23) = 0,    "",
                    SUMIFS('Annex Aerodromes'!$K$59:$K$258, 'Annex Aerodromes'!$O$59:$O$258, FALSE, 'Annex Aerodromes'!$P$59:$P$258, FALSE, 'Annex Aerodromes'!$R$59:$R$258, H$17, 'Annex Aerodromes'!$Q$59:$Q$258, $K23)))</f>
        <v/>
      </c>
      <c r="I23" s="657" t="str">
        <f t="shared" si="1"/>
        <v/>
      </c>
      <c r="K23" s="652" t="str">
        <f t="shared" si="0"/>
        <v>RFNBO</v>
      </c>
    </row>
    <row r="24" spans="1:11" x14ac:dyDescent="0.25">
      <c r="C24" s="639"/>
      <c r="D24" s="654" t="str">
        <f>Translations!$B$1477</f>
        <v>non-fossil SLCF</v>
      </c>
      <c r="E24" s="656" t="str">
        <f>IF(CNTR_ETS3c6OptOut=TRUE, "",
                    IF(SUMIFS('Annex Aerodromes'!$K$59:$K$258, 'Annex Aerodromes'!$O$59:$O$258, FALSE, 'Annex Aerodromes'!$P$59:$P$258, FALSE, 'Annex Aerodromes'!$R$59:$R$258, E$17, 'Annex Aerodromes'!$Q$59:$Q$258, $K24) = 0,    "",
                    SUMIFS('Annex Aerodromes'!$K$59:$K$258, 'Annex Aerodromes'!$O$59:$O$258, FALSE, 'Annex Aerodromes'!$P$59:$P$258, FALSE, 'Annex Aerodromes'!$R$59:$R$258, E$17, 'Annex Aerodromes'!$Q$59:$Q$258, $K24)))</f>
        <v/>
      </c>
      <c r="F24" s="740" t="str">
        <f>IF(CNTR_ETS3c6OptOut=TRUE, "",
                    IF(SUMIFS('Annex Aerodromes'!$K$59:$K$258, 'Annex Aerodromes'!$O$59:$O$258, FALSE, 'Annex Aerodromes'!$P$59:$P$258, FALSE, 'Annex Aerodromes'!$R$59:$R$258, F$17, 'Annex Aerodromes'!$Q$59:$Q$258, $K24) = 0,    "",
                    SUMIFS('Annex Aerodromes'!$K$59:$K$258, 'Annex Aerodromes'!$O$59:$O$258, FALSE, 'Annex Aerodromes'!$P$59:$P$258, FALSE, 'Annex Aerodromes'!$R$59:$R$258, F$17, 'Annex Aerodromes'!$Q$59:$Q$258, $K24)))</f>
        <v/>
      </c>
      <c r="G24" s="740" t="str">
        <f>IF(CNTR_ETS3c6OptOut=TRUE, "",
                    IF(SUMIFS('Annex Aerodromes'!$K$59:$K$258, 'Annex Aerodromes'!$O$59:$O$258, FALSE, 'Annex Aerodromes'!$P$59:$P$258, FALSE, 'Annex Aerodromes'!$R$59:$R$258, G$17, 'Annex Aerodromes'!$Q$59:$Q$258, $K24) = 0,    "",
                    SUMIFS('Annex Aerodromes'!$K$59:$K$258, 'Annex Aerodromes'!$O$59:$O$258, FALSE, 'Annex Aerodromes'!$P$59:$P$258, FALSE, 'Annex Aerodromes'!$R$59:$R$258, G$17, 'Annex Aerodromes'!$Q$59:$Q$258, $K24)))</f>
        <v/>
      </c>
      <c r="H24" s="656" t="str">
        <f>IF(CNTR_ETS3c6OptOut=TRUE, "",
                    IF(SUMIFS('Annex Aerodromes'!$K$59:$K$258, 'Annex Aerodromes'!$O$59:$O$258, FALSE, 'Annex Aerodromes'!$P$59:$P$258, FALSE, 'Annex Aerodromes'!$R$59:$R$258, H$17, 'Annex Aerodromes'!$Q$59:$Q$258, $K24) = 0,    "",
                    SUMIFS('Annex Aerodromes'!$K$59:$K$258, 'Annex Aerodromes'!$O$59:$O$258, FALSE, 'Annex Aerodromes'!$P$59:$P$258, FALSE, 'Annex Aerodromes'!$R$59:$R$258, H$17, 'Annex Aerodromes'!$Q$59:$Q$258, $K24)))</f>
        <v/>
      </c>
      <c r="I24" s="657" t="str">
        <f t="shared" si="1"/>
        <v/>
      </c>
      <c r="K24" s="652" t="str">
        <f t="shared" si="0"/>
        <v>non-foss SLCF</v>
      </c>
    </row>
    <row r="25" spans="1:11" ht="14.5" thickBot="1" x14ac:dyDescent="0.3">
      <c r="C25" s="639"/>
      <c r="D25" s="655" t="str">
        <f>Translations!$B$1487</f>
        <v>Other Aviation fuel (Manual input)</v>
      </c>
      <c r="E25" s="658" t="str">
        <f>IF(CNTR_ETS3c6OptOut=TRUE, "",
                    IF(SUMIFS('Annex Aerodromes'!$K$59:$K$258, 'Annex Aerodromes'!$O$59:$O$258, FALSE, 'Annex Aerodromes'!$P$59:$P$258, FALSE, 'Annex Aerodromes'!$R$59:$R$258, E$17, 'Annex Aerodromes'!$Q$59:$Q$258, $K25) = 0,    "",
                    SUMIFS('Annex Aerodromes'!$K$59:$K$258, 'Annex Aerodromes'!$O$59:$O$258, FALSE, 'Annex Aerodromes'!$P$59:$P$258, FALSE, 'Annex Aerodromes'!$R$59:$R$258, E$17, 'Annex Aerodromes'!$Q$59:$Q$258, $K25)))</f>
        <v/>
      </c>
      <c r="F25" s="658" t="str">
        <f>IF(CNTR_ETS3c6OptOut=TRUE, "",
                    IF(SUMIFS('Annex Aerodromes'!$K$59:$K$258, 'Annex Aerodromes'!$O$59:$O$258, FALSE, 'Annex Aerodromes'!$P$59:$P$258, FALSE, 'Annex Aerodromes'!$R$59:$R$258, F$17, 'Annex Aerodromes'!$Q$59:$Q$258, $K25) = 0,    "",
                    SUMIFS('Annex Aerodromes'!$K$59:$K$258, 'Annex Aerodromes'!$O$59:$O$258, FALSE, 'Annex Aerodromes'!$P$59:$P$258, FALSE, 'Annex Aerodromes'!$R$59:$R$258, F$17, 'Annex Aerodromes'!$Q$59:$Q$258, $K25)))</f>
        <v/>
      </c>
      <c r="G25" s="658" t="str">
        <f>IF(CNTR_ETS3c6OptOut=TRUE, "",
                    IF(SUMIFS('Annex Aerodromes'!$K$59:$K$258, 'Annex Aerodromes'!$O$59:$O$258, FALSE, 'Annex Aerodromes'!$P$59:$P$258, FALSE, 'Annex Aerodromes'!$R$59:$R$258, G$17, 'Annex Aerodromes'!$Q$59:$Q$258, $K25) = 0,    "",
                    SUMIFS('Annex Aerodromes'!$K$59:$K$258, 'Annex Aerodromes'!$O$59:$O$258, FALSE, 'Annex Aerodromes'!$P$59:$P$258, FALSE, 'Annex Aerodromes'!$R$59:$R$258, G$17, 'Annex Aerodromes'!$Q$59:$Q$258, $K25)))</f>
        <v/>
      </c>
      <c r="H25" s="658" t="str">
        <f>IF(CNTR_ETS3c6OptOut=TRUE, "",
                    IF(SUMIFS('Annex Aerodromes'!$K$59:$K$258, 'Annex Aerodromes'!$O$59:$O$258, FALSE, 'Annex Aerodromes'!$P$59:$P$258, FALSE, 'Annex Aerodromes'!$R$59:$R$258, H$17, 'Annex Aerodromes'!$Q$59:$Q$258, $K25) = 0,    "",
                    SUMIFS('Annex Aerodromes'!$K$59:$K$258, 'Annex Aerodromes'!$O$59:$O$258, FALSE, 'Annex Aerodromes'!$P$59:$P$258, FALSE, 'Annex Aerodromes'!$R$59:$R$258, H$17, 'Annex Aerodromes'!$Q$59:$Q$258, $K25)))</f>
        <v/>
      </c>
      <c r="I25" s="659" t="str">
        <f t="shared" si="1"/>
        <v/>
      </c>
      <c r="K25" s="652" t="str">
        <f t="shared" si="0"/>
        <v>Other (manual)</v>
      </c>
    </row>
    <row r="26" spans="1:11" x14ac:dyDescent="0.25">
      <c r="C26" s="639"/>
      <c r="D26" s="653" t="str">
        <f>Translations!$B$1615</f>
        <v>TOTAL</v>
      </c>
      <c r="E26" s="660" t="str">
        <f>IF(SUM(E18:E25) = 0, "", SUM(E18:E25))</f>
        <v/>
      </c>
      <c r="F26" s="660" t="str">
        <f t="shared" ref="F26:I26" si="2">IF(SUM(F18:F25) = 0, "", SUM(F18:F25))</f>
        <v/>
      </c>
      <c r="G26" s="660" t="str">
        <f t="shared" si="2"/>
        <v/>
      </c>
      <c r="H26" s="660" t="str">
        <f t="shared" si="2"/>
        <v/>
      </c>
      <c r="I26" s="661" t="str">
        <f t="shared" si="2"/>
        <v/>
      </c>
    </row>
    <row r="32" spans="1:11" x14ac:dyDescent="0.25">
      <c r="C32" s="641"/>
    </row>
  </sheetData>
  <sheetProtection sheet="1" objects="1" scenarios="1" formatCells="0" formatColumns="0" formatRows="0" insertColumns="0" insertRows="0"/>
  <mergeCells count="9">
    <mergeCell ref="C3:I3"/>
    <mergeCell ref="D5:I5"/>
    <mergeCell ref="D10:I10"/>
    <mergeCell ref="E16:H16"/>
    <mergeCell ref="D13:I13"/>
    <mergeCell ref="D14:I14"/>
    <mergeCell ref="D15:I15"/>
    <mergeCell ref="D7:I7"/>
    <mergeCell ref="D8:H8"/>
  </mergeCells>
  <conditionalFormatting sqref="D10:I10">
    <cfRule type="expression" dxfId="7" priority="2">
      <formula>CNTR_ETS3c6OptOut=TRUE</formula>
    </cfRule>
  </conditionalFormatting>
  <conditionalFormatting sqref="E18:I26">
    <cfRule type="expression" dxfId="6" priority="1">
      <formula>OR(CNTR_ETS3c6OptOut=TRUE,AND(E18="",SUM($I$26)&gt;0))</formula>
    </cfRule>
  </conditionalFormatting>
  <dataValidations count="1">
    <dataValidation type="list" allowBlank="1" showInputMessage="1" showErrorMessage="1" sqref="I8" xr:uid="{00000000-0002-0000-0800-000000000000}">
      <formula1>TrueFalse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6A108909CABB94C86043C1C188CE238" ma:contentTypeVersion="4" ma:contentTypeDescription="Ein neues Dokument erstellen." ma:contentTypeScope="" ma:versionID="18f02f96a9687c9d9fb550a22ac6c434">
  <xsd:schema xmlns:xsd="http://www.w3.org/2001/XMLSchema" xmlns:xs="http://www.w3.org/2001/XMLSchema" xmlns:p="http://schemas.microsoft.com/office/2006/metadata/properties" xmlns:ns2="8426b6ab-1c0b-4e0e-9fe4-84f0d3627fbc" targetNamespace="http://schemas.microsoft.com/office/2006/metadata/properties" ma:root="true" ma:fieldsID="1b2a8794ac33fd5cec274f18bcaa4ecd" ns2:_="">
    <xsd:import namespace="8426b6ab-1c0b-4e0e-9fe4-84f0d3627f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6b6ab-1c0b-4e0e-9fe4-84f0d3627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2.xml><?xml version="1.0" encoding="utf-8"?>
<ds:datastoreItem xmlns:ds="http://schemas.openxmlformats.org/officeDocument/2006/customXml" ds:itemID="{22A89A06-3F4C-49FA-A417-630BE060C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6b6ab-1c0b-4e0e-9fe4-84f0d3627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17FAE0-07B8-4CC0-9666-EDAD769DF3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426b6ab-1c0b-4e0e-9fe4-84f0d3627f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350</vt:i4>
      </vt:variant>
    </vt:vector>
  </HeadingPairs>
  <TitlesOfParts>
    <vt:vector size="365" baseType="lpstr">
      <vt:lpstr>Contents</vt:lpstr>
      <vt:lpstr>Guidelines and conditions</vt:lpstr>
      <vt:lpstr>Identification and description</vt:lpstr>
      <vt:lpstr>Emissions overview</vt:lpstr>
      <vt:lpstr>Emissions Data</vt:lpstr>
      <vt:lpstr>Aircraft Data</vt:lpstr>
      <vt:lpstr>MS specific content</vt:lpstr>
      <vt:lpstr>Annex Aerodromes</vt:lpstr>
      <vt:lpstr>FEETS Application</vt:lpstr>
      <vt:lpstr>Annex</vt:lpstr>
      <vt:lpstr>CORSIA emissions</vt:lpstr>
      <vt:lpstr>EUwideConstants</vt:lpstr>
      <vt:lpstr>MSParameters</vt:lpstr>
      <vt:lpstr>Translations</vt:lpstr>
      <vt:lpstr>VersionDocumentation</vt:lpstr>
      <vt:lpstr>AltFuels</vt:lpstr>
      <vt:lpstr>aviationauthorities</vt:lpstr>
      <vt:lpstr>BooleanValues</vt:lpstr>
      <vt:lpstr>CNST_AltFuelsEligible</vt:lpstr>
      <vt:lpstr>CNST_AltFuelsIsBio</vt:lpstr>
      <vt:lpstr>CNST_AltFuelsIsLCF</vt:lpstr>
      <vt:lpstr>CNST_AltFuelsIsRF</vt:lpstr>
      <vt:lpstr>CNST_AltFuelsSupportRate</vt:lpstr>
      <vt:lpstr>CNST_AltFuelsZero</vt:lpstr>
      <vt:lpstr>CNST_AltFuelTypes</vt:lpstr>
      <vt:lpstr>CNST_AltFuelTypesShort</vt:lpstr>
      <vt:lpstr>CNST_AltMainFuels</vt:lpstr>
      <vt:lpstr>CNST_Biofuels</vt:lpstr>
      <vt:lpstr>CNST_EligibilityLevels</vt:lpstr>
      <vt:lpstr>CNST_FossilAltFuel</vt:lpstr>
      <vt:lpstr>CNST_MainFuelEFref</vt:lpstr>
      <vt:lpstr>CNST_MainFuelNCVref</vt:lpstr>
      <vt:lpstr>CNST_MainFuelTypes</vt:lpstr>
      <vt:lpstr>CNST_RFNBO_RCF</vt:lpstr>
      <vt:lpstr>CNST_SLCF</vt:lpstr>
      <vt:lpstr>CNTR_EFListSelected</vt:lpstr>
      <vt:lpstr>CNTR_ETS3c6OptOut</vt:lpstr>
      <vt:lpstr>CNTR_FuelListCompleteData</vt:lpstr>
      <vt:lpstr>CNTR_FuelListEFprelim</vt:lpstr>
      <vt:lpstr>CNTR_FuelListEFprelimInclStd</vt:lpstr>
      <vt:lpstr>CNTR_FuelListIsBioFuel</vt:lpstr>
      <vt:lpstr>CNTR_FuelListIsFossil</vt:lpstr>
      <vt:lpstr>CNTR_FuelListIsRF</vt:lpstr>
      <vt:lpstr>CNTR_FuelListIsSLCF</vt:lpstr>
      <vt:lpstr>CNTR_FuelListIsZero</vt:lpstr>
      <vt:lpstr>CNTR_FuelListIsZeroInclStd</vt:lpstr>
      <vt:lpstr>CNTR_FuelListNames</vt:lpstr>
      <vt:lpstr>CNTR_FuelListNamesInclStd</vt:lpstr>
      <vt:lpstr>CNTR_FuelListSubType</vt:lpstr>
      <vt:lpstr>CNTR_FuelListSupportRate</vt:lpstr>
      <vt:lpstr>CNTR_FuelSelection</vt:lpstr>
      <vt:lpstr>CNTR_FuelSelectionInclStd</vt:lpstr>
      <vt:lpstr>CNTR_ReportingYear</vt:lpstr>
      <vt:lpstr>CNTR_simplified_grey</vt:lpstr>
      <vt:lpstr>CommissionApprovedTools</vt:lpstr>
      <vt:lpstr>CompetentAuthorities</vt:lpstr>
      <vt:lpstr>CONTR_CORSIAapplied</vt:lpstr>
      <vt:lpstr>CONTR_onlyCORSIA</vt:lpstr>
      <vt:lpstr>CORSIA_EFList</vt:lpstr>
      <vt:lpstr>CORSIA_FuelsList</vt:lpstr>
      <vt:lpstr>DensMethod</vt:lpstr>
      <vt:lpstr>'Aircraft Data'!Druckbereich</vt:lpstr>
      <vt:lpstr>Annex!Druckbereich</vt:lpstr>
      <vt:lpstr>Contents!Druckbereich</vt:lpstr>
      <vt:lpstr>'CORSIA emissions'!Druckbereich</vt:lpstr>
      <vt:lpstr>'Emissions Data'!Druckbereich</vt:lpstr>
      <vt:lpstr>'Emissions overview'!Druckbereich</vt:lpstr>
      <vt:lpstr>'Guidelines and conditions'!Druckbereich</vt:lpstr>
      <vt:lpstr>'Identification and description'!Druckbereich</vt:lpstr>
      <vt:lpstr>'MS specific content'!Druckbereich</vt:lpstr>
      <vt:lpstr>VersionDocumentation!Druckbereich</vt:lpstr>
      <vt:lpstr>EF_SystemSelection</vt:lpstr>
      <vt:lpstr>ErrMsg_Art3c6OK</vt:lpstr>
      <vt:lpstr>ERRmsg_Incomplete</vt:lpstr>
      <vt:lpstr>ERRmsg_SelectMainFuel</vt:lpstr>
      <vt:lpstr>ErrMsg_YouOptOut</vt:lpstr>
      <vt:lpstr>EU_EF_forCORSIAFuelList</vt:lpstr>
      <vt:lpstr>EUconst_Eligible</vt:lpstr>
      <vt:lpstr>EUconst_ErrMsgNumerOfFlights</vt:lpstr>
      <vt:lpstr>Euconst_MPReferenceDateTypes</vt:lpstr>
      <vt:lpstr>Euconst_NA</vt:lpstr>
      <vt:lpstr>EUconst_NotEligible</vt:lpstr>
      <vt:lpstr>flighttypes</vt:lpstr>
      <vt:lpstr>freightandmail</vt:lpstr>
      <vt:lpstr>Frequency</vt:lpstr>
      <vt:lpstr>ICAO_MSList</vt:lpstr>
      <vt:lpstr>IND_COL_AircraftEndDate</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INDICATIOR_FeetAggTable</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INDICATOR_5bETS_FuelsDefinition</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INDICATOR_5dCHETS_FuelsEmissionsTable</vt:lpstr>
      <vt:lpstr>INDICATOR_8aEUETS_Summary</vt:lpstr>
      <vt:lpstr>INDICATOR_8bbCHETS_DomesticFlightsTable</vt:lpstr>
      <vt:lpstr>INDICATOR_8bbCHETS_EmissionsTotalCH</vt:lpstr>
      <vt:lpstr>INDICATOR_8bbCHETS_FuelUseAlternative1</vt:lpstr>
      <vt:lpstr>INDICATOR_8bbCHETS_FuelUseAvGas</vt:lpstr>
      <vt:lpstr>INDICATOR_8bbCHETS_FuelUseJetA_A1</vt:lpstr>
      <vt:lpstr>INDICATOR_8bbCHETS_FuelUseJetB</vt:lpstr>
      <vt:lpstr>INDICATOR_8bbCHETS_NumberFlights</vt:lpstr>
      <vt:lpstr>INDICATOR_8bcCHETS_EmissionsTotalPerPair</vt:lpstr>
      <vt:lpstr>INDICATOR_8bcCHETS_FuelUseAlternative1</vt:lpstr>
      <vt:lpstr>INDICATOR_8bcCHETS_FuelUseAvGas</vt:lpstr>
      <vt:lpstr>INDICATOR_8bcCHETS_FuelUseJetA_A1</vt:lpstr>
      <vt:lpstr>INDICATOR_8bcCHETS_FuelUseJetB</vt:lpstr>
      <vt:lpstr>INDICATOR_8bcCHETS_MSFlightsTable</vt:lpstr>
      <vt:lpstr>INDICATOR_8bcCHETS_NumberFlights</vt:lpstr>
      <vt:lpstr>INDICATOR_8bcCHETS_StateArrival</vt:lpstr>
      <vt:lpstr>INDICATOR_8bCHETS_Summary</vt:lpstr>
      <vt:lpstr>INDICATOR_8bETS_EmissionsTotalPerMS</vt:lpstr>
      <vt:lpstr>INDICATOR_8bETS_FuelUseAlternative</vt:lpstr>
      <vt:lpstr>INDICATOR_8bETS_FuelUseAvGas</vt:lpstr>
      <vt:lpstr>INDICATOR_8bETS_FuelUseJetA_A1</vt:lpstr>
      <vt:lpstr>INDICATOR_8bETS_FuelUseJetB</vt:lpstr>
      <vt:lpstr>INDICATOR_8bETS_MS</vt:lpstr>
      <vt:lpstr>INDICATOR_8bETS_MSFlightsTable</vt:lpstr>
      <vt:lpstr>INDICATOR_8bETS_NumberFlights</vt:lpstr>
      <vt:lpstr>INDICATOR_8cETS_EEAFlightsTable</vt:lpstr>
      <vt:lpstr>INDICATOR_8cETS_EmissionsTotalPerPair</vt:lpstr>
      <vt:lpstr>INDICATOR_8cETS_FuelUseAlternative</vt:lpstr>
      <vt:lpstr>INDICATOR_8cETS_FuelUseAvGas</vt:lpstr>
      <vt:lpstr>INDICATOR_8cETS_FuelUseJetA_A1</vt:lpstr>
      <vt:lpstr>INDICATOR_8cETS_FuelUseJetB</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INDICATOR_AnnexAerodromesTable</vt:lpstr>
      <vt:lpstr>INDICATOR_AnnexAerodromesTotalAttrFuel</vt:lpstr>
      <vt:lpstr>INDICATOR_AnnexAerodromesTotalAttrZRFuel</vt:lpstr>
      <vt:lpstr>INDICATOR_AnnexAerodromesTotalFEETSFuel</vt:lpstr>
      <vt:lpstr>INDICATOR_AnnexAerodromesTotalFuel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INDICATOR_AnnexEUETS_TotalFuel</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INDICATOR_CHETS_TotalNonZeroRatedBioEm</vt:lpstr>
      <vt:lpstr>INDICATOR_CHETS_TotalNonZeroRatedRFNBO</vt:lpstr>
      <vt:lpstr>INDICATOR_CHETS_TotalNonZeroRatedSLCF</vt:lpstr>
      <vt:lpstr>INDICATOR_CHETS_TotalPrelEF_Emissions</vt:lpstr>
      <vt:lpstr>INDICATOR_CHETS_TotalSustainableBiomassEmissions</vt:lpstr>
      <vt:lpstr>INDICATOR_CHETS_TotalZeroRatedBioEm</vt:lpstr>
      <vt:lpstr>INDICATOR_CHETS_TotalZeroRatedEmissions</vt:lpstr>
      <vt:lpstr>INDICATOR_CHETS_TotalZeroRatedRFNBO</vt:lpstr>
      <vt:lpstr>INDICATOR_CHETS_TotalZeroRatedSLCF</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INDICATOR_CORSIA_EligibleFuelsTOTAL</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INDICATOR_CORSIAAnnexConfidential</vt:lpstr>
      <vt:lpstr>INDICATOR_CORSIAAnnexConfidentialReasonFromETS</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INDICATOR_ETS_EmissionsReducedScope</vt:lpstr>
      <vt:lpstr>INDICATOR_ETS_FlightsPerPeriod</vt:lpstr>
      <vt:lpstr>INDICATOR_ETS_SETEligibility</vt:lpstr>
      <vt:lpstr>INDICATOR_ETS_TotalEmissions</vt:lpstr>
      <vt:lpstr>INDICATOR_ETS_TotalFlights</vt:lpstr>
      <vt:lpstr>INDICATOR_ETS_TotalNonSustainableBiomassEmissions</vt:lpstr>
      <vt:lpstr>INDICATOR_ETS_TotalNonZeroRatedBioEm</vt:lpstr>
      <vt:lpstr>INDICATOR_ETS_TotalNonZeroRatedRFNBO</vt:lpstr>
      <vt:lpstr>INDICATOR_ETS_TotalNonZeroRatedSLCF</vt:lpstr>
      <vt:lpstr>INDICATOR_ETS_TotalPrelEF_Emissions</vt:lpstr>
      <vt:lpstr>INDICATOR_ETS_TotalSustainableBiomassEmissions</vt:lpstr>
      <vt:lpstr>INDICATOR_ETS_TotalZeroRatedBioEm</vt:lpstr>
      <vt:lpstr>INDICATOR_ETS_TotalZeroRatedEmissions</vt:lpstr>
      <vt:lpstr>INDICATOR_ETS_TotalZeroRatedRFNBO</vt:lpstr>
      <vt:lpstr>INDICATOR_ETS_TotalZeroRatedSLCF</vt:lpstr>
      <vt:lpstr>INDICATOR_EUETS_TotalFlights</vt:lpstr>
      <vt:lpstr>INDICATOR_EUETSAnnexConfidential</vt:lpstr>
      <vt:lpstr>INDICATOR_EUETSAnnexConfidentialFileName</vt:lpstr>
      <vt:lpstr>INDICATOR_EUETSAnnexConfidentialReasoning</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INDICATOR_WhichOtherToolForCORSIA</vt:lpstr>
      <vt:lpstr>INDICATOR_WhichToolUsed</vt:lpstr>
      <vt:lpstr>INDICATOR_WhichToolUsedForCORSIA</vt:lpstr>
      <vt:lpstr>indRange</vt:lpstr>
      <vt:lpstr>JUMP_10a</vt:lpstr>
      <vt:lpstr>JUMP_11a</vt:lpstr>
      <vt:lpstr>JUMP_2</vt:lpstr>
      <vt:lpstr>JUMP_3</vt:lpstr>
      <vt:lpstr>JUMP_5</vt:lpstr>
      <vt:lpstr>JUMP_5c</vt:lpstr>
      <vt:lpstr>JUMP_5d</vt:lpstr>
      <vt:lpstr>JUMP_6</vt:lpstr>
      <vt:lpstr>JUMP_7</vt:lpstr>
      <vt:lpstr>Jump_8b</vt:lpstr>
      <vt:lpstr>Legalstatus</vt:lpstr>
      <vt:lpstr>List_AltFuels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ReportingYears</vt:lpstr>
      <vt:lpstr>SelectPrimaryInfoSource</vt:lpstr>
      <vt:lpstr>SourceClass</vt:lpstr>
      <vt:lpstr>TankDataSource</vt:lpstr>
      <vt:lpstr>Text_Fuel</vt:lpstr>
      <vt:lpstr>Title</vt:lpstr>
      <vt:lpstr>TrueFalse</vt:lpstr>
      <vt:lpstr>UncertThreshold</vt:lpstr>
      <vt:lpstr>UncertTierResult</vt:lpstr>
      <vt:lpstr>UncertValue</vt:lpstr>
      <vt:lpstr>UpliftDataSource</vt:lpstr>
      <vt:lpstr>worldcountries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cp:keywords/>
  <dc:description>The template for Monitoring plans was developed by Umweltbundesamt on behalf of DG CLIMA. _x000d_
Authors: Christian Heller / Hubert Fallmann</dc:description>
  <cp:lastModifiedBy>Kellerhals Thomas BAFU</cp:lastModifiedBy>
  <cp:revision/>
  <dcterms:created xsi:type="dcterms:W3CDTF">2008-05-26T08:52:55Z</dcterms:created>
  <dcterms:modified xsi:type="dcterms:W3CDTF">2025-02-11T11:54:59Z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bd9ddd1-4d20-43f6-abfa-fc3c07406f94_Enabled">
    <vt:lpwstr>true</vt:lpwstr>
  </property>
  <property fmtid="{D5CDD505-2E9C-101B-9397-08002B2CF9AE}" pid="4" name="MSIP_Label_6bd9ddd1-4d20-43f6-abfa-fc3c07406f94_SetDate">
    <vt:lpwstr>2023-10-26T12:13:49Z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99ed933e-46f4-4d5f-9335-144eb081f066</vt:lpwstr>
  </property>
  <property fmtid="{D5CDD505-2E9C-101B-9397-08002B2CF9AE}" pid="9" name="MSIP_Label_6bd9ddd1-4d20-43f6-abfa-fc3c07406f94_ContentBits">
    <vt:lpwstr>0</vt:lpwstr>
  </property>
  <property fmtid="{D5CDD505-2E9C-101B-9397-08002B2CF9AE}" pid="10" name="ContentTypeId">
    <vt:lpwstr>0x010100F6A108909CABB94C86043C1C188CE238</vt:lpwstr>
  </property>
  <property fmtid="{D5CDD505-2E9C-101B-9397-08002B2CF9AE}" pid="11" name="MediaServiceImageTags">
    <vt:lpwstr/>
  </property>
  <property fmtid="{D5CDD505-2E9C-101B-9397-08002B2CF9AE}" pid="12" name="MSIP_Label_aa112399-b73b-40c1-8af2-919b124b9d91_Enabled">
    <vt:lpwstr>true</vt:lpwstr>
  </property>
  <property fmtid="{D5CDD505-2E9C-101B-9397-08002B2CF9AE}" pid="13" name="MSIP_Label_aa112399-b73b-40c1-8af2-919b124b9d91_SetDate">
    <vt:lpwstr>2025-01-28T08:58:28Z</vt:lpwstr>
  </property>
  <property fmtid="{D5CDD505-2E9C-101B-9397-08002B2CF9AE}" pid="14" name="MSIP_Label_aa112399-b73b-40c1-8af2-919b124b9d91_Method">
    <vt:lpwstr>Privileged</vt:lpwstr>
  </property>
  <property fmtid="{D5CDD505-2E9C-101B-9397-08002B2CF9AE}" pid="15" name="MSIP_Label_aa112399-b73b-40c1-8af2-919b124b9d91_Name">
    <vt:lpwstr>L2</vt:lpwstr>
  </property>
  <property fmtid="{D5CDD505-2E9C-101B-9397-08002B2CF9AE}" pid="16" name="MSIP_Label_aa112399-b73b-40c1-8af2-919b124b9d91_SiteId">
    <vt:lpwstr>6ae27add-8276-4a38-88c1-3a9c1f973767</vt:lpwstr>
  </property>
  <property fmtid="{D5CDD505-2E9C-101B-9397-08002B2CF9AE}" pid="17" name="MSIP_Label_aa112399-b73b-40c1-8af2-919b124b9d91_ActionId">
    <vt:lpwstr>6c8a33d2-2955-4f17-935f-7b17a082907e</vt:lpwstr>
  </property>
  <property fmtid="{D5CDD505-2E9C-101B-9397-08002B2CF9AE}" pid="18" name="MSIP_Label_aa112399-b73b-40c1-8af2-919b124b9d91_ContentBits">
    <vt:lpwstr>0</vt:lpwstr>
  </property>
</Properties>
</file>