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860" windowHeight="11760" tabRatio="645" activeTab="0"/>
  </bookViews>
  <sheets>
    <sheet name="readme" sheetId="1" r:id="rId1"/>
    <sheet name="uncertainty" sheetId="2" r:id="rId2"/>
    <sheet name="SanasilvaData" sheetId="3" r:id="rId3"/>
    <sheet name="LinInterp" sheetId="4" r:id="rId4"/>
    <sheet name="yearly dead wood stock" sheetId="5" r:id="rId5"/>
    <sheet name="GR_yearly dead wood stock" sheetId="6" r:id="rId6"/>
    <sheet name="yearly changes_csv" sheetId="7" r:id="rId7"/>
  </sheets>
  <externalReferences>
    <externalReference r:id="rId10"/>
  </externalReferences>
  <definedNames>
    <definedName name="_xlnm.Print_Area" localSheetId="4">'yearly dead wood stock'!$BU$13:$CS$32</definedName>
  </definedNames>
  <calcPr fullCalcOnLoad="1"/>
</workbook>
</file>

<file path=xl/sharedStrings.xml><?xml version="1.0" encoding="utf-8"?>
<sst xmlns="http://schemas.openxmlformats.org/spreadsheetml/2006/main" count="230" uniqueCount="161">
  <si>
    <t>Entwicklung des stehenden und liegenden Totholzes ganzer Bäume ab 12 cm BHD in der Sanasilva</t>
  </si>
  <si>
    <t>4x4 km Netz</t>
  </si>
  <si>
    <t>16x16 km Netz mit Satellit, eine Fläche, die nach Lothar geschädigt und später genutz wurde, nicht berücksichtigt</t>
  </si>
  <si>
    <t>Jahr</t>
  </si>
  <si>
    <t>Anzahl Probelfächen</t>
  </si>
  <si>
    <t>Relativer Totholzanteil (Basalfläche)</t>
  </si>
  <si>
    <t>Fehler</t>
  </si>
  <si>
    <t>93-95</t>
  </si>
  <si>
    <t>Auswertung RN für NIR09</t>
  </si>
  <si>
    <t>Relativer Totholzanteil 
(Basalfläche) %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</si>
  <si>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</si>
  <si>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</si>
  <si>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</si>
  <si>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</si>
  <si>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</si>
  <si>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</si>
  <si>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</si>
  <si>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</si>
  <si>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</si>
  <si>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Datengrundlage: 2 Pare zur Verfügung</t>
  </si>
  <si>
    <t>Basalfläche (m2)</t>
  </si>
  <si>
    <t>jährliche Veränderung berechnen und Totholzvorrat pro Jahr berechnen; Gewichtung mit Sanasilva-Gewichtungsfaktoren</t>
  </si>
  <si>
    <t>Rechnen mit ABSOLUTEN Zahlen und nicht mit Angaben/ha</t>
  </si>
  <si>
    <t>Prodreg</t>
  </si>
  <si>
    <t>Höhenstufe</t>
  </si>
  <si>
    <t>Totholz LFI2
Vorrat 1995 1000 t C</t>
  </si>
  <si>
    <t>Totholz LFI3
Vorrat 2005 1000 t C</t>
  </si>
  <si>
    <t>KONTROLE</t>
  </si>
  <si>
    <t>Fläche12 (ha)</t>
  </si>
  <si>
    <t>Fläche23 (ha)</t>
  </si>
  <si>
    <t>relativer Anteil 95</t>
  </si>
  <si>
    <t>relativer Anteil 05</t>
  </si>
  <si>
    <t>Veränderung Totholz LFI2-3 - ABSOLUTE ZAHLEN - Lineare Interpolation</t>
  </si>
  <si>
    <t>Kontrolle 2005</t>
  </si>
  <si>
    <t>Wadlfäche</t>
  </si>
  <si>
    <t>KONTROLE 
LFI3-Werte</t>
  </si>
  <si>
    <t>Lineare Interpolation Basalfläche-Totholzvorräte</t>
  </si>
  <si>
    <t>Diese Daten werden geliefert!!!</t>
  </si>
  <si>
    <t>Mittelwert über 3 Jahren</t>
  </si>
  <si>
    <t>BO-CM</t>
  </si>
  <si>
    <t>CO-DM</t>
  </si>
  <si>
    <t>Waldläche</t>
  </si>
  <si>
    <t>Jährl. Totholzvorrat gewichtet Sanasilva (1000 t C)</t>
  </si>
  <si>
    <t>H-AI</t>
  </si>
  <si>
    <t>Spalten</t>
  </si>
  <si>
    <t>AK-AL</t>
  </si>
  <si>
    <t>AO-BM</t>
  </si>
  <si>
    <t>Jährl.
Totholzvorrat gewichtet Sanasilva
(1000 t C)</t>
  </si>
  <si>
    <t>Jährl. Menge
Totholz pro Fläche
(T C ha -1)</t>
  </si>
  <si>
    <t>Jährl. Veränderung in Menge
Totholz pro Fläche
(T C ha -1)</t>
  </si>
  <si>
    <t>Lineare Änderung Totholzvorräte ohne Gewichtung Basafläche</t>
  </si>
  <si>
    <t>Prozentuale Fehler</t>
  </si>
  <si>
    <t>-</t>
  </si>
  <si>
    <t>Prozentualer Fehler</t>
  </si>
  <si>
    <t>abgeleitet - für Grafik NIR09</t>
  </si>
  <si>
    <t>Basal area of dead wood</t>
  </si>
  <si>
    <t>dead wood stock</t>
  </si>
  <si>
    <t>dead wood stock - 3-year average</t>
  </si>
  <si>
    <t>Für NIR09</t>
  </si>
  <si>
    <t xml:space="preserve">Carbon in dead biomass </t>
  </si>
  <si>
    <t>Carbon in L, F and H horizon</t>
  </si>
  <si>
    <t>Carbon stock in dead organic matter (stockCd,i)</t>
  </si>
  <si>
    <r>
      <t>[t C ha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</si>
  <si>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t>Waldfläche</t>
  </si>
  <si>
    <t>C in 
dead wood</t>
  </si>
  <si>
    <t>Check change of dead wood pool in Kyoto Tables</t>
  </si>
  <si>
    <t>für Graphik Powerpoint</t>
  </si>
  <si>
    <t>Grafiken für power point präsentation</t>
  </si>
  <si>
    <t>basal area dead wood</t>
  </si>
  <si>
    <t>dead wood stock (m3) - 3-year average</t>
  </si>
  <si>
    <t>Tabblat</t>
  </si>
  <si>
    <t>Info</t>
  </si>
  <si>
    <t>Fehlerschätzung der Totholzdaten</t>
  </si>
  <si>
    <t>LinInterp</t>
  </si>
  <si>
    <t>Carbon stock of dead wood (1000 t C)</t>
  </si>
  <si>
    <t>Totholzvorrat (1000 t C)</t>
  </si>
  <si>
    <t>Carbon stock of dead wood (Mio t C)</t>
  </si>
  <si>
    <t>Totholzvorrat (Mio t C)</t>
  </si>
  <si>
    <t>dead wood stock (Mio t C) - 3-year average</t>
  </si>
  <si>
    <t>dead wood stock t C/ha</t>
  </si>
  <si>
    <t>dead wood stock - 3-year average t C/ha</t>
  </si>
  <si>
    <t>3. biomass expansion: 30%</t>
  </si>
  <si>
    <t>Level 1 - sanasilva 48 plots, 16*16 km2</t>
  </si>
  <si>
    <t>Level 2 - LWF 18 plots</t>
  </si>
  <si>
    <t>Basal Area - 3-Year-mean</t>
  </si>
  <si>
    <t>09</t>
  </si>
  <si>
    <t>Daten 2008, 2009 am 19/10/09</t>
  </si>
  <si>
    <t>Daten geliefert durch Matthias Dobbertin, WSL</t>
  </si>
  <si>
    <t>Grafiken für Senkenabschätzung Sommer 2009</t>
  </si>
  <si>
    <t>Reihenfolge auf Grafiken zum einbleinden nacheinander</t>
  </si>
  <si>
    <t>Grafiken für NIR10</t>
  </si>
  <si>
    <t>until 2009 for NIR11</t>
  </si>
  <si>
    <t>until 2008 for NIR10</t>
  </si>
  <si>
    <t>Anpassung NIR2010: die räumliche Verteilung verschiebt sich graduell von 95 nach 2005</t>
  </si>
  <si>
    <t>For NIR09 Tab 7-23; year 2008</t>
  </si>
  <si>
    <t>Sortiert nach Höhenstufe</t>
  </si>
  <si>
    <t>Jährl. Totholzvorrat pro Fläche (T C ha -1); für die Waldläche werden hier "nur" 2 unterschiedliche Werte genommen; in Kyoto Tabellen für alle Jahre neue Werte</t>
  </si>
  <si>
    <t>3-jahres Mittel Jährl. Totholzvorrat pro Fläche (T C ha -1)</t>
  </si>
  <si>
    <t>3-jahres Mittel Veränderung Jährl. Totholzvorrat pro Fläche (T C ha -1)</t>
  </si>
  <si>
    <t>Noch nicht gemacht für NIR10; für die submission wurden in den KT falscherweise DOM eingetragen und nicht changes in dead wood stock</t>
  </si>
  <si>
    <t>yearly values</t>
  </si>
  <si>
    <t>3-year averages</t>
  </si>
  <si>
    <t>Anpassung NIR2010: wegen der Anpassung der räumliche Verteilung für 95-05 -&gt; auch Werte 06, 07 anpassen wegen 3-Jahres Mittelwert</t>
  </si>
  <si>
    <t>L</t>
  </si>
  <si>
    <t>Z</t>
  </si>
  <si>
    <t>DW86</t>
  </si>
  <si>
    <t>For Kyoto Tables -&gt; input Tabblat Jährliche_Veränd_crf</t>
  </si>
  <si>
    <t>DW87</t>
  </si>
  <si>
    <t>DW88</t>
  </si>
  <si>
    <t>DW89</t>
  </si>
  <si>
    <t>DW90</t>
  </si>
  <si>
    <t>DW91</t>
  </si>
  <si>
    <t>DW92</t>
  </si>
  <si>
    <t>DW93</t>
  </si>
  <si>
    <t>DW94</t>
  </si>
  <si>
    <t>DW95</t>
  </si>
  <si>
    <t>DW96</t>
  </si>
  <si>
    <t>DW97</t>
  </si>
  <si>
    <t>DW98</t>
  </si>
  <si>
    <t>DW99</t>
  </si>
  <si>
    <t>DW00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</si>
  <si>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</si>
  <si>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</si>
  <si>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</si>
  <si>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</si>
  <si>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</si>
  <si>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</si>
  <si>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</si>
  <si>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</si>
  <si>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</si>
  <si>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REG</t>
  </si>
  <si>
    <t>Z1</t>
  </si>
  <si>
    <t>Z2</t>
  </si>
  <si>
    <t>Z3</t>
  </si>
  <si>
    <t>m3</t>
  </si>
  <si>
    <t xml:space="preserve"> Sanasilva data in this file represent the basal area of dead wood. These Sanasilva data are used to calculate yearly changes in Dead Wood.</t>
  </si>
  <si>
    <t>Totholzvorrat 1995, 2005</t>
  </si>
  <si>
    <t>Data about Dead Wood Stock for 1995 and 2005 are derived from NFI2 and NFI3.</t>
  </si>
  <si>
    <t>Jährliche Totholzvorräte</t>
  </si>
  <si>
    <t xml:space="preserve">Yearly Stocks of Dead Wood are estimated with the statistical funtion "linear interpolation". Based on the spatial distribution over the 5 NFI-production regions and the 3 altitudenal levels of the total Dead Wood Stock in 1995 and 2005, yearly Stocks of Dead Wood are distributed over the 15 spatial strata. </t>
  </si>
  <si>
    <t>uncertainty</t>
  </si>
  <si>
    <t>Sanasilva Data</t>
  </si>
  <si>
    <t>Original Sanasilva Data</t>
  </si>
  <si>
    <t>Calculation yearly dead wood stock by weighting with sanasilva data</t>
  </si>
  <si>
    <t>yearly dead wood stock</t>
  </si>
  <si>
    <t>Calculation yearly dead wood stock per stratum</t>
  </si>
  <si>
    <t>GR_dead wood stock</t>
  </si>
  <si>
    <t>Graphs</t>
  </si>
  <si>
    <t>Uncertainty</t>
  </si>
  <si>
    <t>3 error sources</t>
  </si>
  <si>
    <t>1. Confidence Intervals: the estimation of the share of the basal area of dead wood (Sanasilva network)</t>
  </si>
  <si>
    <r>
      <t xml:space="preserve">2. Spatial Representativity of the Sanasilva plots </t>
    </r>
    <r>
      <rPr>
        <sz val="12"/>
        <rFont val="Times New Roman"/>
        <family val="1"/>
      </rPr>
      <t>for CH forest</t>
    </r>
  </si>
  <si>
    <t>Cfr. LFI3 book p 117 Table 90
http://www.lfi.ch/resultate/daten/tabs/tab403.php
Ca. 48 plots cover ca. 10 000 ha 
-&gt; Areal error of ca. 12%</t>
  </si>
  <si>
    <r>
      <t>3. Linear Interpollation:</t>
    </r>
    <r>
      <rPr>
        <sz val="12"/>
        <rFont val="Times New Roman"/>
        <family val="1"/>
      </rPr>
      <t xml:space="preserve"> only 2 data pairs are availble; a stable regression and the calculation of the St. Errors is not possible. This uncertainty is also related to the big confidence intervals on the sanasilva data and therefore not assessed. </t>
    </r>
  </si>
  <si>
    <r>
      <t>è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root ((%error CI)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(%error representativity)</t>
    </r>
    <r>
      <rPr>
        <vertAlign val="superscript"/>
        <sz val="12"/>
        <rFont val="Times New Roman"/>
        <family val="1"/>
      </rPr>
      <t xml:space="preserve"> 2</t>
    </r>
    <r>
      <rPr>
        <sz val="12"/>
        <rFont val="Times New Roman"/>
        <family val="1"/>
      </rPr>
      <t>)</t>
    </r>
  </si>
  <si>
    <r>
      <t>è</t>
    </r>
    <r>
      <rPr>
        <sz val="7"/>
        <rFont val="Times New Roman"/>
        <family val="1"/>
      </rPr>
      <t>    root</t>
    </r>
    <r>
      <rPr>
        <sz val="12"/>
        <rFont val="Times New Roman"/>
        <family val="1"/>
      </rPr>
      <t xml:space="preserve"> ((37.7)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(12)</t>
    </r>
    <r>
      <rPr>
        <vertAlign val="superscript"/>
        <sz val="12"/>
        <rFont val="Times New Roman"/>
        <family val="1"/>
      </rPr>
      <t xml:space="preserve"> 2</t>
    </r>
    <r>
      <rPr>
        <sz val="12"/>
        <rFont val="Times New Roman"/>
        <family val="1"/>
      </rPr>
      <t>)</t>
    </r>
  </si>
  <si>
    <t>Nele Rogiers, FOEN, Forest Division, 10.03.2010</t>
  </si>
  <si>
    <t>Sanasilva-Data</t>
  </si>
  <si>
    <t>1985 - 2007 am 13/10/08; Ergänzung Autumn 2009</t>
  </si>
  <si>
    <t>yearly changes_csv</t>
  </si>
  <si>
    <t>csv-data for input crf-reporter</t>
  </si>
</sst>
</file>

<file path=xl/styles.xml><?xml version="1.0" encoding="utf-8"?>
<styleSheet xmlns="http://schemas.openxmlformats.org/spreadsheetml/2006/main">
  <numFmts count="3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7]dddd\,\ d\.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0.000"/>
    <numFmt numFmtId="178" formatCode="0.0000000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.5"/>
      <name val="Arial"/>
      <family val="0"/>
    </font>
    <font>
      <sz val="8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8"/>
      <name val="Arial"/>
      <family val="2"/>
    </font>
    <font>
      <b/>
      <sz val="8.75"/>
      <name val="Arial"/>
      <family val="0"/>
    </font>
    <font>
      <b/>
      <sz val="10"/>
      <color indexed="17"/>
      <name val="Arial"/>
      <family val="2"/>
    </font>
    <font>
      <sz val="10"/>
      <color indexed="16"/>
      <name val="Arial"/>
      <family val="0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11"/>
      <name val="Times New Roman"/>
      <family val="1"/>
    </font>
    <font>
      <sz val="10"/>
      <color indexed="10"/>
      <name val="Arial"/>
      <family val="0"/>
    </font>
    <font>
      <b/>
      <sz val="8"/>
      <name val="Arial"/>
      <family val="0"/>
    </font>
    <font>
      <sz val="14"/>
      <name val="Arial"/>
      <family val="2"/>
    </font>
    <font>
      <b/>
      <sz val="10.5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Wingdings"/>
      <family val="0"/>
    </font>
    <font>
      <vertAlign val="superscript"/>
      <sz val="12"/>
      <name val="Times New Roman"/>
      <family val="1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Times New Roman"/>
      <family val="0"/>
    </font>
    <font>
      <sz val="10.5"/>
      <name val="Arial"/>
      <family val="0"/>
    </font>
    <font>
      <b/>
      <sz val="16"/>
      <color indexed="14"/>
      <name val="Arial"/>
      <family val="2"/>
    </font>
    <font>
      <b/>
      <sz val="18"/>
      <color indexed="12"/>
      <name val="Arial"/>
      <family val="2"/>
    </font>
    <font>
      <sz val="10.75"/>
      <name val="Arial"/>
      <family val="0"/>
    </font>
    <font>
      <b/>
      <vertAlign val="superscript"/>
      <sz val="16"/>
      <color indexed="14"/>
      <name val="Arial"/>
      <family val="2"/>
    </font>
    <font>
      <b/>
      <sz val="17.5"/>
      <color indexed="14"/>
      <name val="Arial"/>
      <family val="2"/>
    </font>
    <font>
      <b/>
      <sz val="19.75"/>
      <color indexed="12"/>
      <name val="Arial"/>
      <family val="2"/>
    </font>
    <font>
      <sz val="11"/>
      <name val="Arial"/>
      <family val="2"/>
    </font>
    <font>
      <sz val="11.5"/>
      <name val="Arial"/>
      <family val="2"/>
    </font>
    <font>
      <sz val="8.5"/>
      <name val="Arial"/>
      <family val="0"/>
    </font>
    <font>
      <b/>
      <sz val="16"/>
      <name val="Arial"/>
      <family val="2"/>
    </font>
    <font>
      <b/>
      <sz val="16.25"/>
      <color indexed="14"/>
      <name val="Arial"/>
      <family val="2"/>
    </font>
    <font>
      <b/>
      <sz val="18.25"/>
      <color indexed="12"/>
      <name val="Arial"/>
      <family val="2"/>
    </font>
    <font>
      <b/>
      <sz val="12"/>
      <color indexed="63"/>
      <name val="Arial"/>
      <family val="2"/>
    </font>
    <font>
      <b/>
      <sz val="11.25"/>
      <color indexed="63"/>
      <name val="Arial"/>
      <family val="2"/>
    </font>
    <font>
      <b/>
      <sz val="10.75"/>
      <color indexed="63"/>
      <name val="Arial"/>
      <family val="2"/>
    </font>
    <font>
      <sz val="10"/>
      <color indexed="55"/>
      <name val="Arial"/>
      <family val="0"/>
    </font>
    <font>
      <b/>
      <sz val="10"/>
      <color indexed="55"/>
      <name val="Arial"/>
      <family val="2"/>
    </font>
    <font>
      <sz val="12"/>
      <color indexed="55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16" fontId="0" fillId="0" borderId="0" xfId="0" applyNumberFormat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9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Alignment="1">
      <alignment/>
    </xf>
    <xf numFmtId="0" fontId="2" fillId="4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2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6" borderId="0" xfId="0" applyFont="1" applyFill="1" applyAlignment="1">
      <alignment/>
    </xf>
    <xf numFmtId="0" fontId="13" fillId="6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177" fontId="0" fillId="7" borderId="0" xfId="0" applyNumberFormat="1" applyFill="1" applyAlignment="1">
      <alignment/>
    </xf>
    <xf numFmtId="177" fontId="0" fillId="8" borderId="0" xfId="0" applyNumberFormat="1" applyFill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0" fillId="6" borderId="0" xfId="0" applyNumberFormat="1" applyFill="1" applyAlignment="1">
      <alignment/>
    </xf>
    <xf numFmtId="0" fontId="10" fillId="4" borderId="0" xfId="0" applyFont="1" applyFill="1" applyAlignment="1">
      <alignment/>
    </xf>
    <xf numFmtId="0" fontId="11" fillId="4" borderId="0" xfId="0" applyFont="1" applyFill="1" applyAlignment="1">
      <alignment/>
    </xf>
    <xf numFmtId="177" fontId="16" fillId="9" borderId="0" xfId="0" applyNumberFormat="1" applyFont="1" applyFill="1" applyAlignment="1">
      <alignment/>
    </xf>
    <xf numFmtId="177" fontId="0" fillId="6" borderId="0" xfId="0" applyNumberFormat="1" applyFill="1" applyAlignment="1">
      <alignment horizontal="center"/>
    </xf>
    <xf numFmtId="177" fontId="18" fillId="9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177" fontId="0" fillId="6" borderId="0" xfId="0" applyNumberFormat="1" applyFont="1" applyFill="1" applyAlignment="1">
      <alignment/>
    </xf>
    <xf numFmtId="177" fontId="0" fillId="6" borderId="0" xfId="0" applyNumberFormat="1" applyFont="1" applyFill="1" applyAlignment="1">
      <alignment/>
    </xf>
    <xf numFmtId="0" fontId="19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6" borderId="0" xfId="0" applyFont="1" applyFill="1" applyAlignment="1">
      <alignment wrapText="1"/>
    </xf>
    <xf numFmtId="177" fontId="0" fillId="6" borderId="0" xfId="0" applyNumberFormat="1" applyFill="1" applyBorder="1" applyAlignment="1">
      <alignment/>
    </xf>
    <xf numFmtId="0" fontId="0" fillId="3" borderId="0" xfId="0" applyNumberFormat="1" applyFill="1" applyAlignment="1">
      <alignment horizontal="right"/>
    </xf>
    <xf numFmtId="0" fontId="0" fillId="3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2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2" fontId="0" fillId="5" borderId="0" xfId="0" applyNumberForma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left" indent="2"/>
    </xf>
    <xf numFmtId="0" fontId="28" fillId="0" borderId="0" xfId="0" applyFont="1" applyAlignment="1">
      <alignment horizontal="left" indent="4"/>
    </xf>
    <xf numFmtId="0" fontId="27" fillId="0" borderId="0" xfId="0" applyFont="1" applyAlignment="1">
      <alignment horizontal="left" indent="4"/>
    </xf>
    <xf numFmtId="0" fontId="25" fillId="0" borderId="0" xfId="0" applyFont="1" applyAlignment="1">
      <alignment horizontal="left" wrapText="1" indent="4"/>
    </xf>
    <xf numFmtId="0" fontId="25" fillId="0" borderId="0" xfId="0" applyFont="1" applyAlignment="1">
      <alignment horizontal="left" wrapText="1" indent="8"/>
    </xf>
    <xf numFmtId="0" fontId="27" fillId="0" borderId="0" xfId="0" applyFont="1" applyAlignment="1">
      <alignment horizontal="left" wrapText="1" indent="4"/>
    </xf>
    <xf numFmtId="0" fontId="27" fillId="4" borderId="0" xfId="0" applyFont="1" applyFill="1" applyAlignment="1">
      <alignment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2" fontId="2" fillId="11" borderId="0" xfId="0" applyNumberFormat="1" applyFont="1" applyFill="1" applyAlignment="1">
      <alignment horizontal="center"/>
    </xf>
    <xf numFmtId="177" fontId="0" fillId="3" borderId="0" xfId="0" applyNumberFormat="1" applyFill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/>
    </xf>
    <xf numFmtId="2" fontId="0" fillId="0" borderId="0" xfId="0" applyNumberFormat="1" applyAlignment="1">
      <alignment/>
    </xf>
    <xf numFmtId="0" fontId="32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3" borderId="0" xfId="0" applyNumberFormat="1" applyFill="1" applyAlignment="1">
      <alignment horizontal="right"/>
    </xf>
    <xf numFmtId="49" fontId="13" fillId="0" borderId="0" xfId="0" applyNumberFormat="1" applyFont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NumberFormat="1" applyAlignment="1">
      <alignment horizontal="left"/>
    </xf>
    <xf numFmtId="0" fontId="32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0" fontId="32" fillId="0" borderId="3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1" fillId="4" borderId="0" xfId="0" applyFont="1" applyFill="1" applyBorder="1" applyAlignment="1">
      <alignment/>
    </xf>
    <xf numFmtId="0" fontId="11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51" fillId="3" borderId="0" xfId="0" applyFont="1" applyFill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0" xfId="0" applyFont="1" applyFill="1" applyBorder="1" applyAlignment="1">
      <alignment/>
    </xf>
    <xf numFmtId="2" fontId="53" fillId="0" borderId="0" xfId="19" applyNumberFormat="1" applyFont="1" applyFill="1" applyBorder="1" applyAlignment="1" applyProtection="1">
      <alignment horizontal="center" vertical="center" wrapText="1" shrinkToFit="1"/>
      <protection locked="0"/>
    </xf>
    <xf numFmtId="2" fontId="53" fillId="0" borderId="0" xfId="19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/>
    </xf>
    <xf numFmtId="0" fontId="24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8" fontId="0" fillId="0" borderId="0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8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0" fontId="2" fillId="0" borderId="0" xfId="0" applyFont="1" applyAlignment="1">
      <alignment horizontal="left" indent="3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KP_LULUCF_Last_for discussion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2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5"/>
          <c:y val="0.05775"/>
          <c:w val="0.93"/>
          <c:h val="0.873"/>
        </c:manualLayout>
      </c:layout>
      <c:lineChart>
        <c:grouping val="standard"/>
        <c:varyColors val="0"/>
        <c:ser>
          <c:idx val="0"/>
          <c:order val="0"/>
          <c:tx>
            <c:v>Sanasilva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SanasilvaData!$A$39:$A$63</c:f>
              <c:strCache/>
            </c:strRef>
          </c:cat>
          <c:val>
            <c:numRef>
              <c:f>SanasilvaData!$B$39:$B$63</c:f>
              <c:numCache/>
            </c:numRef>
          </c:val>
          <c:smooth val="0"/>
        </c:ser>
        <c:marker val="1"/>
        <c:axId val="64147552"/>
        <c:axId val="40457057"/>
      </c:lineChart>
      <c:catAx>
        <c:axId val="6414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57057"/>
        <c:crosses val="autoZero"/>
        <c:auto val="1"/>
        <c:lblOffset val="100"/>
        <c:noMultiLvlLbl val="0"/>
      </c:catAx>
      <c:valAx>
        <c:axId val="40457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share dead wood (%)
(Basal Area)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475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235"/>
          <c:h val="0.9675"/>
        </c:manualLayout>
      </c:layout>
      <c:lineChart>
        <c:grouping val="standard"/>
        <c:varyColors val="0"/>
        <c:ser>
          <c:idx val="1"/>
          <c:order val="1"/>
          <c:tx>
            <c:v>dead wood stock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LinInterp!$M$9:$M$32</c:f>
              <c:strCache/>
            </c:strRef>
          </c:cat>
          <c:val>
            <c:numRef>
              <c:f>LinInterp!$E$9:$E$32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dead wood stock (3-year avg)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LinInterp!$M$9:$M$32</c:f>
              <c:strCache/>
            </c:strRef>
          </c:cat>
          <c:val>
            <c:numRef>
              <c:f>LinInterp!$F$9:$F$32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5227648"/>
        <c:axId val="48613377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LinInterp!$M$9:$M$32</c:f>
              <c:strCache/>
            </c:strRef>
          </c:cat>
          <c:val>
            <c:numRef>
              <c:f>LinInterp!$B$9:$B$32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4867210"/>
        <c:axId val="45369435"/>
      </c:lineChart>
      <c:catAx>
        <c:axId val="3522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613377"/>
        <c:crosses val="autoZero"/>
        <c:auto val="1"/>
        <c:lblOffset val="100"/>
        <c:noMultiLvlLbl val="0"/>
      </c:catAx>
      <c:valAx>
        <c:axId val="4861337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Stock dead wood (Mio t C)  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27648"/>
        <c:crossesAt val="1"/>
        <c:crossBetween val="between"/>
        <c:dispUnits/>
        <c:majorUnit val="2"/>
        <c:minorUnit val="0.4"/>
      </c:valAx>
      <c:catAx>
        <c:axId val="34867210"/>
        <c:scaling>
          <c:orientation val="minMax"/>
        </c:scaling>
        <c:axPos val="b"/>
        <c:delete val="1"/>
        <c:majorTickMark val="in"/>
        <c:minorTickMark val="none"/>
        <c:tickLblPos val="nextTo"/>
        <c:crossAx val="45369435"/>
        <c:crosses val="autoZero"/>
        <c:auto val="1"/>
        <c:lblOffset val="100"/>
        <c:noMultiLvlLbl val="0"/>
      </c:catAx>
      <c:valAx>
        <c:axId val="4536943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867210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91"/>
          <c:y val="0.07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"/>
          <c:w val="0.921"/>
          <c:h val="0.9675"/>
        </c:manualLayout>
      </c:layout>
      <c:lineChart>
        <c:grouping val="standard"/>
        <c:varyColors val="0"/>
        <c:ser>
          <c:idx val="1"/>
          <c:order val="0"/>
          <c:tx>
            <c:v>dead wood stock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LinInterp!$N$14:$N$31</c:f>
              <c:strCache/>
            </c:strRef>
          </c:cat>
          <c:val>
            <c:numRef>
              <c:f>LinInterp!$E$14:$E$31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dead wood stock (3-year avg)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LinInterp!$N$14:$N$31</c:f>
              <c:strCache/>
            </c:strRef>
          </c:cat>
          <c:val>
            <c:numRef>
              <c:f>LinInterp!$F$14:$F$31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5671732"/>
        <c:axId val="51045589"/>
      </c:lineChart>
      <c:catAx>
        <c:axId val="567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45589"/>
        <c:crosses val="autoZero"/>
        <c:auto val="1"/>
        <c:lblOffset val="100"/>
        <c:noMultiLvlLbl val="0"/>
      </c:catAx>
      <c:valAx>
        <c:axId val="51045589"/>
        <c:scaling>
          <c:orientation val="minMax"/>
          <c:max val="9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Stock dead wood (Mio t C)  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671732"/>
        <c:crossesAt val="1"/>
        <c:crossBetween val="between"/>
        <c:dispUnits/>
        <c:majorUnit val="1"/>
        <c:minorUnit val="0.4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68"/>
          <c:y val="0.74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2275"/>
          <c:h val="0.97475"/>
        </c:manualLayout>
      </c:layout>
      <c:lineChart>
        <c:grouping val="standard"/>
        <c:varyColors val="0"/>
        <c:ser>
          <c:idx val="1"/>
          <c:order val="0"/>
          <c:tx>
            <c:v>Totholzvorrat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LinInterp!$N$14:$N$31</c:f>
              <c:strCache/>
            </c:strRef>
          </c:cat>
          <c:val>
            <c:numRef>
              <c:f>LinInterp!$E$14:$E$31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Totholzvorrat (3-Jahresmittel)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LinInterp!$N$14:$N$31</c:f>
              <c:strCache/>
            </c:strRef>
          </c:cat>
          <c:val>
            <c:numRef>
              <c:f>LinInterp!$F$14:$F$31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marker val="1"/>
        <c:axId val="56757118"/>
        <c:axId val="41052015"/>
      </c:lineChart>
      <c:catAx>
        <c:axId val="5675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52015"/>
        <c:crosses val="autoZero"/>
        <c:auto val="1"/>
        <c:lblOffset val="100"/>
        <c:noMultiLvlLbl val="0"/>
      </c:catAx>
      <c:valAx>
        <c:axId val="41052015"/>
        <c:scaling>
          <c:orientation val="minMax"/>
          <c:max val="9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Totholzvorrat (Mio t C)  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757118"/>
        <c:crossesAt val="1"/>
        <c:crossBetween val="between"/>
        <c:dispUnits/>
        <c:majorUnit val="1"/>
        <c:minorUnit val="0.4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6575"/>
          <c:y val="0.77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65"/>
          <c:w val="0.898"/>
          <c:h val="0.9472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LinInterp!$K$9:$K$33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dead wood stock lin. interpol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LinInterp!$C$9:$C$33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3923816"/>
        <c:axId val="36878889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3474546"/>
        <c:axId val="34400003"/>
      </c:lineChart>
      <c:catAx>
        <c:axId val="3392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878889"/>
        <c:crosses val="autoZero"/>
        <c:auto val="1"/>
        <c:lblOffset val="100"/>
        <c:noMultiLvlLbl val="0"/>
      </c:catAx>
      <c:valAx>
        <c:axId val="36878889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(1000 t C)  </a:t>
                </a:r>
                <a:r>
                  <a:rPr lang="en-US" cap="none" sz="17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923816"/>
        <c:crossesAt val="1"/>
        <c:crossBetween val="between"/>
        <c:dispUnits/>
      </c:valAx>
      <c:catAx>
        <c:axId val="63474546"/>
        <c:scaling>
          <c:orientation val="minMax"/>
        </c:scaling>
        <c:axPos val="b"/>
        <c:delete val="1"/>
        <c:majorTickMark val="in"/>
        <c:minorTickMark val="none"/>
        <c:tickLblPos val="nextTo"/>
        <c:crossAx val="34400003"/>
        <c:crosses val="autoZero"/>
        <c:auto val="1"/>
        <c:lblOffset val="100"/>
        <c:noMultiLvlLbl val="0"/>
      </c:catAx>
      <c:valAx>
        <c:axId val="3440000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3474546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625"/>
          <c:w val="0.89725"/>
          <c:h val="0.94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LinInterp!$K$9:$K$33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1164572"/>
        <c:axId val="34936829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5996006"/>
        <c:axId val="11310871"/>
      </c:lineChart>
      <c:catAx>
        <c:axId val="4116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4936829"/>
        <c:crosses val="autoZero"/>
        <c:auto val="1"/>
        <c:lblOffset val="100"/>
        <c:noMultiLvlLbl val="0"/>
      </c:catAx>
      <c:valAx>
        <c:axId val="34936829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(1000 t C)  </a:t>
                </a:r>
                <a:r>
                  <a:rPr lang="en-US" cap="none" sz="17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1164572"/>
        <c:crossesAt val="1"/>
        <c:crossBetween val="between"/>
        <c:dispUnits/>
      </c:valAx>
      <c:catAx>
        <c:axId val="45996006"/>
        <c:scaling>
          <c:orientation val="minMax"/>
        </c:scaling>
        <c:axPos val="b"/>
        <c:delete val="1"/>
        <c:majorTickMark val="in"/>
        <c:minorTickMark val="none"/>
        <c:tickLblPos val="nextTo"/>
        <c:crossAx val="11310871"/>
        <c:crosses val="autoZero"/>
        <c:auto val="1"/>
        <c:lblOffset val="100"/>
        <c:noMultiLvlLbl val="0"/>
      </c:catAx>
      <c:valAx>
        <c:axId val="1131087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996006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2625"/>
          <c:w val="0.865"/>
          <c:h val="0.94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LinInterp!$L$9:$L$33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dead wood stock lin. interpol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LinInterp!$E$9:$E$33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4688976"/>
        <c:axId val="43765329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8343642"/>
        <c:axId val="55330731"/>
      </c:lineChart>
      <c:catAx>
        <c:axId val="3468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65329"/>
        <c:crosses val="autoZero"/>
        <c:auto val="1"/>
        <c:lblOffset val="100"/>
        <c:noMultiLvlLbl val="0"/>
      </c:catAx>
      <c:valAx>
        <c:axId val="4376532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(Mio t C)  </a:t>
                </a:r>
                <a:r>
                  <a:rPr lang="en-US" cap="none" sz="16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88976"/>
        <c:crossesAt val="1"/>
        <c:crossBetween val="between"/>
        <c:dispUnits/>
        <c:majorUnit val="2"/>
        <c:minorUnit val="0.2"/>
      </c:valAx>
      <c:catAx>
        <c:axId val="58343642"/>
        <c:scaling>
          <c:orientation val="minMax"/>
        </c:scaling>
        <c:axPos val="b"/>
        <c:delete val="1"/>
        <c:majorTickMark val="in"/>
        <c:minorTickMark val="none"/>
        <c:tickLblPos val="nextTo"/>
        <c:crossAx val="55330731"/>
        <c:crosses val="autoZero"/>
        <c:auto val="1"/>
        <c:lblOffset val="100"/>
        <c:noMultiLvlLbl val="0"/>
      </c:catAx>
      <c:valAx>
        <c:axId val="5533073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43642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26"/>
          <c:w val="0.86525"/>
          <c:h val="0.947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LinInterp!$L$9:$L$33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8214532"/>
        <c:axId val="52604197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675726"/>
        <c:axId val="33081535"/>
      </c:lineChart>
      <c:catAx>
        <c:axId val="282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604197"/>
        <c:crosses val="autoZero"/>
        <c:auto val="1"/>
        <c:lblOffset val="100"/>
        <c:noMultiLvlLbl val="0"/>
      </c:catAx>
      <c:valAx>
        <c:axId val="5260419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(Mio t C)  </a:t>
                </a:r>
                <a:r>
                  <a:rPr lang="en-US" cap="none" sz="16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14532"/>
        <c:crossesAt val="1"/>
        <c:crossBetween val="between"/>
        <c:dispUnits/>
        <c:majorUnit val="2"/>
        <c:minorUnit val="0.2"/>
      </c:valAx>
      <c:catAx>
        <c:axId val="3675726"/>
        <c:scaling>
          <c:orientation val="minMax"/>
        </c:scaling>
        <c:axPos val="b"/>
        <c:delete val="1"/>
        <c:majorTickMark val="in"/>
        <c:minorTickMark val="none"/>
        <c:tickLblPos val="nextTo"/>
        <c:crossAx val="33081535"/>
        <c:crosses val="autoZero"/>
        <c:auto val="1"/>
        <c:lblOffset val="100"/>
        <c:noMultiLvlLbl val="0"/>
      </c:catAx>
      <c:valAx>
        <c:axId val="3308153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5726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235"/>
          <c:h val="0.9675"/>
        </c:manualLayout>
      </c:layout>
      <c:lineChart>
        <c:grouping val="standard"/>
        <c:varyColors val="0"/>
        <c:ser>
          <c:idx val="1"/>
          <c:order val="1"/>
          <c:tx>
            <c:v>dead wood stock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LinInterp!$M$9:$M$33</c:f>
              <c:strCache/>
            </c:strRef>
          </c:cat>
          <c:val>
            <c:numRef>
              <c:f>LinInterp!$E$9:$E$33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dead wood stock (3-year avg)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LinInterp!$M$9:$M$33</c:f>
              <c:strCache/>
            </c:strRef>
          </c:cat>
          <c:val>
            <c:numRef>
              <c:f>LinInterp!$F$9:$F$33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9298360"/>
        <c:axId val="62358649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LinInterp!$M$9:$M$33</c:f>
              <c:strCache/>
            </c:strRef>
          </c:cat>
          <c: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4356930"/>
        <c:axId val="17885779"/>
      </c:lineChart>
      <c:catAx>
        <c:axId val="292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58649"/>
        <c:crosses val="autoZero"/>
        <c:auto val="1"/>
        <c:lblOffset val="100"/>
        <c:noMultiLvlLbl val="0"/>
      </c:catAx>
      <c:valAx>
        <c:axId val="6235864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Stock dead wood (Mio t C)  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98360"/>
        <c:crossesAt val="1"/>
        <c:crossBetween val="between"/>
        <c:dispUnits/>
        <c:majorUnit val="2"/>
        <c:minorUnit val="0.4"/>
      </c:valAx>
      <c:catAx>
        <c:axId val="24356930"/>
        <c:scaling>
          <c:orientation val="minMax"/>
        </c:scaling>
        <c:axPos val="b"/>
        <c:delete val="1"/>
        <c:majorTickMark val="in"/>
        <c:minorTickMark val="none"/>
        <c:tickLblPos val="nextTo"/>
        <c:crossAx val="17885779"/>
        <c:crosses val="autoZero"/>
        <c:auto val="1"/>
        <c:lblOffset val="100"/>
        <c:noMultiLvlLbl val="0"/>
      </c:catAx>
      <c:valAx>
        <c:axId val="1788577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56930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91"/>
          <c:y val="0.07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Dead wood weighted with Sanasvila Basal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35"/>
          <c:w val="0.9365"/>
          <c:h val="0.86325"/>
        </c:manualLayout>
      </c:layout>
      <c:lineChart>
        <c:grouping val="standard"/>
        <c:varyColors val="0"/>
        <c:ser>
          <c:idx val="1"/>
          <c:order val="0"/>
          <c:tx>
            <c:v>yearly values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'GR_yearly dead wood stock'!$B$1:$Y$1</c:f>
              <c:strCache/>
            </c:strRef>
          </c:cat>
          <c:val>
            <c:numRef>
              <c:f>'GR_yearly dead wood stock'!$B$2:$Y$2</c:f>
              <c:numCache/>
            </c:numRef>
          </c:val>
          <c:smooth val="0"/>
        </c:ser>
        <c:ser>
          <c:idx val="2"/>
          <c:order val="1"/>
          <c:tx>
            <c:v>3-year average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'GR_yearly dead wood stock'!$B$1:$Y$1</c:f>
              <c:strCache/>
            </c:strRef>
          </c:cat>
          <c:val>
            <c:numRef>
              <c:f>'GR_yearly dead wood stock'!$B$3:$Y$3</c:f>
              <c:numCache/>
            </c:numRef>
          </c:val>
          <c:smooth val="0"/>
        </c:ser>
        <c:marker val="1"/>
        <c:axId val="26754284"/>
        <c:axId val="39461965"/>
      </c:lineChart>
      <c:catAx>
        <c:axId val="26754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61965"/>
        <c:crosses val="autoZero"/>
        <c:auto val="1"/>
        <c:lblOffset val="100"/>
        <c:noMultiLvlLbl val="0"/>
      </c:catAx>
      <c:valAx>
        <c:axId val="39461965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Stock (t C/ha)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542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75"/>
          <c:y val="0.14625"/>
          <c:w val="0.20525"/>
          <c:h val="0.159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Totholz gewichtet Sanasilva Basalfläche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9"/>
          <c:w val="0.92725"/>
          <c:h val="0.8715"/>
        </c:manualLayout>
      </c:layout>
      <c:lineChart>
        <c:grouping val="standard"/>
        <c:varyColors val="0"/>
        <c:ser>
          <c:idx val="1"/>
          <c:order val="0"/>
          <c:tx>
            <c:v>jährliche Werte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'GR_yearly dead wood stock'!$B$1:$Y$1</c:f>
              <c:strCache/>
            </c:strRef>
          </c:cat>
          <c:val>
            <c:numRef>
              <c:f>'GR_yearly dead wood stock'!$B$2:$Y$2</c:f>
              <c:numCache/>
            </c:numRef>
          </c:val>
          <c:smooth val="0"/>
        </c:ser>
        <c:ser>
          <c:idx val="2"/>
          <c:order val="1"/>
          <c:tx>
            <c:v>3-jahres Mittel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'GR_yearly dead wood stock'!$B$1:$Y$1</c:f>
              <c:strCache/>
            </c:strRef>
          </c:cat>
          <c:val>
            <c:numRef>
              <c:f>'GR_yearly dead wood stock'!$B$3:$Y$3</c:f>
              <c:numCache/>
            </c:numRef>
          </c:val>
          <c:smooth val="0"/>
        </c:ser>
        <c:marker val="1"/>
        <c:axId val="19613366"/>
        <c:axId val="42302567"/>
      </c:lineChart>
      <c:catAx>
        <c:axId val="1961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302567"/>
        <c:crosses val="autoZero"/>
        <c:auto val="1"/>
        <c:lblOffset val="100"/>
        <c:noMultiLvlLbl val="0"/>
      </c:catAx>
      <c:valAx>
        <c:axId val="42302567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Vorrat (t C/ha)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6133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15575"/>
          <c:w val="0.25475"/>
          <c:h val="0.1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Verhältnis Basalfläche - Vorrat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7325"/>
          <c:w val="0.919"/>
          <c:h val="0.8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25400">
                <a:solidFill>
                  <a:srgbClr val="99CC00"/>
                </a:solidFill>
              </a:ln>
            </c:spPr>
            <c:trendlineType val="linear"/>
            <c:dispEq val="0"/>
            <c:dispRSqr val="0"/>
          </c:trendline>
          <c:x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LinInterp!$C$9:$C$33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8569194"/>
        <c:axId val="55796155"/>
      </c:scatterChart>
      <c:valAx>
        <c:axId val="2856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Basafläche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96155"/>
        <c:crosses val="autoZero"/>
        <c:crossBetween val="midCat"/>
        <c:dispUnits/>
      </c:valAx>
      <c:valAx>
        <c:axId val="5579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Vorrat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691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75"/>
          <c:y val="0.20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35"/>
          <c:w val="0.9095"/>
          <c:h val="0.94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LinInterp!$C$8</c:f>
              <c:strCache>
                <c:ptCount val="1"/>
                <c:pt idx="0">
                  <c:v>Carbon stock of dead wood (1000 t 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LinInterp!$A$9:$A$33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LinInterp!$C$9:$C$33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2403348"/>
        <c:axId val="23194677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LinInterp!$A$9:$A$33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7425502"/>
        <c:axId val="66829519"/>
      </c:lineChart>
      <c:catAx>
        <c:axId val="3240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94677"/>
        <c:crosses val="autoZero"/>
        <c:auto val="1"/>
        <c:lblOffset val="100"/>
        <c:noMultiLvlLbl val="0"/>
      </c:catAx>
      <c:valAx>
        <c:axId val="23194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Dead wood stock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03348"/>
        <c:crossesAt val="1"/>
        <c:crossBetween val="between"/>
        <c:dispUnits/>
      </c:valAx>
      <c:catAx>
        <c:axId val="7425502"/>
        <c:scaling>
          <c:orientation val="minMax"/>
        </c:scaling>
        <c:axPos val="b"/>
        <c:delete val="1"/>
        <c:majorTickMark val="in"/>
        <c:minorTickMark val="none"/>
        <c:tickLblPos val="nextTo"/>
        <c:crossAx val="66829519"/>
        <c:crosses val="autoZero"/>
        <c:auto val="1"/>
        <c:lblOffset val="100"/>
        <c:noMultiLvlLbl val="0"/>
      </c:catAx>
      <c:valAx>
        <c:axId val="6682951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share dead wood (%)
(Basal Area)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425502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035"/>
          <c:y val="0.08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24"/>
          <c:w val="0.95225"/>
          <c:h val="0.94675"/>
        </c:manualLayout>
      </c:layout>
      <c:lineChart>
        <c:grouping val="standard"/>
        <c:varyColors val="0"/>
        <c:ser>
          <c:idx val="1"/>
          <c:order val="1"/>
          <c:tx>
            <c:v>gewichtet sanasilva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LinInterp!$A$9:$A$33</c:f>
              <c:numCache/>
            </c:numRef>
          </c:cat>
          <c:val>
            <c:numRef>
              <c:f>LinInterp!$C$9:$C$33</c:f>
              <c:numCache/>
            </c:numRef>
          </c:val>
          <c:smooth val="0"/>
        </c:ser>
        <c:marker val="1"/>
        <c:axId val="64594760"/>
        <c:axId val="44481929"/>
      </c:lineChart>
      <c:lineChart>
        <c:grouping val="standard"/>
        <c:varyColors val="0"/>
        <c:ser>
          <c:idx val="0"/>
          <c:order val="0"/>
          <c:tx>
            <c:v>lineare Veränderung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LinInterp!$A$9:$A$32</c:f>
              <c:numCache/>
            </c:numRef>
          </c:cat>
          <c:val>
            <c:numRef>
              <c:f>LinInterp!$B$38:$B$62</c:f>
              <c:numCache/>
            </c:numRef>
          </c:val>
          <c:smooth val="0"/>
        </c:ser>
        <c:marker val="1"/>
        <c:axId val="64793042"/>
        <c:axId val="46266467"/>
      </c:lineChart>
      <c:catAx>
        <c:axId val="6459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81929"/>
        <c:crosses val="autoZero"/>
        <c:auto val="1"/>
        <c:lblOffset val="100"/>
        <c:noMultiLvlLbl val="0"/>
      </c:catAx>
      <c:valAx>
        <c:axId val="44481929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Vorrat (1000 t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94760"/>
        <c:crossesAt val="1"/>
        <c:crossBetween val="between"/>
        <c:dispUnits/>
      </c:valAx>
      <c:catAx>
        <c:axId val="64793042"/>
        <c:scaling>
          <c:orientation val="minMax"/>
        </c:scaling>
        <c:axPos val="b"/>
        <c:delete val="1"/>
        <c:majorTickMark val="in"/>
        <c:minorTickMark val="none"/>
        <c:tickLblPos val="nextTo"/>
        <c:crossAx val="46266467"/>
        <c:crosses val="autoZero"/>
        <c:auto val="1"/>
        <c:lblOffset val="100"/>
        <c:noMultiLvlLbl val="0"/>
      </c:catAx>
      <c:valAx>
        <c:axId val="46266467"/>
        <c:scaling>
          <c:orientation val="minMax"/>
          <c:max val="20"/>
        </c:scaling>
        <c:axPos val="l"/>
        <c:delete val="1"/>
        <c:majorTickMark val="in"/>
        <c:minorTickMark val="none"/>
        <c:tickLblPos val="nextTo"/>
        <c:crossAx val="64793042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2625"/>
          <c:y val="0.11175"/>
          <c:w val="0.1915"/>
          <c:h val="0.14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2625"/>
          <c:w val="0.90675"/>
          <c:h val="0.940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LinInterp!$J$9:$J$31</c:f>
              <c:strCache/>
            </c:strRef>
          </c:cat>
          <c:val>
            <c:numRef>
              <c:f>LinInterp!$G$9:$G$31</c:f>
              <c:numCache>
                <c:ptCount val="23"/>
                <c:pt idx="0">
                  <c:v>2.964391704170541</c:v>
                </c:pt>
                <c:pt idx="1">
                  <c:v>2.3807020389615263</c:v>
                </c:pt>
                <c:pt idx="2">
                  <c:v>2.7698284824342028</c:v>
                </c:pt>
                <c:pt idx="3">
                  <c:v>2.6725468715660337</c:v>
                </c:pt>
                <c:pt idx="4">
                  <c:v>3.158954925906879</c:v>
                </c:pt>
                <c:pt idx="5">
                  <c:v>3.4507997585113865</c:v>
                </c:pt>
                <c:pt idx="6">
                  <c:v>3.2951491811223157</c:v>
                </c:pt>
                <c:pt idx="7">
                  <c:v>3.246508375688231</c:v>
                </c:pt>
                <c:pt idx="8">
                  <c:v>4.034489423720401</c:v>
                </c:pt>
                <c:pt idx="9">
                  <c:v>4.715460699797584</c:v>
                </c:pt>
                <c:pt idx="10">
                  <c:v>5.01738733312178</c:v>
                </c:pt>
                <c:pt idx="11">
                  <c:v>5.644299316256427</c:v>
                </c:pt>
                <c:pt idx="12">
                  <c:v>5.244506701634106</c:v>
                </c:pt>
                <c:pt idx="13">
                  <c:v>5.644299316256427</c:v>
                </c:pt>
                <c:pt idx="14">
                  <c:v>5.644299316256427</c:v>
                </c:pt>
                <c:pt idx="15">
                  <c:v>6.144040084534327</c:v>
                </c:pt>
                <c:pt idx="16">
                  <c:v>6.5438326991566464</c:v>
                </c:pt>
                <c:pt idx="17">
                  <c:v>6.643780852812227</c:v>
                </c:pt>
                <c:pt idx="18">
                  <c:v>7.243469774745706</c:v>
                </c:pt>
                <c:pt idx="19">
                  <c:v>6.643780852812227</c:v>
                </c:pt>
                <c:pt idx="20">
                  <c:v>7.343417928401286</c:v>
                </c:pt>
                <c:pt idx="21">
                  <c:v>7.143521621090127</c:v>
                </c:pt>
                <c:pt idx="22">
                  <c:v>7.243469774745706</c:v>
                </c:pt>
              </c:numCache>
            </c:numRef>
          </c:val>
          <c:smooth val="0"/>
        </c:ser>
        <c:ser>
          <c:idx val="2"/>
          <c:order val="2"/>
          <c:tx>
            <c:v>dead wood stock (3-year avg)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LinInterp!$H$9:$H$31</c:f>
              <c:numCache>
                <c:ptCount val="23"/>
                <c:pt idx="0">
                  <c:v>2.964391704170541</c:v>
                </c:pt>
                <c:pt idx="1">
                  <c:v>2.6725468715660337</c:v>
                </c:pt>
                <c:pt idx="2">
                  <c:v>2.7049740751887565</c:v>
                </c:pt>
                <c:pt idx="3">
                  <c:v>2.6076924643205874</c:v>
                </c:pt>
                <c:pt idx="4">
                  <c:v>2.867110093302372</c:v>
                </c:pt>
                <c:pt idx="5">
                  <c:v>3.094100518661433</c:v>
                </c:pt>
                <c:pt idx="6">
                  <c:v>3.3016346218468606</c:v>
                </c:pt>
                <c:pt idx="7">
                  <c:v>3.3308191051073113</c:v>
                </c:pt>
                <c:pt idx="8">
                  <c:v>3.525382326843649</c:v>
                </c:pt>
                <c:pt idx="9">
                  <c:v>3.9988194997354056</c:v>
                </c:pt>
                <c:pt idx="10">
                  <c:v>4.589112485546588</c:v>
                </c:pt>
                <c:pt idx="11">
                  <c:v>5.125715783058596</c:v>
                </c:pt>
                <c:pt idx="12">
                  <c:v>5.302064450337437</c:v>
                </c:pt>
                <c:pt idx="13">
                  <c:v>5.51103511138232</c:v>
                </c:pt>
                <c:pt idx="14">
                  <c:v>5.51103511138232</c:v>
                </c:pt>
                <c:pt idx="15">
                  <c:v>5.81087957234906</c:v>
                </c:pt>
                <c:pt idx="16">
                  <c:v>6.1107240333158</c:v>
                </c:pt>
                <c:pt idx="17">
                  <c:v>6.443884545501067</c:v>
                </c:pt>
                <c:pt idx="18">
                  <c:v>6.81036110890486</c:v>
                </c:pt>
                <c:pt idx="19">
                  <c:v>6.843677160123387</c:v>
                </c:pt>
                <c:pt idx="20">
                  <c:v>7.076889518653073</c:v>
                </c:pt>
                <c:pt idx="21">
                  <c:v>7.043573467434546</c:v>
                </c:pt>
                <c:pt idx="22">
                  <c:v>7.243469774745706</c:v>
                </c:pt>
              </c:numCache>
            </c:numRef>
          </c:val>
          <c:smooth val="0"/>
        </c:ser>
        <c:marker val="1"/>
        <c:axId val="13745020"/>
        <c:axId val="56596317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LinInterp!$A$9:$A$31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LinInterp!$B$9:$B$31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9604806"/>
        <c:axId val="20898935"/>
      </c:lineChart>
      <c:catAx>
        <c:axId val="1374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6596317"/>
        <c:crosses val="autoZero"/>
        <c:auto val="1"/>
        <c:lblOffset val="100"/>
        <c:noMultiLvlLbl val="0"/>
      </c:catAx>
      <c:valAx>
        <c:axId val="5659631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Stock dead wood (t C ha</a:t>
                </a:r>
                <a:r>
                  <a:rPr lang="en-US" cap="none" sz="9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3745020"/>
        <c:crossesAt val="1"/>
        <c:crossBetween val="between"/>
        <c:dispUnits/>
      </c:valAx>
      <c:catAx>
        <c:axId val="39604806"/>
        <c:scaling>
          <c:orientation val="minMax"/>
        </c:scaling>
        <c:axPos val="b"/>
        <c:delete val="1"/>
        <c:majorTickMark val="in"/>
        <c:minorTickMark val="none"/>
        <c:tickLblPos val="nextTo"/>
        <c:crossAx val="20898935"/>
        <c:crosses val="autoZero"/>
        <c:auto val="1"/>
        <c:lblOffset val="100"/>
        <c:noMultiLvlLbl val="0"/>
      </c:catAx>
      <c:valAx>
        <c:axId val="20898935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04806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95"/>
          <c:y val="0.08475"/>
          <c:w val="0.2675"/>
          <c:h val="0.18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2325"/>
          <c:w val="0.86525"/>
          <c:h val="0.953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LinInterp!$J$9:$J$32</c:f>
              <c:strCache/>
            </c:strRef>
          </c:cat>
          <c:val>
            <c:numRef>
              <c:f>LinInterp!$I$9:$I$31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3872688"/>
        <c:axId val="15092145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LinInterp!$A$9:$A$31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LinInterp!$B$9:$B$31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611578"/>
        <c:axId val="14504203"/>
      </c:lineChart>
      <c:catAx>
        <c:axId val="5387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92145"/>
        <c:crosses val="autoZero"/>
        <c:auto val="1"/>
        <c:lblOffset val="100"/>
        <c:noMultiLvlLbl val="0"/>
      </c:catAx>
      <c:valAx>
        <c:axId val="1509214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(t C ha</a:t>
                </a:r>
                <a:r>
                  <a:rPr lang="en-US" cap="none" sz="1600" b="1" i="0" u="none" baseline="3000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)  </a:t>
                </a: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72688"/>
        <c:crossesAt val="1"/>
        <c:crossBetween val="between"/>
        <c:dispUnits/>
      </c:valAx>
      <c:catAx>
        <c:axId val="1611578"/>
        <c:scaling>
          <c:orientation val="minMax"/>
        </c:scaling>
        <c:axPos val="b"/>
        <c:delete val="1"/>
        <c:majorTickMark val="in"/>
        <c:minorTickMark val="none"/>
        <c:tickLblPos val="nextTo"/>
        <c:crossAx val="14504203"/>
        <c:crosses val="autoZero"/>
        <c:auto val="1"/>
        <c:lblOffset val="100"/>
        <c:noMultiLvlLbl val="0"/>
      </c:catAx>
      <c:valAx>
        <c:axId val="14504203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11578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3"/>
          <c:w val="0.863"/>
          <c:h val="0.953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LinInterp!$J$9:$J$31</c:f>
              <c:strCache/>
            </c:strRef>
          </c:cat>
          <c:val>
            <c:numRef>
              <c:f>LinInterp!$I$9:$I$31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dead wood stock interpol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LinInterp!$J$9:$J$31</c:f>
              <c:strCache/>
            </c:strRef>
          </c:cat>
          <c:val>
            <c:numRef>
              <c:f>LinInterp!$G$9:$G$31</c:f>
              <c:numCache>
                <c:ptCount val="23"/>
                <c:pt idx="0">
                  <c:v>2.964391704170541</c:v>
                </c:pt>
                <c:pt idx="1">
                  <c:v>2.3807020389615263</c:v>
                </c:pt>
                <c:pt idx="2">
                  <c:v>2.7698284824342028</c:v>
                </c:pt>
                <c:pt idx="3">
                  <c:v>2.6725468715660337</c:v>
                </c:pt>
                <c:pt idx="4">
                  <c:v>3.158954925906879</c:v>
                </c:pt>
                <c:pt idx="5">
                  <c:v>3.4507997585113865</c:v>
                </c:pt>
                <c:pt idx="6">
                  <c:v>3.2951491811223157</c:v>
                </c:pt>
                <c:pt idx="7">
                  <c:v>3.246508375688231</c:v>
                </c:pt>
                <c:pt idx="8">
                  <c:v>4.034489423720401</c:v>
                </c:pt>
                <c:pt idx="9">
                  <c:v>4.715460699797584</c:v>
                </c:pt>
                <c:pt idx="10">
                  <c:v>5.01738733312178</c:v>
                </c:pt>
                <c:pt idx="11">
                  <c:v>5.644299316256427</c:v>
                </c:pt>
                <c:pt idx="12">
                  <c:v>5.244506701634106</c:v>
                </c:pt>
                <c:pt idx="13">
                  <c:v>5.644299316256427</c:v>
                </c:pt>
                <c:pt idx="14">
                  <c:v>5.644299316256427</c:v>
                </c:pt>
                <c:pt idx="15">
                  <c:v>6.144040084534327</c:v>
                </c:pt>
                <c:pt idx="16">
                  <c:v>6.5438326991566464</c:v>
                </c:pt>
                <c:pt idx="17">
                  <c:v>6.643780852812227</c:v>
                </c:pt>
                <c:pt idx="18">
                  <c:v>7.243469774745706</c:v>
                </c:pt>
                <c:pt idx="19">
                  <c:v>6.643780852812227</c:v>
                </c:pt>
                <c:pt idx="20">
                  <c:v>7.343417928401286</c:v>
                </c:pt>
                <c:pt idx="21">
                  <c:v>7.143521621090127</c:v>
                </c:pt>
                <c:pt idx="22">
                  <c:v>7.243469774745706</c:v>
                </c:pt>
              </c:numCache>
            </c:numRef>
          </c:val>
          <c:smooth val="0"/>
        </c:ser>
        <c:marker val="1"/>
        <c:axId val="63428964"/>
        <c:axId val="33989765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LinInterp!$A$9:$A$31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LinInterp!$B$9:$B$31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7472430"/>
        <c:axId val="1707551"/>
      </c:lineChart>
      <c:catAx>
        <c:axId val="63428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89765"/>
        <c:crosses val="autoZero"/>
        <c:auto val="1"/>
        <c:lblOffset val="100"/>
        <c:noMultiLvlLbl val="0"/>
      </c:catAx>
      <c:valAx>
        <c:axId val="33989765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(t C ha</a:t>
                </a:r>
                <a:r>
                  <a:rPr lang="en-US" cap="none" sz="1600" b="1" i="0" u="none" baseline="3000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)  </a:t>
                </a: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28964"/>
        <c:crossesAt val="1"/>
        <c:crossBetween val="between"/>
        <c:dispUnits/>
      </c:valAx>
      <c:catAx>
        <c:axId val="37472430"/>
        <c:scaling>
          <c:orientation val="minMax"/>
        </c:scaling>
        <c:axPos val="b"/>
        <c:delete val="1"/>
        <c:majorTickMark val="in"/>
        <c:minorTickMark val="none"/>
        <c:tickLblPos val="nextTo"/>
        <c:crossAx val="1707551"/>
        <c:crosses val="autoZero"/>
        <c:auto val="1"/>
        <c:lblOffset val="100"/>
        <c:noMultiLvlLbl val="0"/>
      </c:catAx>
      <c:valAx>
        <c:axId val="1707551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72430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625"/>
          <c:w val="0.898"/>
          <c:h val="0.9472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LinInterp!$K$9:$K$33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dead wood stock lin. interpol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LinInterp!$C$9:$C$33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dead wood lin. Zunahme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LinInterp!$B$38:$B$62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5367960"/>
        <c:axId val="4093913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6845218"/>
        <c:axId val="63171507"/>
      </c:lineChart>
      <c:catAx>
        <c:axId val="15367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093913"/>
        <c:crosses val="autoZero"/>
        <c:auto val="1"/>
        <c:lblOffset val="100"/>
        <c:noMultiLvlLbl val="0"/>
      </c:catAx>
      <c:valAx>
        <c:axId val="409391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(1000 t C)  </a:t>
                </a:r>
                <a:r>
                  <a:rPr lang="en-US" cap="none" sz="17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367960"/>
        <c:crossesAt val="1"/>
        <c:crossBetween val="between"/>
        <c:dispUnits/>
      </c:valAx>
      <c:catAx>
        <c:axId val="36845218"/>
        <c:scaling>
          <c:orientation val="minMax"/>
        </c:scaling>
        <c:axPos val="b"/>
        <c:delete val="1"/>
        <c:majorTickMark val="in"/>
        <c:minorTickMark val="none"/>
        <c:tickLblPos val="nextTo"/>
        <c:crossAx val="63171507"/>
        <c:crosses val="autoZero"/>
        <c:auto val="1"/>
        <c:lblOffset val="100"/>
        <c:noMultiLvlLbl val="0"/>
      </c:catAx>
      <c:valAx>
        <c:axId val="6317150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845218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65"/>
          <c:w val="0.866"/>
          <c:h val="0.9472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LinInterp!$G$8</c:f>
              <c:strCache>
                <c:ptCount val="1"/>
                <c:pt idx="0">
                  <c:v>dead wood stock t C/ha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LinInterp!$L$9:$L$33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dead wood stock lin. interpol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LinInterp!$E$9:$E$33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dead wood lin. Zunahme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LinInterp!$C$38:$C$62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1672652"/>
        <c:axId val="16618413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LinInterp!$J$9:$J$33</c:f>
              <c:strCache/>
            </c:strRef>
          </c:cat>
          <c:val>
            <c:numRef>
              <c:f>LinInterp!$B$9:$B$33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5347990"/>
        <c:axId val="3914183"/>
      </c:lineChart>
      <c:catAx>
        <c:axId val="3167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18413"/>
        <c:crosses val="autoZero"/>
        <c:auto val="1"/>
        <c:lblOffset val="100"/>
        <c:noMultiLvlLbl val="0"/>
      </c:catAx>
      <c:valAx>
        <c:axId val="1661841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(Mio t C)  </a:t>
                </a:r>
                <a:r>
                  <a:rPr lang="en-US" cap="none" sz="16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72652"/>
        <c:crossesAt val="1"/>
        <c:crossBetween val="between"/>
        <c:dispUnits/>
        <c:majorUnit val="2"/>
        <c:minorUnit val="0.2"/>
      </c:valAx>
      <c:catAx>
        <c:axId val="15347990"/>
        <c:scaling>
          <c:orientation val="minMax"/>
        </c:scaling>
        <c:axPos val="b"/>
        <c:delete val="1"/>
        <c:majorTickMark val="in"/>
        <c:minorTickMark val="none"/>
        <c:tickLblPos val="nextTo"/>
        <c:crossAx val="3914183"/>
        <c:crosses val="autoZero"/>
        <c:auto val="1"/>
        <c:lblOffset val="100"/>
        <c:noMultiLvlLbl val="0"/>
      </c:catAx>
      <c:valAx>
        <c:axId val="391418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47990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38</xdr:row>
      <xdr:rowOff>0</xdr:rowOff>
    </xdr:from>
    <xdr:to>
      <xdr:col>7</xdr:col>
      <xdr:colOff>542925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3505200" y="6477000"/>
        <a:ext cx="8315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285750</xdr:colOff>
      <xdr:row>0</xdr:row>
      <xdr:rowOff>19050</xdr:rowOff>
    </xdr:from>
    <xdr:to>
      <xdr:col>25</xdr:col>
      <xdr:colOff>371475</xdr:colOff>
      <xdr:row>16</xdr:row>
      <xdr:rowOff>28575</xdr:rowOff>
    </xdr:to>
    <xdr:graphicFrame>
      <xdr:nvGraphicFramePr>
        <xdr:cNvPr id="1" name="Chart 2"/>
        <xdr:cNvGraphicFramePr/>
      </xdr:nvGraphicFramePr>
      <xdr:xfrm>
        <a:off x="15630525" y="19050"/>
        <a:ext cx="5572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390525</xdr:colOff>
      <xdr:row>7</xdr:row>
      <xdr:rowOff>152400</xdr:rowOff>
    </xdr:from>
    <xdr:to>
      <xdr:col>29</xdr:col>
      <xdr:colOff>190500</xdr:colOff>
      <xdr:row>26</xdr:row>
      <xdr:rowOff>142875</xdr:rowOff>
    </xdr:to>
    <xdr:graphicFrame>
      <xdr:nvGraphicFramePr>
        <xdr:cNvPr id="2" name="Chart 3"/>
        <xdr:cNvGraphicFramePr/>
      </xdr:nvGraphicFramePr>
      <xdr:xfrm>
        <a:off x="15735300" y="1285875"/>
        <a:ext cx="77247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37</xdr:row>
      <xdr:rowOff>9525</xdr:rowOff>
    </xdr:from>
    <xdr:to>
      <xdr:col>19</xdr:col>
      <xdr:colOff>381000</xdr:colOff>
      <xdr:row>59</xdr:row>
      <xdr:rowOff>114300</xdr:rowOff>
    </xdr:to>
    <xdr:graphicFrame>
      <xdr:nvGraphicFramePr>
        <xdr:cNvPr id="3" name="Chart 5"/>
        <xdr:cNvGraphicFramePr/>
      </xdr:nvGraphicFramePr>
      <xdr:xfrm>
        <a:off x="6772275" y="6648450"/>
        <a:ext cx="10782300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58</xdr:col>
      <xdr:colOff>0</xdr:colOff>
      <xdr:row>1</xdr:row>
      <xdr:rowOff>38100</xdr:rowOff>
    </xdr:from>
    <xdr:to>
      <xdr:col>71</xdr:col>
      <xdr:colOff>171450</xdr:colOff>
      <xdr:row>17</xdr:row>
      <xdr:rowOff>28575</xdr:rowOff>
    </xdr:to>
    <xdr:graphicFrame>
      <xdr:nvGraphicFramePr>
        <xdr:cNvPr id="4" name="Chart 7"/>
        <xdr:cNvGraphicFramePr/>
      </xdr:nvGraphicFramePr>
      <xdr:xfrm>
        <a:off x="40947975" y="200025"/>
        <a:ext cx="80962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504825</xdr:colOff>
      <xdr:row>0</xdr:row>
      <xdr:rowOff>28575</xdr:rowOff>
    </xdr:from>
    <xdr:to>
      <xdr:col>43</xdr:col>
      <xdr:colOff>76200</xdr:colOff>
      <xdr:row>21</xdr:row>
      <xdr:rowOff>133350</xdr:rowOff>
    </xdr:to>
    <xdr:graphicFrame>
      <xdr:nvGraphicFramePr>
        <xdr:cNvPr id="5" name="Chart 8"/>
        <xdr:cNvGraphicFramePr/>
      </xdr:nvGraphicFramePr>
      <xdr:xfrm>
        <a:off x="23774400" y="28575"/>
        <a:ext cx="8105775" cy="4152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0</xdr:colOff>
      <xdr:row>0</xdr:row>
      <xdr:rowOff>0</xdr:rowOff>
    </xdr:from>
    <xdr:to>
      <xdr:col>57</xdr:col>
      <xdr:colOff>190500</xdr:colOff>
      <xdr:row>21</xdr:row>
      <xdr:rowOff>114300</xdr:rowOff>
    </xdr:to>
    <xdr:graphicFrame>
      <xdr:nvGraphicFramePr>
        <xdr:cNvPr id="6" name="Chart 11"/>
        <xdr:cNvGraphicFramePr/>
      </xdr:nvGraphicFramePr>
      <xdr:xfrm>
        <a:off x="32413575" y="0"/>
        <a:ext cx="8115300" cy="4162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9</xdr:col>
      <xdr:colOff>361950</xdr:colOff>
      <xdr:row>193</xdr:row>
      <xdr:rowOff>0</xdr:rowOff>
    </xdr:to>
    <xdr:graphicFrame>
      <xdr:nvGraphicFramePr>
        <xdr:cNvPr id="7" name="Chart 13"/>
        <xdr:cNvGraphicFramePr/>
      </xdr:nvGraphicFramePr>
      <xdr:xfrm>
        <a:off x="0" y="28203525"/>
        <a:ext cx="11439525" cy="3695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9525</xdr:colOff>
      <xdr:row>173</xdr:row>
      <xdr:rowOff>76200</xdr:rowOff>
    </xdr:from>
    <xdr:to>
      <xdr:col>23</xdr:col>
      <xdr:colOff>285750</xdr:colOff>
      <xdr:row>196</xdr:row>
      <xdr:rowOff>57150</xdr:rowOff>
    </xdr:to>
    <xdr:graphicFrame>
      <xdr:nvGraphicFramePr>
        <xdr:cNvPr id="8" name="Chart 23"/>
        <xdr:cNvGraphicFramePr/>
      </xdr:nvGraphicFramePr>
      <xdr:xfrm>
        <a:off x="11696700" y="28736925"/>
        <a:ext cx="8201025" cy="3705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70</xdr:row>
      <xdr:rowOff>47625</xdr:rowOff>
    </xdr:from>
    <xdr:to>
      <xdr:col>6</xdr:col>
      <xdr:colOff>1304925</xdr:colOff>
      <xdr:row>88</xdr:row>
      <xdr:rowOff>123825</xdr:rowOff>
    </xdr:to>
    <xdr:graphicFrame>
      <xdr:nvGraphicFramePr>
        <xdr:cNvPr id="9" name="Chart 29"/>
        <xdr:cNvGraphicFramePr/>
      </xdr:nvGraphicFramePr>
      <xdr:xfrm>
        <a:off x="47625" y="12030075"/>
        <a:ext cx="7934325" cy="2990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1219200</xdr:colOff>
      <xdr:row>94</xdr:row>
      <xdr:rowOff>66675</xdr:rowOff>
    </xdr:from>
    <xdr:to>
      <xdr:col>16</xdr:col>
      <xdr:colOff>9525</xdr:colOff>
      <xdr:row>112</xdr:row>
      <xdr:rowOff>142875</xdr:rowOff>
    </xdr:to>
    <xdr:graphicFrame>
      <xdr:nvGraphicFramePr>
        <xdr:cNvPr id="10" name="Chart 31"/>
        <xdr:cNvGraphicFramePr/>
      </xdr:nvGraphicFramePr>
      <xdr:xfrm>
        <a:off x="7896225" y="15935325"/>
        <a:ext cx="7458075" cy="2990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323850</xdr:colOff>
      <xdr:row>94</xdr:row>
      <xdr:rowOff>142875</xdr:rowOff>
    </xdr:from>
    <xdr:to>
      <xdr:col>6</xdr:col>
      <xdr:colOff>828675</xdr:colOff>
      <xdr:row>118</xdr:row>
      <xdr:rowOff>85725</xdr:rowOff>
    </xdr:to>
    <xdr:graphicFrame>
      <xdr:nvGraphicFramePr>
        <xdr:cNvPr id="11" name="Chart 32"/>
        <xdr:cNvGraphicFramePr/>
      </xdr:nvGraphicFramePr>
      <xdr:xfrm>
        <a:off x="323850" y="16011525"/>
        <a:ext cx="718185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9</xdr:col>
      <xdr:colOff>371475</xdr:colOff>
      <xdr:row>168</xdr:row>
      <xdr:rowOff>142875</xdr:rowOff>
    </xdr:to>
    <xdr:graphicFrame>
      <xdr:nvGraphicFramePr>
        <xdr:cNvPr id="12" name="Chart 33"/>
        <xdr:cNvGraphicFramePr/>
      </xdr:nvGraphicFramePr>
      <xdr:xfrm>
        <a:off x="0" y="24288750"/>
        <a:ext cx="11449050" cy="3705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9</xdr:col>
      <xdr:colOff>381000</xdr:colOff>
      <xdr:row>144</xdr:row>
      <xdr:rowOff>152400</xdr:rowOff>
    </xdr:to>
    <xdr:graphicFrame>
      <xdr:nvGraphicFramePr>
        <xdr:cNvPr id="13" name="Chart 34"/>
        <xdr:cNvGraphicFramePr/>
      </xdr:nvGraphicFramePr>
      <xdr:xfrm>
        <a:off x="0" y="20402550"/>
        <a:ext cx="11458575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23</xdr:col>
      <xdr:colOff>285750</xdr:colOff>
      <xdr:row>170</xdr:row>
      <xdr:rowOff>152400</xdr:rowOff>
    </xdr:to>
    <xdr:graphicFrame>
      <xdr:nvGraphicFramePr>
        <xdr:cNvPr id="14" name="Chart 35"/>
        <xdr:cNvGraphicFramePr/>
      </xdr:nvGraphicFramePr>
      <xdr:xfrm>
        <a:off x="11687175" y="24612600"/>
        <a:ext cx="8210550" cy="37147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0</xdr:colOff>
      <xdr:row>122</xdr:row>
      <xdr:rowOff>0</xdr:rowOff>
    </xdr:from>
    <xdr:to>
      <xdr:col>23</xdr:col>
      <xdr:colOff>295275</xdr:colOff>
      <xdr:row>145</xdr:row>
      <xdr:rowOff>0</xdr:rowOff>
    </xdr:to>
    <xdr:graphicFrame>
      <xdr:nvGraphicFramePr>
        <xdr:cNvPr id="15" name="Chart 36"/>
        <xdr:cNvGraphicFramePr/>
      </xdr:nvGraphicFramePr>
      <xdr:xfrm>
        <a:off x="11687175" y="20402550"/>
        <a:ext cx="8220075" cy="3724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70</xdr:row>
      <xdr:rowOff>0</xdr:rowOff>
    </xdr:from>
    <xdr:to>
      <xdr:col>17</xdr:col>
      <xdr:colOff>266700</xdr:colOff>
      <xdr:row>88</xdr:row>
      <xdr:rowOff>85725</xdr:rowOff>
    </xdr:to>
    <xdr:graphicFrame>
      <xdr:nvGraphicFramePr>
        <xdr:cNvPr id="16" name="Chart 37"/>
        <xdr:cNvGraphicFramePr/>
      </xdr:nvGraphicFramePr>
      <xdr:xfrm>
        <a:off x="8277225" y="11982450"/>
        <a:ext cx="7943850" cy="3000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114300</xdr:rowOff>
    </xdr:from>
    <xdr:to>
      <xdr:col>12</xdr:col>
      <xdr:colOff>85725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981075" y="762000"/>
        <a:ext cx="89535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514350</xdr:colOff>
      <xdr:row>4</xdr:row>
      <xdr:rowOff>133350</xdr:rowOff>
    </xdr:from>
    <xdr:to>
      <xdr:col>22</xdr:col>
      <xdr:colOff>123825</xdr:colOff>
      <xdr:row>25</xdr:row>
      <xdr:rowOff>0</xdr:rowOff>
    </xdr:to>
    <xdr:graphicFrame>
      <xdr:nvGraphicFramePr>
        <xdr:cNvPr id="2" name="Chart 3"/>
        <xdr:cNvGraphicFramePr/>
      </xdr:nvGraphicFramePr>
      <xdr:xfrm>
        <a:off x="10363200" y="781050"/>
        <a:ext cx="72294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80792558\Local%20Settings\Temporary%20Internet%20Files\Content.IE5\23S0OMQC\FOEN-2008f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uncertainty"/>
      <sheetName val="SanasilvaData"/>
      <sheetName val="LinInterp"/>
      <sheetName val="yearly dead wood stock"/>
      <sheetName val="GR_dead wood stock"/>
    </sheetNames>
    <sheetDataSet>
      <sheetData sheetId="2">
        <row r="30">
          <cell r="E30">
            <v>37.6826336060105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23.28125" style="0" customWidth="1"/>
    <col min="2" max="2" width="63.28125" style="0" bestFit="1" customWidth="1"/>
  </cols>
  <sheetData>
    <row r="1" ht="12.75">
      <c r="A1" t="s">
        <v>156</v>
      </c>
    </row>
    <row r="3" s="3" customFormat="1" ht="12.75">
      <c r="A3" s="62" t="s">
        <v>157</v>
      </c>
    </row>
    <row r="4" ht="12.75">
      <c r="A4" s="92" t="s">
        <v>135</v>
      </c>
    </row>
    <row r="5" ht="12.75">
      <c r="A5" s="31" t="s">
        <v>136</v>
      </c>
    </row>
    <row r="6" ht="12.75">
      <c r="A6" s="92" t="s">
        <v>137</v>
      </c>
    </row>
    <row r="7" ht="12.75">
      <c r="A7" s="31" t="s">
        <v>138</v>
      </c>
    </row>
    <row r="8" ht="12.75">
      <c r="A8" s="92" t="s">
        <v>139</v>
      </c>
    </row>
    <row r="11" spans="1:2" s="62" customFormat="1" ht="12.75">
      <c r="A11" s="62" t="s">
        <v>70</v>
      </c>
      <c r="B11" s="62" t="s">
        <v>71</v>
      </c>
    </row>
    <row r="12" spans="1:2" ht="12.75">
      <c r="A12" t="s">
        <v>140</v>
      </c>
      <c r="B12" t="s">
        <v>72</v>
      </c>
    </row>
    <row r="13" spans="1:2" ht="12.75">
      <c r="A13" t="s">
        <v>141</v>
      </c>
      <c r="B13" t="s">
        <v>142</v>
      </c>
    </row>
    <row r="14" spans="1:2" ht="12.75">
      <c r="A14" t="s">
        <v>73</v>
      </c>
      <c r="B14" t="s">
        <v>143</v>
      </c>
    </row>
    <row r="15" spans="1:2" ht="12.75">
      <c r="A15" t="s">
        <v>144</v>
      </c>
      <c r="B15" t="s">
        <v>145</v>
      </c>
    </row>
    <row r="16" spans="1:2" ht="12.75">
      <c r="A16" t="s">
        <v>146</v>
      </c>
      <c r="B16" t="s">
        <v>147</v>
      </c>
    </row>
    <row r="17" spans="1:2" ht="12.75">
      <c r="A17" t="s">
        <v>159</v>
      </c>
      <c r="B17" t="s">
        <v>160</v>
      </c>
    </row>
    <row r="19" ht="11.25" customHeight="1"/>
    <row r="20" ht="12.75">
      <c r="A20" s="125"/>
    </row>
    <row r="21" ht="12.75">
      <c r="A21" s="92"/>
    </row>
    <row r="22" ht="12.75">
      <c r="A22" s="92"/>
    </row>
    <row r="31" ht="12.75">
      <c r="A31" s="92"/>
    </row>
    <row r="32" ht="12.75">
      <c r="A32" s="9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:IV2"/>
    </sheetView>
  </sheetViews>
  <sheetFormatPr defaultColWidth="11.421875" defaultRowHeight="12.75"/>
  <cols>
    <col min="1" max="1" width="110.8515625" style="0" customWidth="1"/>
    <col min="2" max="2" width="19.7109375" style="77" customWidth="1"/>
  </cols>
  <sheetData>
    <row r="1" ht="18">
      <c r="A1" s="69" t="s">
        <v>148</v>
      </c>
    </row>
    <row r="3" spans="1:2" ht="15.75">
      <c r="A3" s="76" t="s">
        <v>149</v>
      </c>
      <c r="B3" s="78" t="s">
        <v>53</v>
      </c>
    </row>
    <row r="4" spans="1:2" ht="15.75">
      <c r="A4" s="73" t="s">
        <v>150</v>
      </c>
      <c r="B4" s="79">
        <f>'[1]SanasilvaData'!E30</f>
        <v>37.6826336060105</v>
      </c>
    </row>
    <row r="5" ht="15.75">
      <c r="A5" s="70"/>
    </row>
    <row r="6" ht="15.75">
      <c r="A6" s="72" t="s">
        <v>151</v>
      </c>
    </row>
    <row r="7" spans="1:2" ht="63">
      <c r="A7" s="74" t="s">
        <v>152</v>
      </c>
      <c r="B7" s="80">
        <v>0.12</v>
      </c>
    </row>
    <row r="8" ht="15.75">
      <c r="A8" s="70"/>
    </row>
    <row r="9" spans="1:2" ht="39" customHeight="1">
      <c r="A9" s="75" t="s">
        <v>153</v>
      </c>
      <c r="B9" s="77" t="s">
        <v>52</v>
      </c>
    </row>
    <row r="10" ht="15.75">
      <c r="A10" s="70"/>
    </row>
    <row r="11" ht="18.75">
      <c r="A11" s="71" t="s">
        <v>154</v>
      </c>
    </row>
    <row r="12" ht="18.75">
      <c r="A12" s="71" t="s">
        <v>155</v>
      </c>
    </row>
    <row r="14" spans="1:2" ht="15.75">
      <c r="A14" s="75" t="s">
        <v>81</v>
      </c>
      <c r="B14" s="80">
        <v>0.3</v>
      </c>
    </row>
    <row r="16" ht="12.75">
      <c r="B16" s="81">
        <f>SQRT(37.7^2+12^2+30^2)</f>
        <v>49.65168677900077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6"/>
  <sheetViews>
    <sheetView workbookViewId="0" topLeftCell="A1">
      <selection activeCell="A3" sqref="A3"/>
    </sheetView>
  </sheetViews>
  <sheetFormatPr defaultColWidth="11.421875" defaultRowHeight="12.75"/>
  <cols>
    <col min="1" max="1" width="19.421875" style="0" customWidth="1"/>
    <col min="2" max="2" width="21.8515625" style="0" customWidth="1"/>
    <col min="3" max="3" width="31.57421875" style="0" customWidth="1"/>
    <col min="4" max="4" width="21.00390625" style="0" customWidth="1"/>
    <col min="5" max="5" width="33.421875" style="0" customWidth="1"/>
    <col min="6" max="6" width="22.140625" style="0" customWidth="1"/>
    <col min="7" max="7" width="19.7109375" style="0" customWidth="1"/>
  </cols>
  <sheetData>
    <row r="1" s="3" customFormat="1" ht="12.75">
      <c r="A1" s="2" t="s">
        <v>87</v>
      </c>
    </row>
    <row r="2" s="37" customFormat="1" ht="12.75">
      <c r="A2" s="93" t="s">
        <v>158</v>
      </c>
    </row>
    <row r="3" s="37" customFormat="1" ht="12.75">
      <c r="A3" s="93" t="s">
        <v>86</v>
      </c>
    </row>
    <row r="4" s="37" customFormat="1" ht="12.75">
      <c r="A4" s="93" t="s">
        <v>82</v>
      </c>
    </row>
    <row r="5" s="37" customFormat="1" ht="12.75">
      <c r="A5" s="93" t="s">
        <v>83</v>
      </c>
    </row>
    <row r="6" ht="12.75">
      <c r="A6" t="s">
        <v>0</v>
      </c>
    </row>
    <row r="7" spans="3:5" ht="12.75">
      <c r="C7" t="s">
        <v>1</v>
      </c>
      <c r="E7" t="s">
        <v>2</v>
      </c>
    </row>
    <row r="8" spans="1:6" ht="12.75">
      <c r="A8" t="s">
        <v>3</v>
      </c>
      <c r="B8" t="s">
        <v>4</v>
      </c>
      <c r="C8" t="s">
        <v>5</v>
      </c>
      <c r="D8" t="s">
        <v>6</v>
      </c>
      <c r="E8" t="s">
        <v>5</v>
      </c>
      <c r="F8" t="s">
        <v>6</v>
      </c>
    </row>
    <row r="9" spans="1:4" ht="12.75">
      <c r="A9">
        <v>1985</v>
      </c>
      <c r="B9">
        <v>678</v>
      </c>
      <c r="C9">
        <v>2.1</v>
      </c>
      <c r="D9">
        <v>0.5</v>
      </c>
    </row>
    <row r="10" spans="1:4" ht="12.75">
      <c r="A10">
        <v>86</v>
      </c>
      <c r="B10">
        <v>682</v>
      </c>
      <c r="C10">
        <v>1.5</v>
      </c>
      <c r="D10">
        <v>0.4</v>
      </c>
    </row>
    <row r="11" spans="1:4" ht="12.75">
      <c r="A11">
        <f aca="true" t="shared" si="0" ref="A11:A26">A10+1</f>
        <v>87</v>
      </c>
      <c r="B11">
        <v>679</v>
      </c>
      <c r="C11">
        <v>1.9</v>
      </c>
      <c r="D11">
        <v>0.5</v>
      </c>
    </row>
    <row r="12" spans="1:4" ht="12.75">
      <c r="A12">
        <f t="shared" si="0"/>
        <v>88</v>
      </c>
      <c r="B12">
        <v>682</v>
      </c>
      <c r="C12">
        <v>1.8</v>
      </c>
      <c r="D12">
        <v>0.5</v>
      </c>
    </row>
    <row r="13" spans="1:4" ht="12.75">
      <c r="A13">
        <f t="shared" si="0"/>
        <v>89</v>
      </c>
      <c r="B13">
        <v>684</v>
      </c>
      <c r="C13">
        <v>2.3</v>
      </c>
      <c r="D13">
        <v>0.5</v>
      </c>
    </row>
    <row r="14" spans="1:7" ht="12.75">
      <c r="A14">
        <f t="shared" si="0"/>
        <v>90</v>
      </c>
      <c r="B14">
        <v>777</v>
      </c>
      <c r="C14">
        <v>2.6</v>
      </c>
      <c r="D14">
        <v>0.6</v>
      </c>
      <c r="G14" s="68" t="s">
        <v>51</v>
      </c>
    </row>
    <row r="15" spans="1:7" ht="12.75">
      <c r="A15">
        <f t="shared" si="0"/>
        <v>91</v>
      </c>
      <c r="B15">
        <v>680</v>
      </c>
      <c r="C15">
        <v>2.44</v>
      </c>
      <c r="D15">
        <v>0.5</v>
      </c>
      <c r="G15" s="67">
        <f>D15/C15*100</f>
        <v>20.491803278688526</v>
      </c>
    </row>
    <row r="16" spans="1:8" ht="12.75">
      <c r="A16">
        <f t="shared" si="0"/>
        <v>92</v>
      </c>
      <c r="B16">
        <v>678</v>
      </c>
      <c r="C16">
        <v>2.39</v>
      </c>
      <c r="D16">
        <v>0.5</v>
      </c>
      <c r="G16" s="67">
        <f>D16/C16*100</f>
        <v>20.920502092050206</v>
      </c>
      <c r="H16" t="s">
        <v>7</v>
      </c>
    </row>
    <row r="17" spans="1:7" ht="12.75">
      <c r="A17">
        <f t="shared" si="0"/>
        <v>93</v>
      </c>
      <c r="B17">
        <v>44</v>
      </c>
      <c r="E17">
        <v>3.2</v>
      </c>
      <c r="F17">
        <v>2</v>
      </c>
      <c r="G17" s="67">
        <f>F17/E17*100</f>
        <v>62.5</v>
      </c>
    </row>
    <row r="18" spans="1:7" ht="12.75">
      <c r="A18">
        <f t="shared" si="0"/>
        <v>94</v>
      </c>
      <c r="B18">
        <v>44</v>
      </c>
      <c r="E18">
        <v>3.9</v>
      </c>
      <c r="F18">
        <v>2.2</v>
      </c>
      <c r="G18" s="67">
        <f aca="true" t="shared" si="1" ref="G18:G33">F18/E18*100</f>
        <v>56.41025641025642</v>
      </c>
    </row>
    <row r="19" spans="1:8" ht="12.75">
      <c r="A19">
        <f t="shared" si="0"/>
        <v>95</v>
      </c>
      <c r="B19">
        <v>46</v>
      </c>
      <c r="E19">
        <v>4.1</v>
      </c>
      <c r="F19">
        <v>2</v>
      </c>
      <c r="G19" s="67">
        <f t="shared" si="1"/>
        <v>48.78048780487806</v>
      </c>
      <c r="H19">
        <f>AVERAGE(E17:E19)</f>
        <v>3.733333333333333</v>
      </c>
    </row>
    <row r="20" spans="1:7" ht="12.75">
      <c r="A20">
        <f t="shared" si="0"/>
        <v>96</v>
      </c>
      <c r="B20">
        <v>48</v>
      </c>
      <c r="E20">
        <v>4.7</v>
      </c>
      <c r="F20">
        <v>2</v>
      </c>
      <c r="G20" s="67">
        <f t="shared" si="1"/>
        <v>42.5531914893617</v>
      </c>
    </row>
    <row r="21" spans="1:7" ht="12.75">
      <c r="A21">
        <f t="shared" si="0"/>
        <v>97</v>
      </c>
      <c r="B21">
        <v>48</v>
      </c>
      <c r="E21">
        <v>4.3</v>
      </c>
      <c r="F21">
        <v>1.9</v>
      </c>
      <c r="G21" s="67">
        <f t="shared" si="1"/>
        <v>44.18604651162791</v>
      </c>
    </row>
    <row r="22" spans="1:7" ht="12.75">
      <c r="A22">
        <f t="shared" si="0"/>
        <v>98</v>
      </c>
      <c r="B22">
        <v>48</v>
      </c>
      <c r="E22">
        <v>4.7</v>
      </c>
      <c r="F22">
        <v>1.9</v>
      </c>
      <c r="G22" s="67">
        <f t="shared" si="1"/>
        <v>40.42553191489361</v>
      </c>
    </row>
    <row r="23" spans="1:7" ht="12.75">
      <c r="A23">
        <f t="shared" si="0"/>
        <v>99</v>
      </c>
      <c r="B23">
        <v>48</v>
      </c>
      <c r="E23">
        <v>4.7</v>
      </c>
      <c r="F23">
        <v>1.9</v>
      </c>
      <c r="G23" s="67">
        <f t="shared" si="1"/>
        <v>40.42553191489361</v>
      </c>
    </row>
    <row r="24" spans="1:7" ht="12.75">
      <c r="A24">
        <v>2000</v>
      </c>
      <c r="B24">
        <v>48</v>
      </c>
      <c r="E24">
        <v>5.2</v>
      </c>
      <c r="F24">
        <v>2</v>
      </c>
      <c r="G24" s="67">
        <f t="shared" si="1"/>
        <v>38.46153846153846</v>
      </c>
    </row>
    <row r="25" spans="1:7" ht="12.75">
      <c r="A25">
        <f t="shared" si="0"/>
        <v>2001</v>
      </c>
      <c r="B25">
        <v>48</v>
      </c>
      <c r="E25">
        <v>5.6</v>
      </c>
      <c r="F25">
        <v>1.8</v>
      </c>
      <c r="G25" s="67">
        <f t="shared" si="1"/>
        <v>32.142857142857146</v>
      </c>
    </row>
    <row r="26" spans="1:7" ht="12.75">
      <c r="A26">
        <f t="shared" si="0"/>
        <v>2002</v>
      </c>
      <c r="B26">
        <v>48</v>
      </c>
      <c r="E26">
        <v>5.7</v>
      </c>
      <c r="F26">
        <v>1.8</v>
      </c>
      <c r="G26" s="67">
        <f t="shared" si="1"/>
        <v>31.57894736842105</v>
      </c>
    </row>
    <row r="27" spans="1:7" ht="12.75">
      <c r="A27">
        <f>A26+1</f>
        <v>2003</v>
      </c>
      <c r="B27">
        <v>48</v>
      </c>
      <c r="E27">
        <v>6.3</v>
      </c>
      <c r="F27">
        <v>2.4</v>
      </c>
      <c r="G27" s="67">
        <f t="shared" si="1"/>
        <v>38.095238095238095</v>
      </c>
    </row>
    <row r="28" spans="1:8" ht="12.75">
      <c r="A28">
        <v>2004</v>
      </c>
      <c r="B28">
        <v>48</v>
      </c>
      <c r="E28">
        <v>5.7</v>
      </c>
      <c r="F28">
        <v>1.8</v>
      </c>
      <c r="G28" s="67">
        <f t="shared" si="1"/>
        <v>31.57894736842105</v>
      </c>
      <c r="H28" s="4"/>
    </row>
    <row r="29" spans="1:7" ht="12.75">
      <c r="A29">
        <v>2005</v>
      </c>
      <c r="B29">
        <v>48</v>
      </c>
      <c r="E29">
        <v>6.4</v>
      </c>
      <c r="F29">
        <v>2</v>
      </c>
      <c r="G29" s="67">
        <f t="shared" si="1"/>
        <v>31.25</v>
      </c>
    </row>
    <row r="30" spans="1:9" ht="12.75">
      <c r="A30">
        <v>2006</v>
      </c>
      <c r="B30">
        <v>48</v>
      </c>
      <c r="E30">
        <v>6.2</v>
      </c>
      <c r="F30">
        <v>1.9</v>
      </c>
      <c r="G30" s="67">
        <f t="shared" si="1"/>
        <v>30.645161290322577</v>
      </c>
      <c r="H30">
        <f>AVERAGE(E28:E265)</f>
        <v>6.3999999999999995</v>
      </c>
      <c r="I30">
        <f>(H30-H19)*100/H19</f>
        <v>71.42857142857143</v>
      </c>
    </row>
    <row r="31" spans="1:7" ht="12.75">
      <c r="A31">
        <v>2007</v>
      </c>
      <c r="B31">
        <v>48</v>
      </c>
      <c r="E31">
        <v>6.3</v>
      </c>
      <c r="F31">
        <v>1.9</v>
      </c>
      <c r="G31" s="67">
        <f t="shared" si="1"/>
        <v>30.158730158730158</v>
      </c>
    </row>
    <row r="32" spans="1:7" ht="12.75">
      <c r="A32">
        <v>2008</v>
      </c>
      <c r="B32">
        <v>48</v>
      </c>
      <c r="E32">
        <v>7</v>
      </c>
      <c r="F32">
        <v>2.1</v>
      </c>
      <c r="G32" s="67">
        <f t="shared" si="1"/>
        <v>30</v>
      </c>
    </row>
    <row r="33" spans="1:7" ht="12.75">
      <c r="A33">
        <v>2009</v>
      </c>
      <c r="B33">
        <v>48</v>
      </c>
      <c r="E33">
        <v>6.8</v>
      </c>
      <c r="F33">
        <v>2.1</v>
      </c>
      <c r="G33" s="67">
        <f t="shared" si="1"/>
        <v>30.88235294117647</v>
      </c>
    </row>
    <row r="34" ht="12.75">
      <c r="G34" s="68">
        <f>AVERAGE(G15:G33)</f>
        <v>36.92037496017658</v>
      </c>
    </row>
    <row r="35" ht="12.75">
      <c r="G35" s="68"/>
    </row>
    <row r="37" spans="1:4" s="3" customFormat="1" ht="12.75">
      <c r="A37" s="2" t="s">
        <v>8</v>
      </c>
      <c r="B37" s="2"/>
      <c r="C37" s="2"/>
      <c r="D37" s="2"/>
    </row>
    <row r="38" spans="1:35" ht="38.25">
      <c r="A38" s="5" t="s">
        <v>3</v>
      </c>
      <c r="B38" s="11" t="s">
        <v>9</v>
      </c>
      <c r="C38" s="13"/>
      <c r="D38" s="14"/>
      <c r="E38" s="13"/>
      <c r="F38" s="8"/>
      <c r="G38" s="1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ht="12.75">
      <c r="A39" s="15">
        <v>85</v>
      </c>
      <c r="B39" s="16">
        <v>2.1</v>
      </c>
      <c r="C39" s="1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ht="12.75">
      <c r="A40" s="6">
        <v>86</v>
      </c>
      <c r="B40" s="12">
        <v>1.5</v>
      </c>
      <c r="C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ht="12.75">
      <c r="A41" s="6">
        <f aca="true" t="shared" si="2" ref="A41:A53">A40+1</f>
        <v>87</v>
      </c>
      <c r="B41" s="12">
        <v>1.9</v>
      </c>
      <c r="C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ht="12.75">
      <c r="A42" s="6">
        <f t="shared" si="2"/>
        <v>88</v>
      </c>
      <c r="B42" s="12">
        <v>1.8</v>
      </c>
      <c r="C42" s="13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ht="12.75">
      <c r="A43" s="6">
        <f t="shared" si="2"/>
        <v>89</v>
      </c>
      <c r="B43" s="12">
        <v>2.3</v>
      </c>
      <c r="C43" s="1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ht="12.75">
      <c r="A44" s="6">
        <f t="shared" si="2"/>
        <v>90</v>
      </c>
      <c r="B44" s="12">
        <v>2.6</v>
      </c>
      <c r="C44" s="13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ht="12.75">
      <c r="A45" s="6">
        <f t="shared" si="2"/>
        <v>91</v>
      </c>
      <c r="B45" s="12">
        <v>2.44</v>
      </c>
      <c r="C45" s="13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ht="12.75">
      <c r="A46" s="6">
        <f t="shared" si="2"/>
        <v>92</v>
      </c>
      <c r="B46" s="12">
        <v>2.39</v>
      </c>
      <c r="C46" s="13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ht="12.75">
      <c r="A47" s="6">
        <f t="shared" si="2"/>
        <v>93</v>
      </c>
      <c r="B47" s="12">
        <v>3.2</v>
      </c>
      <c r="C47" s="13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ht="12.75">
      <c r="A48" s="6">
        <f t="shared" si="2"/>
        <v>94</v>
      </c>
      <c r="B48" s="12">
        <v>3.9</v>
      </c>
      <c r="C48" s="13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ht="12.75">
      <c r="A49" s="15">
        <f t="shared" si="2"/>
        <v>95</v>
      </c>
      <c r="B49" s="16">
        <v>4.1</v>
      </c>
      <c r="C49" s="1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ht="12.75">
      <c r="A50" s="6">
        <f t="shared" si="2"/>
        <v>96</v>
      </c>
      <c r="B50" s="12">
        <v>4.7</v>
      </c>
      <c r="C50" s="13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ht="12.75">
      <c r="A51" s="6">
        <f t="shared" si="2"/>
        <v>97</v>
      </c>
      <c r="B51" s="12">
        <v>4.3</v>
      </c>
      <c r="C51" s="1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ht="12.75">
      <c r="A52" s="6">
        <f t="shared" si="2"/>
        <v>98</v>
      </c>
      <c r="B52" s="12">
        <v>4.7</v>
      </c>
      <c r="C52" s="1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ht="12.75">
      <c r="A53" s="6">
        <f t="shared" si="2"/>
        <v>99</v>
      </c>
      <c r="B53" s="12">
        <v>4.7</v>
      </c>
      <c r="C53" s="1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ht="12.75">
      <c r="A54" s="7" t="s">
        <v>10</v>
      </c>
      <c r="B54" s="12">
        <v>5.2</v>
      </c>
      <c r="C54" s="1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2.75">
      <c r="A55" s="7" t="s">
        <v>11</v>
      </c>
      <c r="B55" s="12">
        <v>5.6</v>
      </c>
      <c r="C55" s="1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ht="12.75">
      <c r="A56" s="7" t="s">
        <v>12</v>
      </c>
      <c r="B56" s="12">
        <v>5.7</v>
      </c>
      <c r="C56" s="1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ht="12.75">
      <c r="A57" s="7" t="s">
        <v>13</v>
      </c>
      <c r="B57" s="12">
        <v>6.3</v>
      </c>
      <c r="C57" s="1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12.75">
      <c r="A58" s="7" t="s">
        <v>14</v>
      </c>
      <c r="B58" s="12">
        <v>5.7</v>
      </c>
      <c r="C58" s="1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12.75">
      <c r="A59" s="17" t="s">
        <v>15</v>
      </c>
      <c r="B59" s="16">
        <v>6.4</v>
      </c>
      <c r="C59" s="1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ht="12.75">
      <c r="A60" s="7" t="s">
        <v>16</v>
      </c>
      <c r="B60" s="12">
        <v>6.2</v>
      </c>
      <c r="C60" s="1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12.75">
      <c r="A61" s="7" t="s">
        <v>17</v>
      </c>
      <c r="B61" s="12">
        <v>6.3</v>
      </c>
      <c r="C61" s="1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12.75">
      <c r="A62" s="7" t="s">
        <v>18</v>
      </c>
      <c r="B62" s="12">
        <v>7</v>
      </c>
      <c r="C62" s="1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12.75">
      <c r="A63" s="7" t="s">
        <v>85</v>
      </c>
      <c r="B63" s="12">
        <v>6.8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12.75">
      <c r="A64" s="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3:35" ht="12.7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2.75">
      <c r="A66" s="10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ht="12.75">
      <c r="A67" s="1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3:35" ht="12.75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3:35" ht="12.75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3:35" ht="12.7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3:35" ht="12.7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3:35" ht="12.7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3:35" ht="12.7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3:35" ht="12.7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3:35" ht="12.7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3:35" ht="12.75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3:35" ht="12.7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3:35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3:35" ht="12.7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3:35" ht="12.7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3:35" ht="12.7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3:35" ht="12.7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3:35" ht="12.7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3:35" ht="12.7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3:35" ht="12.7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3:35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3:35" ht="12.7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3:35" ht="12.7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3:35" ht="12.7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3:35" ht="12.7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3:35" ht="12.7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3:35" ht="12.7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3:35" ht="12.7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3:35" ht="12.7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3:35" ht="12.7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3:35" ht="12.7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1">
      <selection activeCell="F33" sqref="F33"/>
    </sheetView>
  </sheetViews>
  <sheetFormatPr defaultColWidth="11.421875" defaultRowHeight="12.75"/>
  <cols>
    <col min="1" max="1" width="9.140625" style="1" customWidth="1"/>
    <col min="2" max="2" width="22.57421875" style="0" customWidth="1"/>
    <col min="3" max="3" width="21.28125" style="0" customWidth="1"/>
    <col min="4" max="6" width="15.7109375" style="0" customWidth="1"/>
    <col min="7" max="7" width="24.00390625" style="0" bestFit="1" customWidth="1"/>
    <col min="8" max="8" width="26.140625" style="0" customWidth="1"/>
    <col min="9" max="9" width="15.8515625" style="0" customWidth="1"/>
    <col min="10" max="16384" width="9.140625" style="0" customWidth="1"/>
  </cols>
  <sheetData>
    <row r="1" s="18" customFormat="1" ht="12.75">
      <c r="A1" s="19" t="s">
        <v>19</v>
      </c>
    </row>
    <row r="2" spans="2:3" ht="12.75">
      <c r="B2" t="s">
        <v>20</v>
      </c>
      <c r="C2" t="s">
        <v>75</v>
      </c>
    </row>
    <row r="3" spans="1:3" ht="12.75">
      <c r="A3" s="1">
        <v>1995</v>
      </c>
      <c r="B3">
        <v>4.1</v>
      </c>
      <c r="C3">
        <v>5603.987062507833</v>
      </c>
    </row>
    <row r="4" spans="1:3" ht="12.75">
      <c r="A4" s="1">
        <v>2005</v>
      </c>
      <c r="B4">
        <v>6.4</v>
      </c>
      <c r="C4">
        <v>8157.70016881</v>
      </c>
    </row>
    <row r="6" s="18" customFormat="1" ht="12.75">
      <c r="A6" s="19" t="s">
        <v>36</v>
      </c>
    </row>
    <row r="7" spans="1:9" s="37" customFormat="1" ht="12.75">
      <c r="A7" s="84"/>
      <c r="G7" s="37" t="s">
        <v>54</v>
      </c>
      <c r="H7" s="37" t="s">
        <v>54</v>
      </c>
      <c r="I7" s="37" t="s">
        <v>66</v>
      </c>
    </row>
    <row r="8" spans="1:15" ht="63.75">
      <c r="A8" s="60" t="s">
        <v>3</v>
      </c>
      <c r="B8" s="83" t="s">
        <v>68</v>
      </c>
      <c r="C8" s="83" t="s">
        <v>74</v>
      </c>
      <c r="D8" s="83" t="s">
        <v>69</v>
      </c>
      <c r="E8" s="83" t="s">
        <v>76</v>
      </c>
      <c r="F8" s="83" t="s">
        <v>78</v>
      </c>
      <c r="G8" s="83" t="s">
        <v>79</v>
      </c>
      <c r="H8" s="83" t="s">
        <v>80</v>
      </c>
      <c r="I8" s="83" t="s">
        <v>56</v>
      </c>
      <c r="J8" s="60" t="s">
        <v>3</v>
      </c>
      <c r="K8" s="83" t="s">
        <v>74</v>
      </c>
      <c r="L8" s="83" t="s">
        <v>76</v>
      </c>
      <c r="M8" s="60" t="s">
        <v>3</v>
      </c>
      <c r="O8" t="s">
        <v>84</v>
      </c>
    </row>
    <row r="9" spans="1:16" ht="12.75">
      <c r="A9" s="1">
        <v>1985</v>
      </c>
      <c r="B9">
        <v>2.1</v>
      </c>
      <c r="C9" s="41">
        <f>FORECAST(B9,$C$3:$C$4,$B$3:$B$4)</f>
        <v>3383.366970071189</v>
      </c>
      <c r="D9" s="41">
        <f>AVERAGE(C7:C9)</f>
        <v>3383.366970071189</v>
      </c>
      <c r="E9" s="41">
        <f>C9/1000</f>
        <v>3.383366970071189</v>
      </c>
      <c r="F9" s="41">
        <f>D9/1000</f>
        <v>3.383366970071189</v>
      </c>
      <c r="G9" s="41">
        <v>2.964391704170541</v>
      </c>
      <c r="H9" s="41">
        <v>2.964391704170541</v>
      </c>
      <c r="I9" s="41"/>
      <c r="J9" s="1">
        <v>85</v>
      </c>
      <c r="K9" s="41"/>
      <c r="L9" s="41"/>
      <c r="M9" s="1">
        <v>85</v>
      </c>
      <c r="N9" s="41"/>
      <c r="O9">
        <f aca="true" t="shared" si="0" ref="O9:O30">AVERAGE(B7:B9)</f>
        <v>2.1</v>
      </c>
      <c r="P9" s="1"/>
    </row>
    <row r="10" spans="1:16" ht="12.75">
      <c r="A10" s="1">
        <v>1986</v>
      </c>
      <c r="B10">
        <v>1.5</v>
      </c>
      <c r="C10" s="41">
        <f aca="true" t="shared" si="1" ref="C10:C32">FORECAST(B10,$C$3:$C$4,$B$3:$B$4)</f>
        <v>2717.180942340193</v>
      </c>
      <c r="D10" s="41">
        <f>AVERAGE(C8:C10)</f>
        <v>3050.273956205691</v>
      </c>
      <c r="E10" s="41">
        <f aca="true" t="shared" si="2" ref="E10:E31">C10/1000</f>
        <v>2.717180942340193</v>
      </c>
      <c r="F10" s="41">
        <f aca="true" t="shared" si="3" ref="F10:F33">D10/1000</f>
        <v>3.050273956205691</v>
      </c>
      <c r="G10" s="41">
        <v>2.3807020389615263</v>
      </c>
      <c r="H10" s="41">
        <v>2.6725468715660337</v>
      </c>
      <c r="I10" s="41"/>
      <c r="J10" s="1">
        <v>86</v>
      </c>
      <c r="K10" s="41"/>
      <c r="L10" s="41"/>
      <c r="M10" s="1"/>
      <c r="N10" s="41"/>
      <c r="O10">
        <f>AVERAGE(B8:B10)</f>
        <v>1.8</v>
      </c>
      <c r="P10" s="1"/>
    </row>
    <row r="11" spans="1:16" ht="12.75">
      <c r="A11" s="1">
        <v>1987</v>
      </c>
      <c r="B11">
        <v>1.9</v>
      </c>
      <c r="C11" s="41">
        <f t="shared" si="1"/>
        <v>3161.3049608275232</v>
      </c>
      <c r="D11" s="41">
        <f>AVERAGE(C9:C11)</f>
        <v>3087.2842910796353</v>
      </c>
      <c r="E11" s="41">
        <f t="shared" si="2"/>
        <v>3.161304960827523</v>
      </c>
      <c r="F11" s="41">
        <f t="shared" si="3"/>
        <v>3.0872842910796354</v>
      </c>
      <c r="G11" s="41">
        <v>2.7698284824342028</v>
      </c>
      <c r="H11" s="41">
        <v>2.7049740751887565</v>
      </c>
      <c r="I11" s="41"/>
      <c r="J11" s="1">
        <v>87</v>
      </c>
      <c r="K11" s="41"/>
      <c r="L11" s="41"/>
      <c r="M11" s="1"/>
      <c r="N11" s="41"/>
      <c r="O11">
        <f t="shared" si="0"/>
        <v>1.8333333333333333</v>
      </c>
      <c r="P11" s="1"/>
    </row>
    <row r="12" spans="1:16" ht="12.75">
      <c r="A12" s="1">
        <v>1988</v>
      </c>
      <c r="B12">
        <v>1.8</v>
      </c>
      <c r="C12" s="41">
        <f t="shared" si="1"/>
        <v>3050.273956205691</v>
      </c>
      <c r="D12" s="41">
        <f aca="true" t="shared" si="4" ref="D12:D31">AVERAGE(C10:C12)</f>
        <v>2976.2532864578025</v>
      </c>
      <c r="E12" s="41">
        <f t="shared" si="2"/>
        <v>3.050273956205691</v>
      </c>
      <c r="F12" s="41">
        <f t="shared" si="3"/>
        <v>2.9762532864578026</v>
      </c>
      <c r="G12" s="41">
        <v>2.6725468715660337</v>
      </c>
      <c r="H12" s="41">
        <v>2.6076924643205874</v>
      </c>
      <c r="I12" s="41"/>
      <c r="J12" s="1">
        <v>88</v>
      </c>
      <c r="K12" s="41"/>
      <c r="L12" s="41"/>
      <c r="M12" s="1">
        <v>88</v>
      </c>
      <c r="N12" s="41"/>
      <c r="O12">
        <f t="shared" si="0"/>
        <v>1.7333333333333334</v>
      </c>
      <c r="P12" s="1"/>
    </row>
    <row r="13" spans="1:16" ht="12.75">
      <c r="A13" s="1">
        <v>1989</v>
      </c>
      <c r="B13">
        <v>2.3</v>
      </c>
      <c r="C13" s="41">
        <f t="shared" si="1"/>
        <v>3605.4289793148537</v>
      </c>
      <c r="D13" s="41">
        <f t="shared" si="4"/>
        <v>3272.3359654493556</v>
      </c>
      <c r="E13" s="41">
        <f t="shared" si="2"/>
        <v>3.6054289793148535</v>
      </c>
      <c r="F13" s="41">
        <f t="shared" si="3"/>
        <v>3.2723359654493556</v>
      </c>
      <c r="G13" s="41">
        <v>3.158954925906879</v>
      </c>
      <c r="H13" s="41">
        <v>2.867110093302372</v>
      </c>
      <c r="I13" s="41"/>
      <c r="J13" s="1">
        <v>89</v>
      </c>
      <c r="K13" s="41"/>
      <c r="L13" s="41"/>
      <c r="M13" s="1"/>
      <c r="N13" s="41"/>
      <c r="O13">
        <f t="shared" si="0"/>
        <v>2</v>
      </c>
      <c r="P13" s="1"/>
    </row>
    <row r="14" spans="1:16" ht="12.75">
      <c r="A14" s="1">
        <v>1990</v>
      </c>
      <c r="B14">
        <v>2.6</v>
      </c>
      <c r="C14" s="41">
        <f t="shared" si="1"/>
        <v>3938.5219931803517</v>
      </c>
      <c r="D14" s="41">
        <f t="shared" si="4"/>
        <v>3531.4083095669653</v>
      </c>
      <c r="E14" s="41">
        <f t="shared" si="2"/>
        <v>3.938521993180352</v>
      </c>
      <c r="F14" s="41">
        <f t="shared" si="3"/>
        <v>3.5314083095669653</v>
      </c>
      <c r="G14" s="41">
        <v>3.4507997585113865</v>
      </c>
      <c r="H14" s="41">
        <v>3.094100518661433</v>
      </c>
      <c r="I14" s="41"/>
      <c r="J14" s="1">
        <v>90</v>
      </c>
      <c r="K14" s="41"/>
      <c r="L14" s="41"/>
      <c r="M14" s="1"/>
      <c r="N14" s="1">
        <v>90</v>
      </c>
      <c r="O14">
        <f t="shared" si="0"/>
        <v>2.233333333333333</v>
      </c>
      <c r="P14" s="1"/>
    </row>
    <row r="15" spans="1:16" ht="12.75">
      <c r="A15" s="1">
        <v>1991</v>
      </c>
      <c r="B15">
        <v>2.44</v>
      </c>
      <c r="C15" s="41">
        <f t="shared" si="1"/>
        <v>3760.8723857854193</v>
      </c>
      <c r="D15" s="41">
        <f t="shared" si="4"/>
        <v>3768.274452760208</v>
      </c>
      <c r="E15" s="41">
        <f t="shared" si="2"/>
        <v>3.760872385785419</v>
      </c>
      <c r="F15" s="41">
        <f t="shared" si="3"/>
        <v>3.768274452760208</v>
      </c>
      <c r="G15" s="41">
        <v>3.2951491811223157</v>
      </c>
      <c r="H15" s="41">
        <v>3.3016346218468606</v>
      </c>
      <c r="I15" s="41"/>
      <c r="J15" s="1">
        <v>91</v>
      </c>
      <c r="K15" s="41"/>
      <c r="L15" s="41"/>
      <c r="M15" s="1">
        <v>91</v>
      </c>
      <c r="N15" s="1"/>
      <c r="O15">
        <f t="shared" si="0"/>
        <v>2.4466666666666668</v>
      </c>
      <c r="P15" s="1"/>
    </row>
    <row r="16" spans="1:16" ht="12.75">
      <c r="A16" s="1">
        <v>1992</v>
      </c>
      <c r="B16">
        <v>2.39</v>
      </c>
      <c r="C16" s="41">
        <f t="shared" si="1"/>
        <v>3705.3568834745033</v>
      </c>
      <c r="D16" s="41">
        <f t="shared" si="4"/>
        <v>3801.5837541467586</v>
      </c>
      <c r="E16" s="41">
        <f t="shared" si="2"/>
        <v>3.7053568834745034</v>
      </c>
      <c r="F16" s="41">
        <f t="shared" si="3"/>
        <v>3.8015837541467588</v>
      </c>
      <c r="G16" s="41">
        <v>3.246508375688231</v>
      </c>
      <c r="H16" s="41">
        <v>3.3308191051073113</v>
      </c>
      <c r="I16" s="41"/>
      <c r="J16" s="1">
        <v>92</v>
      </c>
      <c r="K16" s="41"/>
      <c r="L16" s="41"/>
      <c r="M16" s="1"/>
      <c r="N16" s="1">
        <v>92</v>
      </c>
      <c r="O16">
        <f t="shared" si="0"/>
        <v>2.4766666666666666</v>
      </c>
      <c r="P16" s="1"/>
    </row>
    <row r="17" spans="1:16" ht="12.75">
      <c r="A17" s="1">
        <v>1993</v>
      </c>
      <c r="B17">
        <v>3.2</v>
      </c>
      <c r="C17" s="41">
        <f t="shared" si="1"/>
        <v>4604.708020911347</v>
      </c>
      <c r="D17" s="41">
        <f t="shared" si="4"/>
        <v>4023.6457633904233</v>
      </c>
      <c r="E17" s="41">
        <f t="shared" si="2"/>
        <v>4.604708020911348</v>
      </c>
      <c r="F17" s="41">
        <f t="shared" si="3"/>
        <v>4.023645763390423</v>
      </c>
      <c r="G17" s="41">
        <v>4.034489423720401</v>
      </c>
      <c r="H17" s="41">
        <v>3.525382326843649</v>
      </c>
      <c r="I17" s="41"/>
      <c r="J17" s="1">
        <v>93</v>
      </c>
      <c r="K17" s="41"/>
      <c r="L17" s="41"/>
      <c r="M17" s="1"/>
      <c r="N17" s="1"/>
      <c r="O17">
        <f t="shared" si="0"/>
        <v>2.676666666666667</v>
      </c>
      <c r="P17" s="1"/>
    </row>
    <row r="18" spans="1:16" ht="12.75">
      <c r="A18" s="1">
        <v>1994</v>
      </c>
      <c r="B18">
        <v>3.9</v>
      </c>
      <c r="C18" s="41">
        <f t="shared" si="1"/>
        <v>5381.925053264175</v>
      </c>
      <c r="D18" s="41">
        <f t="shared" si="4"/>
        <v>4563.996652550009</v>
      </c>
      <c r="E18" s="41">
        <f t="shared" si="2"/>
        <v>5.381925053264175</v>
      </c>
      <c r="F18" s="41">
        <f t="shared" si="3"/>
        <v>4.563996652550008</v>
      </c>
      <c r="G18" s="41">
        <v>4.715460699797584</v>
      </c>
      <c r="H18" s="41">
        <v>3.9988194997354056</v>
      </c>
      <c r="I18" s="41"/>
      <c r="J18" s="1">
        <v>94</v>
      </c>
      <c r="K18" s="41"/>
      <c r="L18" s="41"/>
      <c r="M18" s="1">
        <v>94</v>
      </c>
      <c r="N18" s="1">
        <v>94</v>
      </c>
      <c r="O18">
        <f t="shared" si="0"/>
        <v>3.1633333333333336</v>
      </c>
      <c r="P18" s="1"/>
    </row>
    <row r="19" spans="1:16" ht="12.75">
      <c r="A19" s="58">
        <v>1995</v>
      </c>
      <c r="B19" s="59">
        <v>4.1</v>
      </c>
      <c r="C19" s="82">
        <f t="shared" si="1"/>
        <v>5603.98706250784</v>
      </c>
      <c r="D19" s="41">
        <f>AVERAGE(C17:C19)</f>
        <v>5196.873378894455</v>
      </c>
      <c r="E19" s="41">
        <f t="shared" si="2"/>
        <v>5.60398706250784</v>
      </c>
      <c r="F19" s="41">
        <f t="shared" si="3"/>
        <v>5.1968733788944546</v>
      </c>
      <c r="G19" s="41">
        <v>5.01738733312178</v>
      </c>
      <c r="H19" s="41">
        <v>4.589112485546588</v>
      </c>
      <c r="I19" s="41">
        <v>5.01738733312178</v>
      </c>
      <c r="J19" s="58">
        <v>95</v>
      </c>
      <c r="K19" s="82">
        <v>5603.98706250784</v>
      </c>
      <c r="L19" s="82">
        <f>K19/1000</f>
        <v>5.60398706250784</v>
      </c>
      <c r="M19" s="58"/>
      <c r="N19" s="58"/>
      <c r="O19">
        <f t="shared" si="0"/>
        <v>3.733333333333333</v>
      </c>
      <c r="P19" s="1"/>
    </row>
    <row r="20" spans="1:16" ht="12.75">
      <c r="A20" s="1">
        <v>1996</v>
      </c>
      <c r="B20">
        <v>4.7</v>
      </c>
      <c r="C20" s="41">
        <f t="shared" si="1"/>
        <v>6270.173090238836</v>
      </c>
      <c r="D20" s="41">
        <f t="shared" si="4"/>
        <v>5752.028402003617</v>
      </c>
      <c r="E20" s="41">
        <f t="shared" si="2"/>
        <v>6.270173090238837</v>
      </c>
      <c r="F20" s="41">
        <f t="shared" si="3"/>
        <v>5.752028402003617</v>
      </c>
      <c r="G20" s="41">
        <v>5.644299316256427</v>
      </c>
      <c r="H20" s="41">
        <v>5.125715783058596</v>
      </c>
      <c r="I20" s="41"/>
      <c r="J20" s="1">
        <v>96</v>
      </c>
      <c r="K20" s="41"/>
      <c r="L20" s="41"/>
      <c r="M20" s="1"/>
      <c r="N20" s="1">
        <v>96</v>
      </c>
      <c r="O20">
        <f t="shared" si="0"/>
        <v>4.233333333333333</v>
      </c>
      <c r="P20" s="1"/>
    </row>
    <row r="21" spans="1:16" ht="12.75">
      <c r="A21" s="1">
        <v>1997</v>
      </c>
      <c r="B21">
        <v>4.3</v>
      </c>
      <c r="C21" s="41">
        <f t="shared" si="1"/>
        <v>5826.049071751506</v>
      </c>
      <c r="D21" s="41">
        <f t="shared" si="4"/>
        <v>5900.069741499395</v>
      </c>
      <c r="E21" s="41">
        <f t="shared" si="2"/>
        <v>5.826049071751505</v>
      </c>
      <c r="F21" s="41">
        <f t="shared" si="3"/>
        <v>5.900069741499395</v>
      </c>
      <c r="G21" s="41">
        <v>5.244506701634106</v>
      </c>
      <c r="H21" s="41">
        <v>5.302064450337437</v>
      </c>
      <c r="I21" s="41"/>
      <c r="J21" s="1">
        <v>97</v>
      </c>
      <c r="K21" s="41"/>
      <c r="L21" s="41"/>
      <c r="M21" s="1">
        <v>97</v>
      </c>
      <c r="N21" s="1"/>
      <c r="O21">
        <f t="shared" si="0"/>
        <v>4.366666666666667</v>
      </c>
      <c r="P21" s="1"/>
    </row>
    <row r="22" spans="1:16" ht="12.75">
      <c r="A22" s="1">
        <v>1998</v>
      </c>
      <c r="B22">
        <v>4.7</v>
      </c>
      <c r="C22" s="41">
        <f t="shared" si="1"/>
        <v>6270.173090238836</v>
      </c>
      <c r="D22" s="41">
        <f t="shared" si="4"/>
        <v>6122.13175074306</v>
      </c>
      <c r="E22" s="41">
        <f t="shared" si="2"/>
        <v>6.270173090238837</v>
      </c>
      <c r="F22" s="41">
        <f t="shared" si="3"/>
        <v>6.12213175074306</v>
      </c>
      <c r="G22" s="41">
        <v>5.644299316256427</v>
      </c>
      <c r="H22" s="41">
        <v>5.51103511138232</v>
      </c>
      <c r="I22" s="41"/>
      <c r="J22" s="1">
        <v>98</v>
      </c>
      <c r="K22" s="41"/>
      <c r="L22" s="41"/>
      <c r="M22" s="1"/>
      <c r="N22" s="1">
        <v>98</v>
      </c>
      <c r="O22">
        <f t="shared" si="0"/>
        <v>4.566666666666666</v>
      </c>
      <c r="P22" s="1"/>
    </row>
    <row r="23" spans="1:16" ht="12.75">
      <c r="A23" s="1">
        <v>1999</v>
      </c>
      <c r="B23">
        <v>4.7</v>
      </c>
      <c r="C23" s="41">
        <f t="shared" si="1"/>
        <v>6270.173090238836</v>
      </c>
      <c r="D23" s="41">
        <f t="shared" si="4"/>
        <v>6122.13175074306</v>
      </c>
      <c r="E23" s="41">
        <f t="shared" si="2"/>
        <v>6.270173090238837</v>
      </c>
      <c r="F23" s="41">
        <f t="shared" si="3"/>
        <v>6.12213175074306</v>
      </c>
      <c r="G23" s="41">
        <v>5.644299316256427</v>
      </c>
      <c r="H23" s="41">
        <v>5.51103511138232</v>
      </c>
      <c r="I23" s="41"/>
      <c r="J23" s="1">
        <v>99</v>
      </c>
      <c r="K23" s="41"/>
      <c r="L23" s="41"/>
      <c r="M23" s="1"/>
      <c r="N23" s="1"/>
      <c r="O23">
        <f t="shared" si="0"/>
        <v>4.566666666666666</v>
      </c>
      <c r="P23" s="1"/>
    </row>
    <row r="24" spans="1:16" ht="12.75">
      <c r="A24" s="1">
        <v>2000</v>
      </c>
      <c r="B24">
        <v>5.2</v>
      </c>
      <c r="C24" s="41">
        <f t="shared" si="1"/>
        <v>6825.3281133479995</v>
      </c>
      <c r="D24" s="41">
        <f t="shared" si="4"/>
        <v>6455.224764608557</v>
      </c>
      <c r="E24" s="41">
        <f t="shared" si="2"/>
        <v>6.825328113347999</v>
      </c>
      <c r="F24" s="41">
        <f t="shared" si="3"/>
        <v>6.455224764608557</v>
      </c>
      <c r="G24" s="41">
        <v>6.144040084534327</v>
      </c>
      <c r="H24" s="41">
        <v>5.81087957234906</v>
      </c>
      <c r="I24" s="41"/>
      <c r="J24" s="88" t="s">
        <v>10</v>
      </c>
      <c r="K24" s="41"/>
      <c r="L24" s="41"/>
      <c r="M24" s="88" t="s">
        <v>10</v>
      </c>
      <c r="N24" s="88" t="s">
        <v>10</v>
      </c>
      <c r="O24">
        <f t="shared" si="0"/>
        <v>4.866666666666667</v>
      </c>
      <c r="P24" s="1"/>
    </row>
    <row r="25" spans="1:16" ht="12.75">
      <c r="A25" s="1">
        <v>2001</v>
      </c>
      <c r="B25">
        <v>5.6</v>
      </c>
      <c r="C25" s="41">
        <f t="shared" si="1"/>
        <v>7269.45213183533</v>
      </c>
      <c r="D25" s="41">
        <f t="shared" si="4"/>
        <v>6788.317778474055</v>
      </c>
      <c r="E25" s="41">
        <f t="shared" si="2"/>
        <v>7.26945213183533</v>
      </c>
      <c r="F25" s="41">
        <f t="shared" si="3"/>
        <v>6.788317778474054</v>
      </c>
      <c r="G25" s="41">
        <v>6.5438326991566464</v>
      </c>
      <c r="H25" s="41">
        <v>6.1107240333158</v>
      </c>
      <c r="I25" s="41"/>
      <c r="J25" s="88" t="s">
        <v>11</v>
      </c>
      <c r="K25" s="41"/>
      <c r="L25" s="41"/>
      <c r="M25" s="88"/>
      <c r="N25" s="88"/>
      <c r="O25">
        <f t="shared" si="0"/>
        <v>5.166666666666667</v>
      </c>
      <c r="P25" s="1"/>
    </row>
    <row r="26" spans="1:16" ht="12.75">
      <c r="A26" s="1">
        <v>2002</v>
      </c>
      <c r="B26">
        <v>5.7</v>
      </c>
      <c r="C26" s="41">
        <f t="shared" si="1"/>
        <v>7380.483136457163</v>
      </c>
      <c r="D26" s="41">
        <f t="shared" si="4"/>
        <v>7158.421127213497</v>
      </c>
      <c r="E26" s="41">
        <f t="shared" si="2"/>
        <v>7.380483136457163</v>
      </c>
      <c r="F26" s="41">
        <f t="shared" si="3"/>
        <v>7.158421127213497</v>
      </c>
      <c r="G26" s="41">
        <v>6.643780852812227</v>
      </c>
      <c r="H26" s="41">
        <v>6.443884545501067</v>
      </c>
      <c r="I26" s="41"/>
      <c r="J26" s="88" t="s">
        <v>12</v>
      </c>
      <c r="K26" s="41"/>
      <c r="L26" s="41"/>
      <c r="M26" s="88"/>
      <c r="N26" s="88" t="s">
        <v>12</v>
      </c>
      <c r="O26">
        <f t="shared" si="0"/>
        <v>5.5</v>
      </c>
      <c r="P26" s="1"/>
    </row>
    <row r="27" spans="1:16" ht="12.75">
      <c r="A27" s="1">
        <v>2003</v>
      </c>
      <c r="B27">
        <v>6.3</v>
      </c>
      <c r="C27" s="41">
        <f t="shared" si="1"/>
        <v>8046.669164188158</v>
      </c>
      <c r="D27" s="41">
        <f t="shared" si="4"/>
        <v>7565.534810826884</v>
      </c>
      <c r="E27" s="41">
        <f t="shared" si="2"/>
        <v>8.046669164188158</v>
      </c>
      <c r="F27" s="41">
        <f t="shared" si="3"/>
        <v>7.565534810826883</v>
      </c>
      <c r="G27" s="41">
        <v>7.243469774745706</v>
      </c>
      <c r="H27" s="41">
        <v>6.81036110890486</v>
      </c>
      <c r="I27" s="41"/>
      <c r="J27" s="88" t="s">
        <v>13</v>
      </c>
      <c r="K27" s="41"/>
      <c r="L27" s="41"/>
      <c r="M27" s="88" t="s">
        <v>13</v>
      </c>
      <c r="N27" s="88"/>
      <c r="O27">
        <f t="shared" si="0"/>
        <v>5.866666666666667</v>
      </c>
      <c r="P27" s="1"/>
    </row>
    <row r="28" spans="1:16" ht="12.75">
      <c r="A28" s="1">
        <v>2004</v>
      </c>
      <c r="B28">
        <v>5.7</v>
      </c>
      <c r="C28" s="41">
        <f t="shared" si="1"/>
        <v>7380.483136457163</v>
      </c>
      <c r="D28" s="41">
        <f t="shared" si="4"/>
        <v>7602.545145700828</v>
      </c>
      <c r="E28" s="41">
        <f t="shared" si="2"/>
        <v>7.380483136457163</v>
      </c>
      <c r="F28" s="41">
        <f t="shared" si="3"/>
        <v>7.6025451457008275</v>
      </c>
      <c r="G28" s="41">
        <v>6.643780852812227</v>
      </c>
      <c r="H28" s="41">
        <v>6.843677160123387</v>
      </c>
      <c r="I28" s="41"/>
      <c r="J28" s="88" t="s">
        <v>14</v>
      </c>
      <c r="K28" s="41"/>
      <c r="L28" s="41"/>
      <c r="M28" s="88"/>
      <c r="N28" s="88" t="s">
        <v>14</v>
      </c>
      <c r="O28">
        <f t="shared" si="0"/>
        <v>5.8999999999999995</v>
      </c>
      <c r="P28" s="1"/>
    </row>
    <row r="29" spans="1:16" ht="12.75">
      <c r="A29" s="58">
        <v>2005</v>
      </c>
      <c r="B29" s="59">
        <v>6.4</v>
      </c>
      <c r="C29" s="82">
        <f t="shared" si="1"/>
        <v>8157.700168809991</v>
      </c>
      <c r="D29" s="41">
        <f t="shared" si="4"/>
        <v>7861.617489818437</v>
      </c>
      <c r="E29" s="41">
        <f t="shared" si="2"/>
        <v>8.15770016880999</v>
      </c>
      <c r="F29" s="41">
        <f t="shared" si="3"/>
        <v>7.861617489818437</v>
      </c>
      <c r="G29" s="41">
        <v>7.343417928401286</v>
      </c>
      <c r="H29" s="41">
        <v>7.076889518653073</v>
      </c>
      <c r="I29" s="41">
        <v>7.343417928401286</v>
      </c>
      <c r="J29" s="89" t="s">
        <v>15</v>
      </c>
      <c r="K29" s="82">
        <v>8157.700168809991</v>
      </c>
      <c r="L29" s="82">
        <f>K29/1000</f>
        <v>8.15770016880999</v>
      </c>
      <c r="M29" s="89"/>
      <c r="N29" s="89"/>
      <c r="O29">
        <f t="shared" si="0"/>
        <v>6.133333333333333</v>
      </c>
      <c r="P29" s="1"/>
    </row>
    <row r="30" spans="1:16" ht="12.75">
      <c r="A30" s="1">
        <v>2006</v>
      </c>
      <c r="B30">
        <v>6.2</v>
      </c>
      <c r="C30" s="41">
        <f t="shared" si="1"/>
        <v>7935.638159566326</v>
      </c>
      <c r="D30" s="41">
        <f t="shared" si="4"/>
        <v>7824.607154944493</v>
      </c>
      <c r="E30" s="41">
        <f t="shared" si="2"/>
        <v>7.935638159566326</v>
      </c>
      <c r="F30" s="41">
        <f t="shared" si="3"/>
        <v>7.824607154944493</v>
      </c>
      <c r="G30" s="41">
        <f>'yearly dead wood stock'!BM34</f>
        <v>7.143521621090127</v>
      </c>
      <c r="H30" s="41">
        <f>'yearly dead wood stock'!CP34</f>
        <v>7.043573467434546</v>
      </c>
      <c r="I30" s="41"/>
      <c r="J30" s="88" t="s">
        <v>16</v>
      </c>
      <c r="K30" s="41"/>
      <c r="L30" s="41"/>
      <c r="M30" s="88" t="s">
        <v>16</v>
      </c>
      <c r="N30" s="88" t="s">
        <v>16</v>
      </c>
      <c r="O30">
        <f t="shared" si="0"/>
        <v>6.1000000000000005</v>
      </c>
      <c r="P30" s="1"/>
    </row>
    <row r="31" spans="1:16" ht="12.75">
      <c r="A31" s="1">
        <v>2007</v>
      </c>
      <c r="B31">
        <v>6.3</v>
      </c>
      <c r="C31" s="41">
        <f t="shared" si="1"/>
        <v>8046.669164188158</v>
      </c>
      <c r="D31" s="41">
        <f t="shared" si="4"/>
        <v>8046.669164188159</v>
      </c>
      <c r="E31" s="41">
        <f t="shared" si="2"/>
        <v>8.046669164188158</v>
      </c>
      <c r="F31" s="41">
        <f t="shared" si="3"/>
        <v>8.04666916418816</v>
      </c>
      <c r="G31" s="41">
        <f>'yearly dead wood stock'!BN34</f>
        <v>7.243469774745706</v>
      </c>
      <c r="H31" s="41">
        <f>'yearly dead wood stock'!CQ34</f>
        <v>7.243469774745706</v>
      </c>
      <c r="I31" s="41"/>
      <c r="J31" s="88" t="s">
        <v>17</v>
      </c>
      <c r="K31" s="41"/>
      <c r="L31" s="41"/>
      <c r="M31" s="88"/>
      <c r="N31" s="88"/>
      <c r="O31">
        <f>AVERAGE(B29:B31)</f>
        <v>6.300000000000001</v>
      </c>
      <c r="P31" s="88"/>
    </row>
    <row r="32" spans="1:16" ht="12.75">
      <c r="A32" s="1">
        <v>2008</v>
      </c>
      <c r="B32">
        <v>7</v>
      </c>
      <c r="C32" s="41">
        <f t="shared" si="1"/>
        <v>8823.886196540985</v>
      </c>
      <c r="D32" s="41">
        <f>AVERAGE(C30:C32)</f>
        <v>8268.731173431823</v>
      </c>
      <c r="E32" s="41">
        <f>C32/1000</f>
        <v>8.823886196540984</v>
      </c>
      <c r="F32" s="41">
        <f t="shared" si="3"/>
        <v>8.268731173431823</v>
      </c>
      <c r="G32" s="41">
        <f>'yearly dead wood stock'!BO34</f>
        <v>7.943106850334765</v>
      </c>
      <c r="H32" s="41">
        <f>'yearly dead wood stock'!CR34</f>
        <v>7.4433660820568655</v>
      </c>
      <c r="I32" s="41"/>
      <c r="J32" s="88" t="s">
        <v>18</v>
      </c>
      <c r="M32" s="88"/>
      <c r="N32" s="88" t="s">
        <v>18</v>
      </c>
      <c r="O32">
        <f>AVERAGE(B30:B32)</f>
        <v>6.5</v>
      </c>
      <c r="P32" s="88"/>
    </row>
    <row r="33" spans="1:16" ht="12.75">
      <c r="A33" s="1">
        <v>2009</v>
      </c>
      <c r="B33">
        <v>6.8</v>
      </c>
      <c r="C33" s="41">
        <f>FORECAST(B33,$C$3:$C$4,$B$3:$B$4)</f>
        <v>8601.824187297321</v>
      </c>
      <c r="D33" s="41">
        <f>AVERAGE(C31:C33)</f>
        <v>8490.793182675488</v>
      </c>
      <c r="E33" s="41">
        <f>C33/1000</f>
        <v>8.601824187297321</v>
      </c>
      <c r="F33" s="41">
        <f t="shared" si="3"/>
        <v>8.490793182675489</v>
      </c>
      <c r="G33" s="41">
        <f>'yearly dead wood stock'!BP34</f>
        <v>7.743210543023606</v>
      </c>
      <c r="H33" s="41">
        <f>'yearly dead wood stock'!CS34</f>
        <v>7.643262389368026</v>
      </c>
      <c r="I33" s="41"/>
      <c r="J33" s="88" t="s">
        <v>85</v>
      </c>
      <c r="M33" s="88" t="s">
        <v>85</v>
      </c>
      <c r="O33">
        <f>AVERAGE(B31:B33)</f>
        <v>6.7</v>
      </c>
      <c r="P33" s="88"/>
    </row>
    <row r="36" s="18" customFormat="1" ht="12.75">
      <c r="A36" s="19" t="s">
        <v>50</v>
      </c>
    </row>
    <row r="37" spans="1:3" ht="12.75">
      <c r="A37" s="60" t="s">
        <v>3</v>
      </c>
      <c r="B37" s="61" t="s">
        <v>75</v>
      </c>
      <c r="C37" s="61" t="s">
        <v>77</v>
      </c>
    </row>
    <row r="38" spans="1:3" ht="12.75">
      <c r="A38" s="1">
        <v>85</v>
      </c>
      <c r="B38">
        <f>B39-(B$58-B$48)/10</f>
        <v>3050.2739562056668</v>
      </c>
      <c r="C38">
        <f>B38/1000</f>
        <v>3.050273956205667</v>
      </c>
    </row>
    <row r="39" spans="1:3" ht="12.75">
      <c r="A39" s="1">
        <v>86</v>
      </c>
      <c r="B39">
        <f aca="true" t="shared" si="5" ref="B39:B46">B40-(B$58-B$48)/10</f>
        <v>3305.6452668358834</v>
      </c>
      <c r="C39">
        <f aca="true" t="shared" si="6" ref="C39:C60">B39/1000</f>
        <v>3.3056452668358833</v>
      </c>
    </row>
    <row r="40" spans="1:3" ht="12.75">
      <c r="A40" s="1">
        <v>1987</v>
      </c>
      <c r="B40">
        <f t="shared" si="5"/>
        <v>3561.0165774661</v>
      </c>
      <c r="C40">
        <f t="shared" si="6"/>
        <v>3.5610165774661</v>
      </c>
    </row>
    <row r="41" spans="1:3" ht="12.75">
      <c r="A41" s="1">
        <v>1988</v>
      </c>
      <c r="B41">
        <f t="shared" si="5"/>
        <v>3816.3878880963166</v>
      </c>
      <c r="C41">
        <f t="shared" si="6"/>
        <v>3.8163878880963167</v>
      </c>
    </row>
    <row r="42" spans="1:3" ht="12.75">
      <c r="A42" s="1">
        <v>1989</v>
      </c>
      <c r="B42">
        <f t="shared" si="5"/>
        <v>4071.759198726533</v>
      </c>
      <c r="C42">
        <f t="shared" si="6"/>
        <v>4.071759198726533</v>
      </c>
    </row>
    <row r="43" spans="1:3" ht="12.75">
      <c r="A43" s="1">
        <v>1990</v>
      </c>
      <c r="B43">
        <f t="shared" si="5"/>
        <v>4327.13050935675</v>
      </c>
      <c r="C43">
        <f t="shared" si="6"/>
        <v>4.32713050935675</v>
      </c>
    </row>
    <row r="44" spans="1:3" ht="12.75">
      <c r="A44" s="1">
        <v>1991</v>
      </c>
      <c r="B44">
        <f t="shared" si="5"/>
        <v>4582.501819986966</v>
      </c>
      <c r="C44">
        <f t="shared" si="6"/>
        <v>4.582501819986966</v>
      </c>
    </row>
    <row r="45" spans="1:3" ht="12.75">
      <c r="A45" s="1">
        <v>1992</v>
      </c>
      <c r="B45">
        <f t="shared" si="5"/>
        <v>4837.873130617183</v>
      </c>
      <c r="C45">
        <f t="shared" si="6"/>
        <v>4.837873130617183</v>
      </c>
    </row>
    <row r="46" spans="1:3" ht="12.75">
      <c r="A46" s="1">
        <v>1993</v>
      </c>
      <c r="B46">
        <f t="shared" si="5"/>
        <v>5093.2444412474</v>
      </c>
      <c r="C46">
        <f t="shared" si="6"/>
        <v>5.0932444412474</v>
      </c>
    </row>
    <row r="47" spans="1:3" ht="12.75">
      <c r="A47" s="1">
        <v>1994</v>
      </c>
      <c r="B47">
        <f>B48-(B$58-B$48)/10</f>
        <v>5348.615751877616</v>
      </c>
      <c r="C47">
        <f t="shared" si="6"/>
        <v>5.348615751877616</v>
      </c>
    </row>
    <row r="48" spans="1:3" ht="12.75">
      <c r="A48" s="1">
        <v>1995</v>
      </c>
      <c r="B48">
        <v>5603.987062507833</v>
      </c>
      <c r="C48">
        <f t="shared" si="6"/>
        <v>5.603987062507833</v>
      </c>
    </row>
    <row r="49" spans="1:3" ht="12.75">
      <c r="A49" s="1">
        <v>1996</v>
      </c>
      <c r="B49">
        <f aca="true" t="shared" si="7" ref="B49:B57">B48+(B$58-B$48)/10</f>
        <v>5859.3583731380495</v>
      </c>
      <c r="C49">
        <f t="shared" si="6"/>
        <v>5.85935837313805</v>
      </c>
    </row>
    <row r="50" spans="1:3" ht="12.75">
      <c r="A50" s="1">
        <v>1997</v>
      </c>
      <c r="B50">
        <f t="shared" si="7"/>
        <v>6114.729683768266</v>
      </c>
      <c r="C50">
        <f t="shared" si="6"/>
        <v>6.1147296837682665</v>
      </c>
    </row>
    <row r="51" spans="1:3" ht="12.75">
      <c r="A51" s="1">
        <v>1998</v>
      </c>
      <c r="B51">
        <f t="shared" si="7"/>
        <v>6370.100994398483</v>
      </c>
      <c r="C51">
        <f t="shared" si="6"/>
        <v>6.3701009943984825</v>
      </c>
    </row>
    <row r="52" spans="1:3" ht="12.75">
      <c r="A52" s="1">
        <v>1999</v>
      </c>
      <c r="B52">
        <f t="shared" si="7"/>
        <v>6625.472305028699</v>
      </c>
      <c r="C52">
        <f t="shared" si="6"/>
        <v>6.625472305028699</v>
      </c>
    </row>
    <row r="53" spans="1:3" ht="12.75">
      <c r="A53" s="1">
        <v>2000</v>
      </c>
      <c r="B53">
        <f t="shared" si="7"/>
        <v>6880.843615658916</v>
      </c>
      <c r="C53">
        <f t="shared" si="6"/>
        <v>6.880843615658916</v>
      </c>
    </row>
    <row r="54" spans="1:3" ht="12.75">
      <c r="A54" s="1">
        <v>2001</v>
      </c>
      <c r="B54">
        <f t="shared" si="7"/>
        <v>7136.214926289133</v>
      </c>
      <c r="C54">
        <f t="shared" si="6"/>
        <v>7.136214926289132</v>
      </c>
    </row>
    <row r="55" spans="1:3" ht="12.75">
      <c r="A55" s="1">
        <v>2002</v>
      </c>
      <c r="B55">
        <f t="shared" si="7"/>
        <v>7391.586236919349</v>
      </c>
      <c r="C55">
        <f t="shared" si="6"/>
        <v>7.391586236919349</v>
      </c>
    </row>
    <row r="56" spans="1:3" ht="12.75">
      <c r="A56" s="1">
        <v>2003</v>
      </c>
      <c r="B56">
        <f t="shared" si="7"/>
        <v>7646.957547549566</v>
      </c>
      <c r="C56">
        <f t="shared" si="6"/>
        <v>7.646957547549566</v>
      </c>
    </row>
    <row r="57" spans="1:3" ht="12.75">
      <c r="A57" s="1">
        <v>2004</v>
      </c>
      <c r="B57">
        <f t="shared" si="7"/>
        <v>7902.328858179782</v>
      </c>
      <c r="C57">
        <f t="shared" si="6"/>
        <v>7.902328858179782</v>
      </c>
    </row>
    <row r="58" spans="1:3" ht="12.75">
      <c r="A58" s="1">
        <v>2005</v>
      </c>
      <c r="B58">
        <v>8157.70016881</v>
      </c>
      <c r="C58">
        <f t="shared" si="6"/>
        <v>8.157700168809999</v>
      </c>
    </row>
    <row r="59" spans="1:3" ht="12.75">
      <c r="A59" s="1">
        <v>2006</v>
      </c>
      <c r="B59">
        <f aca="true" t="shared" si="8" ref="B59:B65">B58+(B$58-B$48)/10</f>
        <v>8413.071479440217</v>
      </c>
      <c r="C59">
        <f t="shared" si="6"/>
        <v>8.413071479440218</v>
      </c>
    </row>
    <row r="60" spans="1:3" ht="12.75">
      <c r="A60" s="1">
        <v>2007</v>
      </c>
      <c r="B60">
        <f t="shared" si="8"/>
        <v>8668.442790070434</v>
      </c>
      <c r="C60">
        <f t="shared" si="6"/>
        <v>8.668442790070435</v>
      </c>
    </row>
    <row r="61" spans="1:3" ht="12.75">
      <c r="A61" s="1">
        <v>2008</v>
      </c>
      <c r="B61">
        <f t="shared" si="8"/>
        <v>8923.81410070065</v>
      </c>
      <c r="C61">
        <f>B61/1000</f>
        <v>8.923814100700652</v>
      </c>
    </row>
    <row r="62" spans="1:3" ht="12.75">
      <c r="A62" s="1">
        <v>2009</v>
      </c>
      <c r="B62">
        <f t="shared" si="8"/>
        <v>9179.185411330867</v>
      </c>
      <c r="C62">
        <f>B62/1000</f>
        <v>9.179185411330867</v>
      </c>
    </row>
    <row r="63" spans="1:3" ht="12.75">
      <c r="A63" s="1">
        <v>2010</v>
      </c>
      <c r="B63">
        <f t="shared" si="8"/>
        <v>9434.556721961084</v>
      </c>
      <c r="C63">
        <f>B63/1000</f>
        <v>9.434556721961084</v>
      </c>
    </row>
    <row r="64" spans="1:3" ht="12.75">
      <c r="A64" s="1">
        <v>2011</v>
      </c>
      <c r="B64">
        <f t="shared" si="8"/>
        <v>9689.9280325913</v>
      </c>
      <c r="C64">
        <f>B64/1000</f>
        <v>9.6899280325913</v>
      </c>
    </row>
    <row r="65" spans="1:3" ht="12.75">
      <c r="A65" s="1">
        <v>2012</v>
      </c>
      <c r="B65">
        <f t="shared" si="8"/>
        <v>9945.299343221517</v>
      </c>
      <c r="C65">
        <f>B65/1000</f>
        <v>9.945299343221517</v>
      </c>
    </row>
    <row r="68" s="18" customFormat="1" ht="12.75">
      <c r="A68" s="19" t="s">
        <v>90</v>
      </c>
    </row>
    <row r="69" spans="1:8" s="37" customFormat="1" ht="12.75">
      <c r="A69" s="37" t="s">
        <v>92</v>
      </c>
      <c r="H69" s="37" t="s">
        <v>91</v>
      </c>
    </row>
    <row r="70" s="37" customFormat="1" ht="12.75">
      <c r="A70" s="84"/>
    </row>
    <row r="71" s="37" customFormat="1" ht="12.75">
      <c r="A71" s="84"/>
    </row>
    <row r="72" s="37" customFormat="1" ht="12.75">
      <c r="A72" s="84"/>
    </row>
    <row r="73" s="37" customFormat="1" ht="12.75">
      <c r="A73" s="84"/>
    </row>
    <row r="74" s="37" customFormat="1" ht="12.75">
      <c r="A74" s="84"/>
    </row>
    <row r="75" s="37" customFormat="1" ht="12.75">
      <c r="A75" s="84"/>
    </row>
    <row r="76" s="37" customFormat="1" ht="12.75">
      <c r="A76" s="84"/>
    </row>
    <row r="77" s="37" customFormat="1" ht="12.75">
      <c r="A77" s="84"/>
    </row>
    <row r="78" s="37" customFormat="1" ht="12.75">
      <c r="A78" s="84"/>
    </row>
    <row r="79" s="37" customFormat="1" ht="12.75">
      <c r="A79" s="84"/>
    </row>
    <row r="80" s="37" customFormat="1" ht="12.75">
      <c r="A80" s="84"/>
    </row>
    <row r="81" s="37" customFormat="1" ht="12.75">
      <c r="A81" s="84"/>
    </row>
    <row r="82" s="37" customFormat="1" ht="12.75">
      <c r="A82" s="84"/>
    </row>
    <row r="83" s="37" customFormat="1" ht="12.75">
      <c r="A83" s="84"/>
    </row>
    <row r="84" s="37" customFormat="1" ht="12.75">
      <c r="A84" s="84"/>
    </row>
    <row r="85" s="37" customFormat="1" ht="12.75">
      <c r="A85" s="84"/>
    </row>
    <row r="86" s="37" customFormat="1" ht="12.75">
      <c r="A86" s="84"/>
    </row>
    <row r="87" s="37" customFormat="1" ht="12.75">
      <c r="A87" s="84"/>
    </row>
    <row r="88" s="37" customFormat="1" ht="12.75">
      <c r="A88" s="84"/>
    </row>
    <row r="89" s="37" customFormat="1" ht="12.75">
      <c r="A89" s="84"/>
    </row>
    <row r="90" s="37" customFormat="1" ht="12.75">
      <c r="A90" s="84"/>
    </row>
    <row r="91" s="37" customFormat="1" ht="12.75">
      <c r="A91" s="84"/>
    </row>
    <row r="92" s="18" customFormat="1" ht="12.75">
      <c r="A92" s="19" t="s">
        <v>88</v>
      </c>
    </row>
    <row r="93" s="37" customFormat="1" ht="12.75">
      <c r="A93" s="84"/>
    </row>
    <row r="94" s="37" customFormat="1" ht="12.75">
      <c r="A94" s="84"/>
    </row>
    <row r="95" s="37" customFormat="1" ht="12.75">
      <c r="A95" s="84"/>
    </row>
    <row r="96" s="37" customFormat="1" ht="12.75">
      <c r="A96" s="84"/>
    </row>
    <row r="97" s="37" customFormat="1" ht="12.75">
      <c r="A97" s="84"/>
    </row>
    <row r="98" s="37" customFormat="1" ht="12.75">
      <c r="A98" s="84"/>
    </row>
    <row r="99" s="37" customFormat="1" ht="12.75">
      <c r="A99" s="84"/>
    </row>
    <row r="100" s="37" customFormat="1" ht="12.75">
      <c r="A100" s="84"/>
    </row>
    <row r="101" s="37" customFormat="1" ht="12.75">
      <c r="A101" s="84"/>
    </row>
    <row r="102" s="37" customFormat="1" ht="12.75">
      <c r="A102" s="84"/>
    </row>
    <row r="103" s="37" customFormat="1" ht="12.75">
      <c r="A103" s="84"/>
    </row>
    <row r="104" s="37" customFormat="1" ht="12.75">
      <c r="A104" s="84"/>
    </row>
    <row r="105" s="37" customFormat="1" ht="12.75">
      <c r="A105" s="84"/>
    </row>
    <row r="106" s="37" customFormat="1" ht="12.75">
      <c r="A106" s="84"/>
    </row>
    <row r="107" s="37" customFormat="1" ht="12.75">
      <c r="A107" s="84"/>
    </row>
    <row r="108" s="37" customFormat="1" ht="12.75">
      <c r="A108" s="84"/>
    </row>
    <row r="109" s="37" customFormat="1" ht="12.75">
      <c r="A109" s="84"/>
    </row>
    <row r="110" s="37" customFormat="1" ht="12.75">
      <c r="A110" s="84"/>
    </row>
    <row r="111" s="37" customFormat="1" ht="12.75">
      <c r="A111" s="84"/>
    </row>
    <row r="112" s="37" customFormat="1" ht="12.75">
      <c r="A112" s="84"/>
    </row>
    <row r="113" s="37" customFormat="1" ht="12.75">
      <c r="A113" s="84"/>
    </row>
    <row r="114" s="37" customFormat="1" ht="12.75">
      <c r="A114" s="84"/>
    </row>
    <row r="115" s="37" customFormat="1" ht="12.75">
      <c r="A115" s="84"/>
    </row>
    <row r="116" s="37" customFormat="1" ht="12.75">
      <c r="A116" s="84"/>
    </row>
    <row r="117" s="37" customFormat="1" ht="12.75">
      <c r="A117" s="84"/>
    </row>
    <row r="118" s="37" customFormat="1" ht="12.75">
      <c r="A118" s="84"/>
    </row>
    <row r="119" s="37" customFormat="1" ht="12.75">
      <c r="A119" s="84"/>
    </row>
    <row r="120" s="37" customFormat="1" ht="12.75">
      <c r="A120" s="91"/>
    </row>
    <row r="121" s="18" customFormat="1" ht="12.75">
      <c r="A121" s="19" t="s">
        <v>67</v>
      </c>
    </row>
    <row r="122" spans="1:11" ht="12.75">
      <c r="A122" s="94" t="s">
        <v>89</v>
      </c>
      <c r="K122" s="94" t="s">
        <v>89</v>
      </c>
    </row>
    <row r="123" ht="12.75">
      <c r="A123" s="9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J57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19.421875" style="0" customWidth="1"/>
    <col min="3" max="3" width="21.00390625" style="0" customWidth="1"/>
    <col min="4" max="5" width="12.57421875" style="0" customWidth="1"/>
    <col min="6" max="6" width="12.57421875" style="37" customWidth="1"/>
    <col min="7" max="7" width="11.00390625" style="0" customWidth="1"/>
    <col min="30" max="30" width="13.57421875" style="0" customWidth="1"/>
    <col min="31" max="31" width="2.57421875" style="0" customWidth="1"/>
    <col min="39" max="39" width="4.57421875" style="0" customWidth="1"/>
    <col min="40" max="40" width="14.00390625" style="0" customWidth="1"/>
    <col min="41" max="41" width="13.421875" style="0" customWidth="1"/>
    <col min="42" max="42" width="4.57421875" style="37" customWidth="1"/>
    <col min="43" max="43" width="5.28125" style="0" customWidth="1"/>
    <col min="64" max="64" width="14.8515625" style="0" customWidth="1"/>
    <col min="104" max="104" width="14.140625" style="0" customWidth="1"/>
    <col min="135" max="135" width="4.140625" style="0" customWidth="1"/>
    <col min="138" max="138" width="3.57421875" style="0" customWidth="1"/>
  </cols>
  <sheetData>
    <row r="1" spans="1:42" s="18" customFormat="1" ht="14.25">
      <c r="A1" s="44" t="s">
        <v>32</v>
      </c>
      <c r="B1" s="45"/>
      <c r="C1" s="45"/>
      <c r="AP1" s="37"/>
    </row>
    <row r="2" spans="1:42" s="18" customFormat="1" ht="14.25">
      <c r="A2" s="44"/>
      <c r="B2" s="45"/>
      <c r="C2" s="45"/>
      <c r="AP2" s="37"/>
    </row>
    <row r="3" spans="1:3" ht="12.75">
      <c r="A3" t="s">
        <v>21</v>
      </c>
      <c r="B3" s="20"/>
      <c r="C3" s="20"/>
    </row>
    <row r="4" spans="1:3" ht="12.75">
      <c r="A4" t="s">
        <v>22</v>
      </c>
      <c r="B4" s="20"/>
      <c r="C4" s="20"/>
    </row>
    <row r="5" spans="2:122" ht="12.75">
      <c r="B5" s="20"/>
      <c r="C5" s="20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</row>
    <row r="6" spans="1:122" ht="12.75">
      <c r="A6" s="102" t="s">
        <v>44</v>
      </c>
      <c r="B6" s="100"/>
      <c r="C6" s="45"/>
      <c r="D6" s="18"/>
      <c r="E6" s="18"/>
      <c r="F6" s="18"/>
      <c r="G6" s="18"/>
      <c r="H6" s="18"/>
      <c r="I6" s="18"/>
      <c r="J6" s="18"/>
      <c r="K6" s="18"/>
      <c r="L6" s="1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</row>
    <row r="7" spans="1:122" ht="12.75">
      <c r="A7" s="103" t="s">
        <v>43</v>
      </c>
      <c r="B7" s="100" t="s">
        <v>42</v>
      </c>
      <c r="C7" s="45"/>
      <c r="D7" s="18"/>
      <c r="E7" s="18"/>
      <c r="F7" s="18"/>
      <c r="G7" s="18"/>
      <c r="H7" s="18"/>
      <c r="I7" s="18"/>
      <c r="J7" s="18"/>
      <c r="K7" s="18"/>
      <c r="L7" s="1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</row>
    <row r="8" spans="1:122" ht="12.75">
      <c r="A8" s="103" t="s">
        <v>45</v>
      </c>
      <c r="B8" s="101" t="s">
        <v>41</v>
      </c>
      <c r="C8" s="45"/>
      <c r="D8" s="18"/>
      <c r="E8" s="18"/>
      <c r="F8" s="18"/>
      <c r="G8" s="18"/>
      <c r="H8" s="18"/>
      <c r="I8" s="18"/>
      <c r="J8" s="18"/>
      <c r="K8" s="18"/>
      <c r="L8" s="1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</row>
    <row r="9" spans="1:122" ht="12.75">
      <c r="A9" s="103" t="s">
        <v>46</v>
      </c>
      <c r="B9" s="100" t="s">
        <v>96</v>
      </c>
      <c r="C9" s="18"/>
      <c r="D9" s="18"/>
      <c r="E9" s="18"/>
      <c r="F9" s="18"/>
      <c r="G9" s="18"/>
      <c r="H9" s="18"/>
      <c r="I9" s="18"/>
      <c r="J9" s="18"/>
      <c r="K9" s="18"/>
      <c r="L9" s="1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</row>
    <row r="10" spans="1:122" ht="12.75">
      <c r="A10" s="103" t="s">
        <v>39</v>
      </c>
      <c r="B10" s="100" t="s">
        <v>97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</row>
    <row r="11" spans="1:131" ht="12.75">
      <c r="A11" s="103" t="s">
        <v>40</v>
      </c>
      <c r="B11" s="100" t="s">
        <v>98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BT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</row>
    <row r="12" spans="2:140" ht="12.75">
      <c r="B12" s="20"/>
      <c r="C12" s="20"/>
      <c r="BT12" s="8"/>
      <c r="BU12" s="26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26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C12" s="111" t="s">
        <v>99</v>
      </c>
      <c r="ED12" s="111"/>
      <c r="EE12" s="111"/>
      <c r="EF12" s="111"/>
      <c r="EG12" s="111"/>
      <c r="EH12" s="111"/>
      <c r="EI12" s="111"/>
      <c r="EJ12" s="111"/>
    </row>
    <row r="13" spans="2:140" ht="12.75">
      <c r="B13" s="20"/>
      <c r="C13" s="20"/>
      <c r="T13" s="31" t="s">
        <v>93</v>
      </c>
      <c r="AR13" s="31" t="s">
        <v>102</v>
      </c>
      <c r="BT13" s="8"/>
      <c r="BU13" s="65" t="s">
        <v>38</v>
      </c>
      <c r="BV13" s="66"/>
      <c r="BW13" s="66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65" t="s">
        <v>38</v>
      </c>
      <c r="DA13" s="66"/>
      <c r="DB13" s="66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C13" s="111"/>
      <c r="ED13" s="111"/>
      <c r="EE13" s="111"/>
      <c r="EF13" s="111"/>
      <c r="EG13" s="111"/>
      <c r="EH13" s="111"/>
      <c r="EI13" s="111"/>
      <c r="EJ13" s="111"/>
    </row>
    <row r="14" spans="2:140" ht="79.5">
      <c r="B14" s="20"/>
      <c r="C14" s="20"/>
      <c r="H14" s="21" t="s">
        <v>47</v>
      </c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3"/>
      <c r="AH14" s="23"/>
      <c r="AI14" s="23"/>
      <c r="AJ14" s="23"/>
      <c r="AK14" s="23"/>
      <c r="AL14" s="23"/>
      <c r="AN14" s="62" t="s">
        <v>34</v>
      </c>
      <c r="AO14" s="3"/>
      <c r="AR14" s="21" t="s">
        <v>48</v>
      </c>
      <c r="AS14" s="22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2"/>
      <c r="BN14" s="23"/>
      <c r="BO14" s="23"/>
      <c r="BP14" s="23"/>
      <c r="BQ14" s="23"/>
      <c r="BR14" s="23"/>
      <c r="BS14" s="23"/>
      <c r="BT14" s="25"/>
      <c r="BU14" s="21" t="s">
        <v>48</v>
      </c>
      <c r="BV14" s="22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2"/>
      <c r="CQ14" s="23"/>
      <c r="CR14" s="23"/>
      <c r="CS14" s="23"/>
      <c r="CT14" s="23"/>
      <c r="CU14" s="23"/>
      <c r="CV14" s="23"/>
      <c r="CW14" s="8"/>
      <c r="CX14" s="8"/>
      <c r="CY14" s="8"/>
      <c r="CZ14" s="21" t="s">
        <v>49</v>
      </c>
      <c r="DA14" s="22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2"/>
      <c r="DV14" s="23"/>
      <c r="DW14" s="23"/>
      <c r="DX14" s="23"/>
      <c r="DY14" s="23"/>
      <c r="DZ14" s="23"/>
      <c r="EA14" s="23"/>
      <c r="EC14" s="104" t="s">
        <v>65</v>
      </c>
      <c r="ED14" s="104"/>
      <c r="EE14" s="104"/>
      <c r="EF14" s="104"/>
      <c r="EG14" s="104"/>
      <c r="EH14" s="104"/>
      <c r="EI14" s="104"/>
      <c r="EJ14" s="104"/>
    </row>
    <row r="15" spans="6:140" s="27" customFormat="1" ht="12.75">
      <c r="F15" s="38"/>
      <c r="H15" s="27">
        <v>1985</v>
      </c>
      <c r="I15" s="27">
        <v>86</v>
      </c>
      <c r="J15" s="27">
        <v>87</v>
      </c>
      <c r="K15" s="27">
        <v>88</v>
      </c>
      <c r="L15" s="27">
        <v>89</v>
      </c>
      <c r="M15" s="27">
        <v>90</v>
      </c>
      <c r="N15" s="27">
        <v>91</v>
      </c>
      <c r="O15" s="27">
        <v>92</v>
      </c>
      <c r="P15" s="27">
        <v>93</v>
      </c>
      <c r="Q15" s="27">
        <v>94</v>
      </c>
      <c r="R15" s="49">
        <v>95</v>
      </c>
      <c r="S15" s="27">
        <v>95</v>
      </c>
      <c r="T15" s="27">
        <v>96</v>
      </c>
      <c r="U15" s="27">
        <v>97</v>
      </c>
      <c r="V15" s="27">
        <v>98</v>
      </c>
      <c r="W15" s="27">
        <v>99</v>
      </c>
      <c r="X15" s="27">
        <v>2000</v>
      </c>
      <c r="Y15" s="27">
        <v>2001</v>
      </c>
      <c r="Z15" s="27">
        <v>2002</v>
      </c>
      <c r="AA15" s="27">
        <v>2003</v>
      </c>
      <c r="AB15" s="27">
        <v>2004</v>
      </c>
      <c r="AC15" s="27">
        <v>2005</v>
      </c>
      <c r="AD15" s="29" t="s">
        <v>33</v>
      </c>
      <c r="AF15" s="27">
        <v>2006</v>
      </c>
      <c r="AG15" s="27">
        <v>2007</v>
      </c>
      <c r="AH15" s="27">
        <v>2008</v>
      </c>
      <c r="AI15" s="27">
        <v>2009</v>
      </c>
      <c r="AJ15" s="27">
        <v>2010</v>
      </c>
      <c r="AK15" s="27">
        <v>2011</v>
      </c>
      <c r="AL15" s="27">
        <v>2012</v>
      </c>
      <c r="AP15" s="38"/>
      <c r="AR15" s="27">
        <v>1985</v>
      </c>
      <c r="AS15" s="27">
        <v>86</v>
      </c>
      <c r="AT15" s="27">
        <v>87</v>
      </c>
      <c r="AU15" s="27">
        <v>88</v>
      </c>
      <c r="AV15" s="27">
        <v>89</v>
      </c>
      <c r="AW15" s="27">
        <v>90</v>
      </c>
      <c r="AX15" s="27">
        <v>91</v>
      </c>
      <c r="AY15" s="27">
        <v>92</v>
      </c>
      <c r="AZ15" s="27">
        <v>93</v>
      </c>
      <c r="BA15" s="27">
        <v>94</v>
      </c>
      <c r="BB15" s="27">
        <v>95</v>
      </c>
      <c r="BC15" s="27">
        <v>96</v>
      </c>
      <c r="BD15" s="27">
        <v>97</v>
      </c>
      <c r="BE15" s="27">
        <v>98</v>
      </c>
      <c r="BF15" s="27">
        <v>99</v>
      </c>
      <c r="BG15" s="27">
        <v>2000</v>
      </c>
      <c r="BH15" s="27">
        <v>2001</v>
      </c>
      <c r="BI15" s="27">
        <v>2002</v>
      </c>
      <c r="BJ15" s="27">
        <v>2003</v>
      </c>
      <c r="BK15" s="27">
        <v>2004</v>
      </c>
      <c r="BL15" s="27">
        <v>2005</v>
      </c>
      <c r="BM15" s="27">
        <v>2006</v>
      </c>
      <c r="BN15" s="27">
        <v>2007</v>
      </c>
      <c r="BO15" s="27">
        <v>2008</v>
      </c>
      <c r="BP15" s="27">
        <v>2009</v>
      </c>
      <c r="BQ15" s="27">
        <v>2010</v>
      </c>
      <c r="BR15" s="27">
        <v>2011</v>
      </c>
      <c r="BS15" s="27">
        <v>2012</v>
      </c>
      <c r="BT15" s="30"/>
      <c r="BU15" s="27">
        <v>1985</v>
      </c>
      <c r="BV15" s="27">
        <v>86</v>
      </c>
      <c r="BW15" s="27">
        <v>87</v>
      </c>
      <c r="BX15" s="27">
        <v>88</v>
      </c>
      <c r="BY15" s="27">
        <v>89</v>
      </c>
      <c r="BZ15" s="27">
        <v>90</v>
      </c>
      <c r="CA15" s="27">
        <v>91</v>
      </c>
      <c r="CB15" s="27">
        <v>92</v>
      </c>
      <c r="CC15" s="27">
        <v>93</v>
      </c>
      <c r="CD15" s="27">
        <v>94</v>
      </c>
      <c r="CE15" s="49">
        <v>95</v>
      </c>
      <c r="CF15" s="27">
        <v>96</v>
      </c>
      <c r="CG15" s="27">
        <v>97</v>
      </c>
      <c r="CH15" s="27">
        <v>98</v>
      </c>
      <c r="CI15" s="27">
        <v>99</v>
      </c>
      <c r="CJ15" s="27">
        <v>2000</v>
      </c>
      <c r="CK15" s="27">
        <v>2001</v>
      </c>
      <c r="CL15" s="27">
        <v>2002</v>
      </c>
      <c r="CM15" s="27">
        <v>2003</v>
      </c>
      <c r="CN15" s="27">
        <v>2004</v>
      </c>
      <c r="CO15" s="27">
        <v>2005</v>
      </c>
      <c r="CP15" s="27">
        <v>2006</v>
      </c>
      <c r="CQ15" s="27">
        <v>2007</v>
      </c>
      <c r="CR15" s="27">
        <v>2008</v>
      </c>
      <c r="CS15" s="27">
        <v>2009</v>
      </c>
      <c r="CT15" s="27">
        <v>2010</v>
      </c>
      <c r="CU15" s="27">
        <v>2011</v>
      </c>
      <c r="CV15" s="27">
        <v>2012</v>
      </c>
      <c r="CW15" s="30"/>
      <c r="CX15" s="30"/>
      <c r="CY15" s="30"/>
      <c r="CZ15" s="27">
        <v>1985</v>
      </c>
      <c r="DA15" s="27">
        <v>86</v>
      </c>
      <c r="DB15" s="27">
        <v>87</v>
      </c>
      <c r="DC15" s="27">
        <v>88</v>
      </c>
      <c r="DD15" s="27">
        <v>89</v>
      </c>
      <c r="DE15" s="27">
        <v>90</v>
      </c>
      <c r="DF15" s="27">
        <v>91</v>
      </c>
      <c r="DG15" s="27">
        <v>92</v>
      </c>
      <c r="DH15" s="27">
        <v>93</v>
      </c>
      <c r="DI15" s="27">
        <v>94</v>
      </c>
      <c r="DJ15" s="49">
        <v>95</v>
      </c>
      <c r="DK15" s="27">
        <v>96</v>
      </c>
      <c r="DL15" s="27">
        <v>97</v>
      </c>
      <c r="DM15" s="27">
        <v>98</v>
      </c>
      <c r="DN15" s="27">
        <v>99</v>
      </c>
      <c r="DO15" s="27">
        <v>2000</v>
      </c>
      <c r="DP15" s="27">
        <v>2001</v>
      </c>
      <c r="DQ15" s="27">
        <v>2002</v>
      </c>
      <c r="DR15" s="27">
        <v>2003</v>
      </c>
      <c r="DS15" s="27">
        <v>2004</v>
      </c>
      <c r="DT15" s="27">
        <v>2005</v>
      </c>
      <c r="DU15" s="27">
        <v>2006</v>
      </c>
      <c r="DV15" s="27">
        <v>2007</v>
      </c>
      <c r="DW15" s="27">
        <v>2008</v>
      </c>
      <c r="DX15" s="27">
        <v>2009</v>
      </c>
      <c r="DY15" s="27">
        <v>2010</v>
      </c>
      <c r="DZ15" s="27">
        <v>2011</v>
      </c>
      <c r="EA15" s="27">
        <v>2012</v>
      </c>
      <c r="EC15" s="105"/>
      <c r="ED15" s="105"/>
      <c r="EE15" s="105"/>
      <c r="EF15" s="105"/>
      <c r="EG15" s="105"/>
      <c r="EH15" s="105"/>
      <c r="EI15" s="105"/>
      <c r="EJ15" s="105"/>
    </row>
    <row r="16" spans="1:140" s="31" customFormat="1" ht="38.25">
      <c r="A16" s="31" t="s">
        <v>23</v>
      </c>
      <c r="B16" s="31" t="s">
        <v>24</v>
      </c>
      <c r="C16" s="32" t="s">
        <v>25</v>
      </c>
      <c r="D16" s="32" t="s">
        <v>26</v>
      </c>
      <c r="E16" s="36" t="s">
        <v>30</v>
      </c>
      <c r="F16" s="32" t="s">
        <v>31</v>
      </c>
      <c r="G16" s="32">
        <v>1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49" t="s">
        <v>27</v>
      </c>
      <c r="S16" s="33"/>
      <c r="T16" s="33">
        <v>1</v>
      </c>
      <c r="U16" s="33">
        <v>2</v>
      </c>
      <c r="V16" s="33">
        <v>3</v>
      </c>
      <c r="W16" s="33">
        <v>4</v>
      </c>
      <c r="X16" s="33">
        <v>5</v>
      </c>
      <c r="Y16" s="33">
        <v>6</v>
      </c>
      <c r="Z16" s="33">
        <v>7</v>
      </c>
      <c r="AA16" s="33">
        <v>8</v>
      </c>
      <c r="AB16" s="33">
        <v>9</v>
      </c>
      <c r="AC16" s="33">
        <v>10</v>
      </c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54" t="s">
        <v>28</v>
      </c>
      <c r="AO16" s="54" t="s">
        <v>29</v>
      </c>
      <c r="AP16" s="64"/>
      <c r="AQ16" s="34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T16" s="26"/>
      <c r="BU16" s="33"/>
      <c r="BV16" s="33"/>
      <c r="BW16" s="33"/>
      <c r="BX16" s="33"/>
      <c r="BY16" s="33"/>
      <c r="BZ16" s="33"/>
      <c r="CA16" s="33"/>
      <c r="CB16" s="33"/>
      <c r="CC16" s="33"/>
      <c r="CD16"/>
      <c r="CE16"/>
      <c r="CW16" s="26"/>
      <c r="CX16" s="31" t="s">
        <v>23</v>
      </c>
      <c r="CY16" s="31" t="s">
        <v>24</v>
      </c>
      <c r="DA16" s="33"/>
      <c r="DB16" s="33"/>
      <c r="DC16" s="33"/>
      <c r="DD16" s="33"/>
      <c r="DE16" s="33"/>
      <c r="DF16" s="33"/>
      <c r="DG16" s="33"/>
      <c r="DH16" s="33"/>
      <c r="DI16"/>
      <c r="DJ16"/>
      <c r="EC16" s="106" t="s">
        <v>63</v>
      </c>
      <c r="ED16" s="107" t="s">
        <v>64</v>
      </c>
      <c r="EE16" s="106"/>
      <c r="EF16" s="106" t="s">
        <v>63</v>
      </c>
      <c r="EG16" s="107" t="s">
        <v>64</v>
      </c>
      <c r="EH16" s="106"/>
      <c r="EI16" s="106" t="s">
        <v>63</v>
      </c>
      <c r="EJ16" s="107" t="s">
        <v>64</v>
      </c>
    </row>
    <row r="17" spans="5:140" ht="12.75">
      <c r="E17" s="37"/>
      <c r="AD17" s="33"/>
      <c r="AN17" s="55"/>
      <c r="AO17" s="55"/>
      <c r="AP17" s="55"/>
      <c r="AQ17" s="20"/>
      <c r="BT17" s="8"/>
      <c r="CW17" s="8"/>
      <c r="EC17" s="108">
        <v>2003</v>
      </c>
      <c r="ED17" s="108">
        <v>2003</v>
      </c>
      <c r="EE17" s="108"/>
      <c r="EF17" s="108">
        <v>2006</v>
      </c>
      <c r="EG17" s="108">
        <v>2006</v>
      </c>
      <c r="EH17" s="108"/>
      <c r="EI17" s="108">
        <v>2007</v>
      </c>
      <c r="EJ17" s="108"/>
    </row>
    <row r="18" spans="1:140" ht="15.75">
      <c r="A18">
        <v>1</v>
      </c>
      <c r="B18">
        <v>600</v>
      </c>
      <c r="C18" s="39">
        <v>259.90699900652334</v>
      </c>
      <c r="D18" s="40">
        <v>317.3768892</v>
      </c>
      <c r="E18" s="41">
        <f>C18/C$34</f>
        <v>0.046378943439282797</v>
      </c>
      <c r="F18" s="42">
        <f>D18/D$34</f>
        <v>0.03890519173693744</v>
      </c>
      <c r="G18" s="46">
        <f>E18*(1-G$16/10)+F18*G$16/10</f>
        <v>0.04563156826904826</v>
      </c>
      <c r="H18" s="46">
        <f aca="true" t="shared" si="0" ref="H18:Q18">H$34*$E18</f>
        <v>156.91698533926927</v>
      </c>
      <c r="I18" s="46">
        <f t="shared" si="0"/>
        <v>126.01998123909293</v>
      </c>
      <c r="J18" s="46">
        <f t="shared" si="0"/>
        <v>146.6179839725438</v>
      </c>
      <c r="K18" s="46">
        <f t="shared" si="0"/>
        <v>141.4684832891811</v>
      </c>
      <c r="L18" s="46">
        <f t="shared" si="0"/>
        <v>167.2159867059947</v>
      </c>
      <c r="M18" s="46">
        <f t="shared" si="0"/>
        <v>182.66448875608287</v>
      </c>
      <c r="N18" s="46">
        <f t="shared" si="0"/>
        <v>174.42528766270252</v>
      </c>
      <c r="O18" s="46">
        <f t="shared" si="0"/>
        <v>171.85053732102116</v>
      </c>
      <c r="P18" s="46">
        <f t="shared" si="0"/>
        <v>213.5614928562592</v>
      </c>
      <c r="Q18" s="46">
        <f t="shared" si="0"/>
        <v>249.60799763979824</v>
      </c>
      <c r="R18" s="50">
        <f aca="true" t="shared" si="1" ref="R18:R32">C18</f>
        <v>259.90699900652334</v>
      </c>
      <c r="S18" s="46">
        <f aca="true" t="shared" si="2" ref="S18:S32">S$34*$E18</f>
        <v>259.9069990065237</v>
      </c>
      <c r="T18" s="46">
        <f aca="true" t="shared" si="3" ref="T18:AC18">T$34*($E18*(1-T$16/10)+$F18*T$16/10)</f>
        <v>286.11783142598273</v>
      </c>
      <c r="U18" s="46">
        <f t="shared" si="3"/>
        <v>261.49751153965906</v>
      </c>
      <c r="V18" s="46">
        <f t="shared" si="3"/>
        <v>276.7454880645482</v>
      </c>
      <c r="W18" s="46">
        <f t="shared" si="3"/>
        <v>272.059316383831</v>
      </c>
      <c r="X18" s="46">
        <f t="shared" si="3"/>
        <v>291.04610272041356</v>
      </c>
      <c r="Y18" s="46">
        <f t="shared" si="3"/>
        <v>304.5514611097111</v>
      </c>
      <c r="Z18" s="46">
        <f t="shared" si="3"/>
        <v>303.68708105666775</v>
      </c>
      <c r="AA18" s="46">
        <f t="shared" si="3"/>
        <v>325.0849681492546</v>
      </c>
      <c r="AB18" s="46">
        <f t="shared" si="3"/>
        <v>292.6551013756221</v>
      </c>
      <c r="AC18" s="46">
        <f t="shared" si="3"/>
        <v>317.3768891999996</v>
      </c>
      <c r="AD18" s="47">
        <f aca="true" t="shared" si="4" ref="AD18:AD32">D18</f>
        <v>317.3768892</v>
      </c>
      <c r="AE18" s="41"/>
      <c r="AF18" s="46">
        <f>AF$34*$F18</f>
        <v>308.73752415288527</v>
      </c>
      <c r="AG18" s="46">
        <f>AG$34*$F18</f>
        <v>313.05720667644243</v>
      </c>
      <c r="AH18" s="46">
        <f>AH$34*$F18</f>
        <v>343.2949843413427</v>
      </c>
      <c r="AI18" s="46">
        <f>AI$34*$F18</f>
        <v>334.65561929422836</v>
      </c>
      <c r="AM18" s="52"/>
      <c r="AN18" s="55">
        <v>53222</v>
      </c>
      <c r="AO18" s="55">
        <v>53865</v>
      </c>
      <c r="AP18" s="55"/>
      <c r="AQ18" s="20"/>
      <c r="AR18" s="41">
        <f aca="true" t="shared" si="5" ref="AR18:AR32">H18/$AN18*1000</f>
        <v>2.9483481518783448</v>
      </c>
      <c r="AS18" s="41">
        <f aca="true" t="shared" si="6" ref="AS18:AS32">I18/$AN18*1000</f>
        <v>2.367817467195764</v>
      </c>
      <c r="AT18" s="41">
        <f aca="true" t="shared" si="7" ref="AT18:AT32">J18/$AN18*1000</f>
        <v>2.754837923650818</v>
      </c>
      <c r="AU18" s="41">
        <f aca="true" t="shared" si="8" ref="AU18:AU32">K18/$AN18*1000</f>
        <v>2.6580828095370546</v>
      </c>
      <c r="AV18" s="41">
        <f aca="true" t="shared" si="9" ref="AV18:AV32">L18/$AN18*1000</f>
        <v>3.1418583801058717</v>
      </c>
      <c r="AW18" s="41">
        <f aca="true" t="shared" si="10" ref="AW18:AW32">M18/$AN18*1000</f>
        <v>3.4321237224471624</v>
      </c>
      <c r="AX18" s="41">
        <f aca="true" t="shared" si="11" ref="AX18:AX32">N18/$AN18*1000</f>
        <v>3.277315539865141</v>
      </c>
      <c r="AY18" s="41">
        <f aca="true" t="shared" si="12" ref="AY18:AY32">O18/$AN18*1000</f>
        <v>3.228937982808259</v>
      </c>
      <c r="AZ18" s="41">
        <f aca="true" t="shared" si="13" ref="AZ18:AZ32">P18/$AN18*1000</f>
        <v>4.012654407129743</v>
      </c>
      <c r="BA18" s="41">
        <f aca="true" t="shared" si="14" ref="BA18:BA32">Q18/$AN18*1000</f>
        <v>4.689940205926088</v>
      </c>
      <c r="BB18" s="41">
        <f>S18/$AO18*1000</f>
        <v>4.825155462852013</v>
      </c>
      <c r="BC18" s="41">
        <f>T18/$AO18*1000</f>
        <v>5.311757754125735</v>
      </c>
      <c r="BD18" s="41">
        <f>U18/$AO18*1000</f>
        <v>4.854683218038783</v>
      </c>
      <c r="BE18" s="41">
        <f>V18/$AO18*1000</f>
        <v>5.137760847759179</v>
      </c>
      <c r="BF18" s="41">
        <f aca="true" t="shared" si="15" ref="BF18:BF32">W18/$AO18*1000</f>
        <v>5.050762394575902</v>
      </c>
      <c r="BG18" s="41">
        <f aca="true" t="shared" si="16" ref="BG18:BG32">X18/$AO18*1000</f>
        <v>5.40325076989536</v>
      </c>
      <c r="BH18" s="41">
        <f aca="true" t="shared" si="17" ref="BH18:BH32">Y18/$AO18*1000</f>
        <v>5.653976814438153</v>
      </c>
      <c r="BI18" s="41">
        <f aca="true" t="shared" si="18" ref="BI18:BI32">Z18/$AO18*1000</f>
        <v>5.637929658529059</v>
      </c>
      <c r="BJ18" s="41">
        <f aca="true" t="shared" si="19" ref="BJ18:BJ32">AA18/$AO18*1000</f>
        <v>6.0351799526455885</v>
      </c>
      <c r="BK18" s="41">
        <f aca="true" t="shared" si="20" ref="BK18:BK32">AB18/$AO18*1000</f>
        <v>5.433121718660022</v>
      </c>
      <c r="BL18" s="41">
        <f>AC18/$AO18*1000</f>
        <v>5.892079999999992</v>
      </c>
      <c r="BM18" s="41">
        <f aca="true" t="shared" si="21" ref="BM18:BM32">AF18/$AO18*1000</f>
        <v>5.731690785350139</v>
      </c>
      <c r="BN18" s="41">
        <f aca="true" t="shared" si="22" ref="BN18:BN32">AG18/$AO18*1000</f>
        <v>5.811885392675066</v>
      </c>
      <c r="BO18" s="41">
        <f aca="true" t="shared" si="23" ref="BO18:BO32">AH18/$AO18*1000</f>
        <v>6.3732476439495525</v>
      </c>
      <c r="BP18" s="41">
        <f aca="true" t="shared" si="24" ref="BP18:BP32">AI18/$AO18*1000</f>
        <v>6.2128584292997004</v>
      </c>
      <c r="BQ18" s="41"/>
      <c r="BR18" s="41"/>
      <c r="BS18" s="41"/>
      <c r="BU18" s="41">
        <f>AVERAGE(AP18:AR18)</f>
        <v>2.9483481518783448</v>
      </c>
      <c r="BV18" s="41">
        <f>AVERAGE(AQ18:AS18)</f>
        <v>2.6580828095370546</v>
      </c>
      <c r="BW18" s="41">
        <f>AVERAGE(AR18:AT18)</f>
        <v>2.6903345142416426</v>
      </c>
      <c r="BX18" s="41">
        <f aca="true" t="shared" si="25" ref="BX18:CQ18">AVERAGE(AS18:AU18)</f>
        <v>2.593579400127879</v>
      </c>
      <c r="BY18" s="41">
        <f t="shared" si="25"/>
        <v>2.8515930377645815</v>
      </c>
      <c r="BZ18" s="41">
        <f t="shared" si="25"/>
        <v>3.077354970696696</v>
      </c>
      <c r="CA18" s="41">
        <f t="shared" si="25"/>
        <v>3.283765880806058</v>
      </c>
      <c r="CB18" s="41">
        <f t="shared" si="25"/>
        <v>3.3127924150401875</v>
      </c>
      <c r="CC18" s="41">
        <f t="shared" si="25"/>
        <v>3.506302643267714</v>
      </c>
      <c r="CD18" s="41">
        <f t="shared" si="25"/>
        <v>3.9771775319546965</v>
      </c>
      <c r="CE18" s="41">
        <f t="shared" si="25"/>
        <v>4.509250025302614</v>
      </c>
      <c r="CF18" s="41">
        <f t="shared" si="25"/>
        <v>4.942284474301279</v>
      </c>
      <c r="CG18" s="41">
        <f t="shared" si="25"/>
        <v>4.9971988116721775</v>
      </c>
      <c r="CH18" s="41">
        <f t="shared" si="25"/>
        <v>5.101400606641232</v>
      </c>
      <c r="CI18" s="41">
        <f t="shared" si="25"/>
        <v>5.014402153457954</v>
      </c>
      <c r="CJ18" s="41">
        <f t="shared" si="25"/>
        <v>5.197258004076814</v>
      </c>
      <c r="CK18" s="41">
        <f t="shared" si="25"/>
        <v>5.3693299929698055</v>
      </c>
      <c r="CL18" s="41">
        <f t="shared" si="25"/>
        <v>5.565052414287524</v>
      </c>
      <c r="CM18" s="41">
        <f t="shared" si="25"/>
        <v>5.775695475204266</v>
      </c>
      <c r="CN18" s="41">
        <f t="shared" si="25"/>
        <v>5.702077109944891</v>
      </c>
      <c r="CO18" s="41">
        <f t="shared" si="25"/>
        <v>5.786793890435201</v>
      </c>
      <c r="CP18" s="41">
        <f t="shared" si="25"/>
        <v>5.685630834670051</v>
      </c>
      <c r="CQ18" s="41">
        <f t="shared" si="25"/>
        <v>5.811885392675066</v>
      </c>
      <c r="CR18" s="41">
        <f>AVERAGE(BM18:BO18)</f>
        <v>5.97227460732492</v>
      </c>
      <c r="CS18" s="41">
        <f>AVERAGE(BN18:BP18)</f>
        <v>6.1326638219747736</v>
      </c>
      <c r="CT18" s="41"/>
      <c r="CU18" s="41"/>
      <c r="CV18" s="41"/>
      <c r="CW18" s="8"/>
      <c r="CX18">
        <v>1</v>
      </c>
      <c r="CY18">
        <v>600</v>
      </c>
      <c r="DA18" s="41">
        <f>BV18-BU18</f>
        <v>-0.2902653423412902</v>
      </c>
      <c r="DB18" s="41">
        <f aca="true" t="shared" si="26" ref="DB18:DX18">BW18-BV18</f>
        <v>0.03225170470458805</v>
      </c>
      <c r="DC18" s="41">
        <f t="shared" si="26"/>
        <v>-0.0967551141137637</v>
      </c>
      <c r="DD18" s="41">
        <f t="shared" si="26"/>
        <v>0.2580136376367026</v>
      </c>
      <c r="DE18" s="41">
        <f t="shared" si="26"/>
        <v>0.22576193293211455</v>
      </c>
      <c r="DF18" s="41">
        <f t="shared" si="26"/>
        <v>0.20641091010936208</v>
      </c>
      <c r="DG18" s="41">
        <f t="shared" si="26"/>
        <v>0.029026534234129375</v>
      </c>
      <c r="DH18" s="41">
        <f t="shared" si="26"/>
        <v>0.1935102282275265</v>
      </c>
      <c r="DI18" s="41">
        <f t="shared" si="26"/>
        <v>0.47087488868698246</v>
      </c>
      <c r="DJ18" s="41">
        <f t="shared" si="26"/>
        <v>0.5320724933479175</v>
      </c>
      <c r="DK18" s="41">
        <f>CF18-CE18</f>
        <v>0.43303444899866506</v>
      </c>
      <c r="DL18" s="41">
        <f t="shared" si="26"/>
        <v>0.05491433737089846</v>
      </c>
      <c r="DM18" s="41">
        <f t="shared" si="26"/>
        <v>0.1042017949690548</v>
      </c>
      <c r="DN18" s="41">
        <f t="shared" si="26"/>
        <v>-0.08699845318327792</v>
      </c>
      <c r="DO18" s="41">
        <f t="shared" si="26"/>
        <v>0.18285585061885978</v>
      </c>
      <c r="DP18" s="41">
        <f t="shared" si="26"/>
        <v>0.17207198889299136</v>
      </c>
      <c r="DQ18" s="41">
        <f t="shared" si="26"/>
        <v>0.19572242131771844</v>
      </c>
      <c r="DR18" s="41">
        <f t="shared" si="26"/>
        <v>0.210643060916742</v>
      </c>
      <c r="DS18" s="41">
        <f t="shared" si="26"/>
        <v>-0.07361836525937537</v>
      </c>
      <c r="DT18" s="41">
        <f t="shared" si="26"/>
        <v>0.08471678049031084</v>
      </c>
      <c r="DU18" s="41">
        <f t="shared" si="26"/>
        <v>-0.10116305576515039</v>
      </c>
      <c r="DV18" s="41">
        <f t="shared" si="26"/>
        <v>0.12625455800501495</v>
      </c>
      <c r="DW18" s="41">
        <f t="shared" si="26"/>
        <v>0.16038921464985378</v>
      </c>
      <c r="DX18" s="41">
        <f t="shared" si="26"/>
        <v>0.16038921464985378</v>
      </c>
      <c r="DY18" s="41"/>
      <c r="DZ18" s="41"/>
      <c r="EA18" s="41"/>
      <c r="EC18" s="109">
        <v>57.35935307</v>
      </c>
      <c r="ED18" s="108">
        <f>DR18*EC18</f>
        <v>12.082349702868923</v>
      </c>
      <c r="EE18" s="108"/>
      <c r="EF18" s="109">
        <v>57.34861193</v>
      </c>
      <c r="EG18" s="108">
        <f aca="true" t="shared" si="27" ref="EG18:EG32">DU18*EF18</f>
        <v>-5.801560826728559</v>
      </c>
      <c r="EH18" s="108"/>
      <c r="EI18" s="109">
        <v>57.33715974</v>
      </c>
      <c r="EJ18" s="108">
        <f>DV18*EI18</f>
        <v>7.239077760236637</v>
      </c>
    </row>
    <row r="19" spans="1:140" ht="15.75">
      <c r="A19">
        <v>1</v>
      </c>
      <c r="B19">
        <v>1200</v>
      </c>
      <c r="C19" s="39">
        <v>589.1703830487716</v>
      </c>
      <c r="D19" s="40">
        <v>723.19317993</v>
      </c>
      <c r="E19" s="41">
        <f aca="true" t="shared" si="28" ref="E19:E32">C19/C$34</f>
        <v>0.10513414404370747</v>
      </c>
      <c r="F19" s="42">
        <f aca="true" t="shared" si="29" ref="F19:F32">D19/D$34</f>
        <v>0.08865160093711748</v>
      </c>
      <c r="G19" s="46">
        <f aca="true" t="shared" si="30" ref="G19:G32">E19*(1-G$16/10)+F19*G$16/10</f>
        <v>0.10348588973304847</v>
      </c>
      <c r="H19" s="46">
        <f aca="true" t="shared" si="31" ref="H19:Q32">H$34*$E19</f>
        <v>355.70739038418645</v>
      </c>
      <c r="I19" s="46">
        <f t="shared" si="31"/>
        <v>285.6684925848106</v>
      </c>
      <c r="J19" s="46">
        <f t="shared" si="31"/>
        <v>332.3610911177278</v>
      </c>
      <c r="K19" s="46">
        <f t="shared" si="31"/>
        <v>320.68794148449854</v>
      </c>
      <c r="L19" s="46">
        <f t="shared" si="31"/>
        <v>379.053689650645</v>
      </c>
      <c r="M19" s="46">
        <f t="shared" si="31"/>
        <v>414.07313855033294</v>
      </c>
      <c r="N19" s="46">
        <f t="shared" si="31"/>
        <v>395.396099137166</v>
      </c>
      <c r="O19" s="46">
        <f t="shared" si="31"/>
        <v>389.5595243205514</v>
      </c>
      <c r="P19" s="46">
        <f t="shared" si="31"/>
        <v>484.1120363497087</v>
      </c>
      <c r="Q19" s="46">
        <f t="shared" si="31"/>
        <v>565.8240837823138</v>
      </c>
      <c r="R19" s="50">
        <f t="shared" si="1"/>
        <v>589.1703830487716</v>
      </c>
      <c r="S19" s="46">
        <f t="shared" si="2"/>
        <v>589.1703830487724</v>
      </c>
      <c r="T19" s="46">
        <f aca="true" t="shared" si="32" ref="T19:AC32">T$34*($E19*(1-T$16/10)+$F19*T$16/10)</f>
        <v>648.8744410235839</v>
      </c>
      <c r="U19" s="46">
        <f t="shared" si="32"/>
        <v>593.3110613219804</v>
      </c>
      <c r="V19" s="46">
        <f t="shared" si="32"/>
        <v>628.2047613744555</v>
      </c>
      <c r="W19" s="46">
        <f t="shared" si="32"/>
        <v>617.8699215498913</v>
      </c>
      <c r="X19" s="46">
        <f t="shared" si="32"/>
        <v>661.3256465918553</v>
      </c>
      <c r="Y19" s="46">
        <f t="shared" si="32"/>
        <v>692.3761926726509</v>
      </c>
      <c r="Z19" s="46">
        <f t="shared" si="32"/>
        <v>690.7863851695603</v>
      </c>
      <c r="AA19" s="46">
        <f t="shared" si="32"/>
        <v>739.8760178892571</v>
      </c>
      <c r="AB19" s="46">
        <f t="shared" si="32"/>
        <v>666.456558880737</v>
      </c>
      <c r="AC19" s="46">
        <f t="shared" si="32"/>
        <v>723.1931799299992</v>
      </c>
      <c r="AD19" s="47">
        <f t="shared" si="4"/>
        <v>723.19317993</v>
      </c>
      <c r="AE19" s="41"/>
      <c r="AF19" s="46">
        <f aca="true" t="shared" si="33" ref="AF19:AI32">AF$34*$F19</f>
        <v>703.5070273032353</v>
      </c>
      <c r="AG19" s="46">
        <f t="shared" si="33"/>
        <v>713.3501036166173</v>
      </c>
      <c r="AH19" s="46">
        <f t="shared" si="33"/>
        <v>782.2516378102907</v>
      </c>
      <c r="AI19" s="46">
        <f t="shared" si="33"/>
        <v>762.565485183527</v>
      </c>
      <c r="AM19" s="52"/>
      <c r="AN19" s="55">
        <v>119438</v>
      </c>
      <c r="AO19" s="55">
        <v>120887</v>
      </c>
      <c r="AP19" s="55"/>
      <c r="AQ19" s="20"/>
      <c r="AR19" s="41">
        <f t="shared" si="5"/>
        <v>2.978176044342558</v>
      </c>
      <c r="AS19" s="41">
        <f t="shared" si="6"/>
        <v>2.3917722381889397</v>
      </c>
      <c r="AT19" s="41">
        <f t="shared" si="7"/>
        <v>2.7827081089580186</v>
      </c>
      <c r="AU19" s="41">
        <f t="shared" si="8"/>
        <v>2.6849741412657493</v>
      </c>
      <c r="AV19" s="41">
        <f t="shared" si="9"/>
        <v>3.173643979727097</v>
      </c>
      <c r="AW19" s="41">
        <f t="shared" si="10"/>
        <v>3.466845882803906</v>
      </c>
      <c r="AX19" s="41">
        <f t="shared" si="11"/>
        <v>3.310471534496274</v>
      </c>
      <c r="AY19" s="41">
        <f t="shared" si="12"/>
        <v>3.26160455065014</v>
      </c>
      <c r="AZ19" s="41">
        <f t="shared" si="13"/>
        <v>4.053249688957524</v>
      </c>
      <c r="BA19" s="41">
        <f t="shared" si="14"/>
        <v>4.737387462803411</v>
      </c>
      <c r="BB19" s="41">
        <f aca="true" t="shared" si="34" ref="BB19:BB32">S19/$AO19*1000</f>
        <v>4.873728217664202</v>
      </c>
      <c r="BC19" s="41">
        <f aca="true" t="shared" si="35" ref="BC19:BE32">T19/$AO19*1000</f>
        <v>5.367611414160199</v>
      </c>
      <c r="BD19" s="41">
        <f t="shared" si="35"/>
        <v>4.907980687104324</v>
      </c>
      <c r="BE19" s="41">
        <f t="shared" si="35"/>
        <v>5.196627936622263</v>
      </c>
      <c r="BF19" s="41">
        <f t="shared" si="15"/>
        <v>5.111136197853295</v>
      </c>
      <c r="BG19" s="41">
        <f t="shared" si="16"/>
        <v>5.470610128399707</v>
      </c>
      <c r="BH19" s="41">
        <f t="shared" si="17"/>
        <v>5.727466085457087</v>
      </c>
      <c r="BI19" s="41">
        <f t="shared" si="18"/>
        <v>5.714314898786141</v>
      </c>
      <c r="BJ19" s="41">
        <f t="shared" si="19"/>
        <v>6.120393573248216</v>
      </c>
      <c r="BK19" s="41">
        <f t="shared" si="20"/>
        <v>5.513053999857197</v>
      </c>
      <c r="BL19" s="41">
        <f aca="true" t="shared" si="36" ref="BL19:BL32">AC19/$AO19*1000</f>
        <v>5.982389999999993</v>
      </c>
      <c r="BM19" s="41">
        <f t="shared" si="21"/>
        <v>5.819542442969346</v>
      </c>
      <c r="BN19" s="41">
        <f t="shared" si="22"/>
        <v>5.90096622148467</v>
      </c>
      <c r="BO19" s="41">
        <f t="shared" si="23"/>
        <v>6.470932671091935</v>
      </c>
      <c r="BP19" s="41">
        <f t="shared" si="24"/>
        <v>6.308085114061289</v>
      </c>
      <c r="BQ19" s="41"/>
      <c r="BR19" s="41"/>
      <c r="BS19" s="41"/>
      <c r="BU19" s="41">
        <f aca="true" t="shared" si="37" ref="BU19:CK34">AVERAGE(AP19:AR19)</f>
        <v>2.978176044342558</v>
      </c>
      <c r="BV19" s="41">
        <f t="shared" si="37"/>
        <v>2.684974141265749</v>
      </c>
      <c r="BW19" s="41">
        <f t="shared" si="37"/>
        <v>2.7175521304965056</v>
      </c>
      <c r="BX19" s="41">
        <f t="shared" si="37"/>
        <v>2.619818162804236</v>
      </c>
      <c r="BY19" s="41">
        <f t="shared" si="37"/>
        <v>2.8804420766502883</v>
      </c>
      <c r="BZ19" s="41">
        <f t="shared" si="37"/>
        <v>3.108488001265584</v>
      </c>
      <c r="CA19" s="41">
        <f t="shared" si="37"/>
        <v>3.316987132342426</v>
      </c>
      <c r="CB19" s="41">
        <f t="shared" si="37"/>
        <v>3.3463073226501066</v>
      </c>
      <c r="CC19" s="41">
        <f t="shared" si="37"/>
        <v>3.541775258034646</v>
      </c>
      <c r="CD19" s="41">
        <f t="shared" si="37"/>
        <v>4.0174139008036915</v>
      </c>
      <c r="CE19" s="41">
        <f t="shared" si="37"/>
        <v>4.554788456475046</v>
      </c>
      <c r="CF19" s="41">
        <f t="shared" si="37"/>
        <v>4.992909031542603</v>
      </c>
      <c r="CG19" s="41">
        <f t="shared" si="37"/>
        <v>5.049773439642908</v>
      </c>
      <c r="CH19" s="41">
        <f t="shared" si="37"/>
        <v>5.157406679295595</v>
      </c>
      <c r="CI19" s="41">
        <f t="shared" si="37"/>
        <v>5.071914940526628</v>
      </c>
      <c r="CJ19" s="41">
        <f t="shared" si="37"/>
        <v>5.259458087625088</v>
      </c>
      <c r="CK19" s="41">
        <f t="shared" si="37"/>
        <v>5.436404137236696</v>
      </c>
      <c r="CL19" s="41">
        <f aca="true" t="shared" si="38" ref="CL19:CS34">AVERAGE(BG19:BI19)</f>
        <v>5.637463704214312</v>
      </c>
      <c r="CM19" s="41">
        <f t="shared" si="38"/>
        <v>5.854058185830482</v>
      </c>
      <c r="CN19" s="41">
        <f t="shared" si="38"/>
        <v>5.782587490630519</v>
      </c>
      <c r="CO19" s="41">
        <f t="shared" si="38"/>
        <v>5.871945857701803</v>
      </c>
      <c r="CP19" s="41">
        <f t="shared" si="38"/>
        <v>5.771662147608846</v>
      </c>
      <c r="CQ19" s="41">
        <f t="shared" si="38"/>
        <v>5.900966221484669</v>
      </c>
      <c r="CR19" s="41">
        <f t="shared" si="38"/>
        <v>6.063813778515318</v>
      </c>
      <c r="CS19" s="41">
        <f t="shared" si="38"/>
        <v>6.226661335545965</v>
      </c>
      <c r="CT19" s="41"/>
      <c r="CU19" s="41"/>
      <c r="CV19" s="41"/>
      <c r="CW19" s="8"/>
      <c r="CX19">
        <v>1</v>
      </c>
      <c r="CY19">
        <v>1200</v>
      </c>
      <c r="DA19" s="41">
        <f aca="true" t="shared" si="39" ref="DA19:DR34">BV19-BU19</f>
        <v>-0.29320190307680916</v>
      </c>
      <c r="DB19" s="41">
        <f t="shared" si="39"/>
        <v>0.03257798923075672</v>
      </c>
      <c r="DC19" s="41">
        <f t="shared" si="39"/>
        <v>-0.09773396769226972</v>
      </c>
      <c r="DD19" s="41">
        <f t="shared" si="39"/>
        <v>0.26062391384605244</v>
      </c>
      <c r="DE19" s="41">
        <f t="shared" si="39"/>
        <v>0.22804592461529571</v>
      </c>
      <c r="DF19" s="41">
        <f t="shared" si="39"/>
        <v>0.20849913107684204</v>
      </c>
      <c r="DG19" s="41">
        <f t="shared" si="39"/>
        <v>0.029320190307680516</v>
      </c>
      <c r="DH19" s="41">
        <f t="shared" si="39"/>
        <v>0.19546793538453944</v>
      </c>
      <c r="DI19" s="41">
        <f t="shared" si="39"/>
        <v>0.47563864276904555</v>
      </c>
      <c r="DJ19" s="41">
        <f t="shared" si="39"/>
        <v>0.5373745556713541</v>
      </c>
      <c r="DK19" s="41">
        <f t="shared" si="39"/>
        <v>0.43812057506755764</v>
      </c>
      <c r="DL19" s="41">
        <f t="shared" si="39"/>
        <v>0.056864408100304686</v>
      </c>
      <c r="DM19" s="41">
        <f t="shared" si="39"/>
        <v>0.1076332396526869</v>
      </c>
      <c r="DN19" s="41">
        <f t="shared" si="39"/>
        <v>-0.0854917387689671</v>
      </c>
      <c r="DO19" s="41">
        <f t="shared" si="39"/>
        <v>0.18754314709846032</v>
      </c>
      <c r="DP19" s="41">
        <f t="shared" si="39"/>
        <v>0.1769460496116082</v>
      </c>
      <c r="DQ19" s="41">
        <f t="shared" si="39"/>
        <v>0.20105956697761584</v>
      </c>
      <c r="DR19" s="41">
        <f t="shared" si="39"/>
        <v>0.2165944816161698</v>
      </c>
      <c r="DS19" s="41">
        <f aca="true" t="shared" si="40" ref="DS19:DX34">CN19-CM19</f>
        <v>-0.07147069519996307</v>
      </c>
      <c r="DT19" s="41">
        <f t="shared" si="40"/>
        <v>0.0893583670712843</v>
      </c>
      <c r="DU19" s="41">
        <f t="shared" si="40"/>
        <v>-0.100283710092957</v>
      </c>
      <c r="DV19" s="41">
        <f t="shared" si="40"/>
        <v>0.1293040738758231</v>
      </c>
      <c r="DW19" s="41">
        <f t="shared" si="40"/>
        <v>0.16284755703064846</v>
      </c>
      <c r="DX19" s="41">
        <f t="shared" si="40"/>
        <v>0.16284755703064757</v>
      </c>
      <c r="DY19" s="41"/>
      <c r="DZ19" s="41"/>
      <c r="EA19" s="41"/>
      <c r="EC19" s="109">
        <v>137.3769371</v>
      </c>
      <c r="ED19" s="108">
        <f aca="true" t="shared" si="41" ref="ED19:ED32">DR19*EC19</f>
        <v>29.75508647719166</v>
      </c>
      <c r="EE19" s="108"/>
      <c r="EF19" s="109">
        <v>137.3200197</v>
      </c>
      <c r="EG19" s="108">
        <f t="shared" si="27"/>
        <v>-13.770961045553943</v>
      </c>
      <c r="EH19" s="108"/>
      <c r="EI19" s="109">
        <v>137.2978046</v>
      </c>
      <c r="EJ19" s="108">
        <f aca="true" t="shared" si="42" ref="EJ19:EJ32">DV19*EI19</f>
        <v>17.753165468986726</v>
      </c>
    </row>
    <row r="20" spans="1:140" ht="15.75">
      <c r="A20">
        <v>1</v>
      </c>
      <c r="B20">
        <v>1800</v>
      </c>
      <c r="C20" s="39">
        <v>46.38445569795223</v>
      </c>
      <c r="D20" s="40">
        <v>98.263183705</v>
      </c>
      <c r="E20" s="41">
        <f t="shared" si="28"/>
        <v>0.008277045464340308</v>
      </c>
      <c r="F20" s="42">
        <f t="shared" si="29"/>
        <v>0.01204545174149666</v>
      </c>
      <c r="G20" s="46">
        <f t="shared" si="30"/>
        <v>0.008653886092055944</v>
      </c>
      <c r="H20" s="46">
        <f t="shared" si="31"/>
        <v>28.004282233826544</v>
      </c>
      <c r="I20" s="46">
        <f t="shared" si="31"/>
        <v>22.490230194588815</v>
      </c>
      <c r="J20" s="46">
        <f t="shared" si="31"/>
        <v>26.166264887413966</v>
      </c>
      <c r="K20" s="46">
        <f t="shared" si="31"/>
        <v>25.24725621420768</v>
      </c>
      <c r="L20" s="46">
        <f t="shared" si="31"/>
        <v>29.842299580239114</v>
      </c>
      <c r="M20" s="46">
        <f t="shared" si="31"/>
        <v>32.59932559985798</v>
      </c>
      <c r="N20" s="46">
        <f t="shared" si="31"/>
        <v>31.128911722727917</v>
      </c>
      <c r="O20" s="46">
        <f t="shared" si="31"/>
        <v>30.669407386124774</v>
      </c>
      <c r="P20" s="46">
        <f t="shared" si="31"/>
        <v>38.1133776390957</v>
      </c>
      <c r="Q20" s="46">
        <f t="shared" si="31"/>
        <v>44.54643835153971</v>
      </c>
      <c r="R20" s="50">
        <f t="shared" si="1"/>
        <v>46.38445569795223</v>
      </c>
      <c r="S20" s="46">
        <f t="shared" si="2"/>
        <v>46.38445569795228</v>
      </c>
      <c r="T20" s="46">
        <f t="shared" si="32"/>
        <v>54.261363700401304</v>
      </c>
      <c r="U20" s="46">
        <f t="shared" si="32"/>
        <v>52.61345702296673</v>
      </c>
      <c r="V20" s="46">
        <f t="shared" si="32"/>
        <v>58.987075626823874</v>
      </c>
      <c r="W20" s="46">
        <f t="shared" si="32"/>
        <v>61.349931590035155</v>
      </c>
      <c r="X20" s="46">
        <f t="shared" si="32"/>
        <v>69.35385575621761</v>
      </c>
      <c r="Y20" s="46">
        <f t="shared" si="32"/>
        <v>76.60613522310412</v>
      </c>
      <c r="Z20" s="46">
        <f t="shared" si="32"/>
        <v>80.55745575516313</v>
      </c>
      <c r="AA20" s="46">
        <f t="shared" si="32"/>
        <v>90.8611413793123</v>
      </c>
      <c r="AB20" s="46">
        <f t="shared" si="32"/>
        <v>86.11998755113747</v>
      </c>
      <c r="AC20" s="46">
        <f t="shared" si="32"/>
        <v>98.2631837049999</v>
      </c>
      <c r="AD20" s="47">
        <f t="shared" si="4"/>
        <v>98.263183705</v>
      </c>
      <c r="AE20" s="41"/>
      <c r="AF20" s="46">
        <f t="shared" si="33"/>
        <v>95.58834648903554</v>
      </c>
      <c r="AG20" s="46">
        <f t="shared" si="33"/>
        <v>96.92576509701772</v>
      </c>
      <c r="AH20" s="46">
        <f t="shared" si="33"/>
        <v>106.28769535289294</v>
      </c>
      <c r="AI20" s="46">
        <f t="shared" si="33"/>
        <v>103.61285813692861</v>
      </c>
      <c r="AM20" s="52"/>
      <c r="AN20" s="55">
        <v>23674</v>
      </c>
      <c r="AO20" s="55">
        <v>23867</v>
      </c>
      <c r="AP20" s="55"/>
      <c r="AQ20" s="20"/>
      <c r="AR20" s="41">
        <f t="shared" si="5"/>
        <v>1.1829129945858978</v>
      </c>
      <c r="AS20" s="41">
        <f t="shared" si="6"/>
        <v>0.9499970513892377</v>
      </c>
      <c r="AT20" s="41">
        <f t="shared" si="7"/>
        <v>1.1052743468536779</v>
      </c>
      <c r="AU20" s="41">
        <f t="shared" si="8"/>
        <v>1.0664550229875678</v>
      </c>
      <c r="AV20" s="41">
        <f t="shared" si="9"/>
        <v>1.2605516423181176</v>
      </c>
      <c r="AW20" s="41">
        <f t="shared" si="10"/>
        <v>1.3770096139164474</v>
      </c>
      <c r="AX20" s="41">
        <f t="shared" si="11"/>
        <v>1.3148986957306716</v>
      </c>
      <c r="AY20" s="41">
        <f t="shared" si="12"/>
        <v>1.2954890337976166</v>
      </c>
      <c r="AZ20" s="41">
        <f t="shared" si="13"/>
        <v>1.6099255571131073</v>
      </c>
      <c r="BA20" s="41">
        <f t="shared" si="14"/>
        <v>1.8816608241758772</v>
      </c>
      <c r="BB20" s="41">
        <f t="shared" si="34"/>
        <v>1.9434556374052996</v>
      </c>
      <c r="BC20" s="41">
        <f t="shared" si="35"/>
        <v>2.2734890727951274</v>
      </c>
      <c r="BD20" s="41">
        <f t="shared" si="35"/>
        <v>2.2044436679501707</v>
      </c>
      <c r="BE20" s="41">
        <f t="shared" si="35"/>
        <v>2.4714909970597008</v>
      </c>
      <c r="BF20" s="41">
        <f t="shared" si="15"/>
        <v>2.570491959191987</v>
      </c>
      <c r="BG20" s="41">
        <f t="shared" si="16"/>
        <v>2.905847226556233</v>
      </c>
      <c r="BH20" s="41">
        <f t="shared" si="17"/>
        <v>3.2097094407803293</v>
      </c>
      <c r="BI20" s="41">
        <f t="shared" si="18"/>
        <v>3.375265251399972</v>
      </c>
      <c r="BJ20" s="41">
        <f t="shared" si="19"/>
        <v>3.8069778932966982</v>
      </c>
      <c r="BK20" s="41">
        <f t="shared" si="20"/>
        <v>3.6083289710117517</v>
      </c>
      <c r="BL20" s="41">
        <f t="shared" si="36"/>
        <v>4.117114999999996</v>
      </c>
      <c r="BM20" s="41">
        <f t="shared" si="21"/>
        <v>4.005042380233609</v>
      </c>
      <c r="BN20" s="41">
        <f t="shared" si="22"/>
        <v>4.061078690116802</v>
      </c>
      <c r="BO20" s="41">
        <f t="shared" si="23"/>
        <v>4.453332859299155</v>
      </c>
      <c r="BP20" s="41">
        <f t="shared" si="24"/>
        <v>4.341260239532769</v>
      </c>
      <c r="BQ20" s="41"/>
      <c r="BR20" s="41"/>
      <c r="BS20" s="41"/>
      <c r="BU20" s="41">
        <f t="shared" si="37"/>
        <v>1.1829129945858978</v>
      </c>
      <c r="BV20" s="41">
        <f t="shared" si="37"/>
        <v>1.0664550229875678</v>
      </c>
      <c r="BW20" s="41">
        <f t="shared" si="37"/>
        <v>1.0793947976096046</v>
      </c>
      <c r="BX20" s="41">
        <f t="shared" si="37"/>
        <v>1.0405754737434945</v>
      </c>
      <c r="BY20" s="41">
        <f t="shared" si="37"/>
        <v>1.1440936707197877</v>
      </c>
      <c r="BZ20" s="41">
        <f t="shared" si="37"/>
        <v>1.2346720930740442</v>
      </c>
      <c r="CA20" s="41">
        <f t="shared" si="37"/>
        <v>1.3174866506550789</v>
      </c>
      <c r="CB20" s="41">
        <f t="shared" si="37"/>
        <v>1.329132447814912</v>
      </c>
      <c r="CC20" s="41">
        <f t="shared" si="37"/>
        <v>1.406771095547132</v>
      </c>
      <c r="CD20" s="41">
        <f t="shared" si="37"/>
        <v>1.595691805028867</v>
      </c>
      <c r="CE20" s="41">
        <f t="shared" si="37"/>
        <v>1.8116806728980945</v>
      </c>
      <c r="CF20" s="41">
        <f t="shared" si="37"/>
        <v>2.032868511458768</v>
      </c>
      <c r="CG20" s="41">
        <f t="shared" si="37"/>
        <v>2.140462792716866</v>
      </c>
      <c r="CH20" s="41">
        <f t="shared" si="37"/>
        <v>2.316474579268333</v>
      </c>
      <c r="CI20" s="41">
        <f t="shared" si="37"/>
        <v>2.4154755414006193</v>
      </c>
      <c r="CJ20" s="41">
        <f t="shared" si="37"/>
        <v>2.6492767276026403</v>
      </c>
      <c r="CK20" s="41">
        <f t="shared" si="37"/>
        <v>2.895349542176183</v>
      </c>
      <c r="CL20" s="41">
        <f t="shared" si="38"/>
        <v>3.1636073062455115</v>
      </c>
      <c r="CM20" s="41">
        <f t="shared" si="38"/>
        <v>3.463984195159</v>
      </c>
      <c r="CN20" s="41">
        <f t="shared" si="38"/>
        <v>3.596857371902807</v>
      </c>
      <c r="CO20" s="41">
        <f t="shared" si="38"/>
        <v>3.8441406214361487</v>
      </c>
      <c r="CP20" s="41">
        <f t="shared" si="38"/>
        <v>3.9101621170817857</v>
      </c>
      <c r="CQ20" s="41">
        <f t="shared" si="38"/>
        <v>4.061078690116802</v>
      </c>
      <c r="CR20" s="41">
        <f t="shared" si="38"/>
        <v>4.173151309883188</v>
      </c>
      <c r="CS20" s="41">
        <f t="shared" si="38"/>
        <v>4.285223929649575</v>
      </c>
      <c r="CT20" s="41"/>
      <c r="CU20" s="41"/>
      <c r="CV20" s="41"/>
      <c r="CW20" s="8"/>
      <c r="CX20">
        <v>1</v>
      </c>
      <c r="CY20">
        <v>1800</v>
      </c>
      <c r="DA20" s="41">
        <f t="shared" si="39"/>
        <v>-0.11645797159833005</v>
      </c>
      <c r="DB20" s="41">
        <f t="shared" si="39"/>
        <v>0.01293977462203677</v>
      </c>
      <c r="DC20" s="41">
        <f t="shared" si="39"/>
        <v>-0.03881932386611009</v>
      </c>
      <c r="DD20" s="41">
        <f t="shared" si="39"/>
        <v>0.10351819697629328</v>
      </c>
      <c r="DE20" s="41">
        <f t="shared" si="39"/>
        <v>0.0905784223542565</v>
      </c>
      <c r="DF20" s="41">
        <f t="shared" si="39"/>
        <v>0.08281455758103462</v>
      </c>
      <c r="DG20" s="41">
        <f t="shared" si="39"/>
        <v>0.01164579715983316</v>
      </c>
      <c r="DH20" s="41">
        <f t="shared" si="39"/>
        <v>0.07763864773221996</v>
      </c>
      <c r="DI20" s="41">
        <f t="shared" si="39"/>
        <v>0.18892070948173512</v>
      </c>
      <c r="DJ20" s="41">
        <f t="shared" si="39"/>
        <v>0.21598886786922744</v>
      </c>
      <c r="DK20" s="41">
        <f t="shared" si="39"/>
        <v>0.22118783856067337</v>
      </c>
      <c r="DL20" s="41">
        <f t="shared" si="39"/>
        <v>0.10759428125809789</v>
      </c>
      <c r="DM20" s="41">
        <f t="shared" si="39"/>
        <v>0.176011786551467</v>
      </c>
      <c r="DN20" s="41">
        <f t="shared" si="39"/>
        <v>0.09900096213228649</v>
      </c>
      <c r="DO20" s="41">
        <f t="shared" si="39"/>
        <v>0.23380118620202106</v>
      </c>
      <c r="DP20" s="41">
        <f t="shared" si="39"/>
        <v>0.2460728145735427</v>
      </c>
      <c r="DQ20" s="41">
        <f t="shared" si="39"/>
        <v>0.26825776406932844</v>
      </c>
      <c r="DR20" s="41">
        <f aca="true" t="shared" si="43" ref="DR20:DR34">CM20-CL20</f>
        <v>0.30037688891348857</v>
      </c>
      <c r="DS20" s="41">
        <f t="shared" si="40"/>
        <v>0.13287317674380716</v>
      </c>
      <c r="DT20" s="41">
        <f t="shared" si="40"/>
        <v>0.24728324953334146</v>
      </c>
      <c r="DU20" s="41">
        <f t="shared" si="40"/>
        <v>0.06602149564563708</v>
      </c>
      <c r="DV20" s="41">
        <f t="shared" si="40"/>
        <v>0.15091657303501638</v>
      </c>
      <c r="DW20" s="41">
        <f t="shared" si="40"/>
        <v>0.11207261976638616</v>
      </c>
      <c r="DX20" s="41">
        <f t="shared" si="40"/>
        <v>0.11207261976638705</v>
      </c>
      <c r="DY20" s="41"/>
      <c r="DZ20" s="41"/>
      <c r="EA20" s="41"/>
      <c r="EC20" s="109">
        <v>2.474232982</v>
      </c>
      <c r="ED20" s="108">
        <f t="shared" si="41"/>
        <v>0.7432024055803036</v>
      </c>
      <c r="EE20" s="108"/>
      <c r="EF20" s="109">
        <v>2.480066887</v>
      </c>
      <c r="EG20" s="108">
        <f t="shared" si="27"/>
        <v>0.16373772518095922</v>
      </c>
      <c r="EH20" s="108"/>
      <c r="EI20" s="109">
        <v>2.480774424</v>
      </c>
      <c r="EJ20" s="108">
        <f t="shared" si="42"/>
        <v>0.37438997454299666</v>
      </c>
    </row>
    <row r="21" spans="1:140" ht="15.75">
      <c r="A21">
        <v>2</v>
      </c>
      <c r="B21">
        <v>600</v>
      </c>
      <c r="C21" s="39">
        <v>237.85647898378804</v>
      </c>
      <c r="D21" s="40">
        <v>682.5304674399999</v>
      </c>
      <c r="E21" s="41">
        <f t="shared" si="28"/>
        <v>0.042444152052939464</v>
      </c>
      <c r="F21" s="42">
        <f t="shared" si="29"/>
        <v>0.08366702052247205</v>
      </c>
      <c r="G21" s="46">
        <f t="shared" si="30"/>
        <v>0.046566438899892725</v>
      </c>
      <c r="H21" s="46">
        <f t="shared" si="31"/>
        <v>143.60414212859462</v>
      </c>
      <c r="I21" s="46">
        <f t="shared" si="31"/>
        <v>115.32844107203648</v>
      </c>
      <c r="J21" s="46">
        <f t="shared" si="31"/>
        <v>134.17890844307524</v>
      </c>
      <c r="K21" s="46">
        <f t="shared" si="31"/>
        <v>129.46629160031554</v>
      </c>
      <c r="L21" s="46">
        <f t="shared" si="31"/>
        <v>153.029375814114</v>
      </c>
      <c r="M21" s="46">
        <f t="shared" si="31"/>
        <v>167.16722634239306</v>
      </c>
      <c r="N21" s="46">
        <f t="shared" si="31"/>
        <v>159.62703939397755</v>
      </c>
      <c r="O21" s="46">
        <f t="shared" si="31"/>
        <v>157.2707309725977</v>
      </c>
      <c r="P21" s="46">
        <f t="shared" si="31"/>
        <v>195.44292739895118</v>
      </c>
      <c r="Q21" s="46">
        <f t="shared" si="31"/>
        <v>228.43124529826898</v>
      </c>
      <c r="R21" s="50">
        <f t="shared" si="1"/>
        <v>237.85647898378804</v>
      </c>
      <c r="S21" s="46">
        <f t="shared" si="2"/>
        <v>237.85647898378835</v>
      </c>
      <c r="T21" s="46">
        <f t="shared" si="32"/>
        <v>291.9796320983583</v>
      </c>
      <c r="U21" s="46">
        <f t="shared" si="32"/>
        <v>295.31500358567865</v>
      </c>
      <c r="V21" s="46">
        <f t="shared" si="32"/>
        <v>343.67453621438193</v>
      </c>
      <c r="W21" s="46">
        <f t="shared" si="32"/>
        <v>369.5219882723938</v>
      </c>
      <c r="X21" s="46">
        <f t="shared" si="32"/>
        <v>430.3750657931187</v>
      </c>
      <c r="Y21" s="46">
        <f t="shared" si="32"/>
        <v>488.34633307091025</v>
      </c>
      <c r="Z21" s="46">
        <f t="shared" si="32"/>
        <v>526.2296283709871</v>
      </c>
      <c r="AA21" s="46">
        <f t="shared" si="32"/>
        <v>606.8994771830392</v>
      </c>
      <c r="AB21" s="46">
        <f t="shared" si="32"/>
        <v>587.0785654861427</v>
      </c>
      <c r="AC21" s="46">
        <f t="shared" si="32"/>
        <v>682.5304674399991</v>
      </c>
      <c r="AD21" s="47">
        <f t="shared" si="4"/>
        <v>682.5304674399999</v>
      </c>
      <c r="AE21" s="41"/>
      <c r="AF21" s="46">
        <f t="shared" si="33"/>
        <v>663.951200755348</v>
      </c>
      <c r="AG21" s="46">
        <f t="shared" si="33"/>
        <v>673.2408340976737</v>
      </c>
      <c r="AH21" s="46">
        <f t="shared" si="33"/>
        <v>738.2682674939524</v>
      </c>
      <c r="AI21" s="46">
        <f t="shared" si="33"/>
        <v>719.6890008093014</v>
      </c>
      <c r="AM21" s="52"/>
      <c r="AN21" s="55">
        <v>139374</v>
      </c>
      <c r="AO21" s="55">
        <v>137812</v>
      </c>
      <c r="AP21" s="55"/>
      <c r="AQ21" s="20"/>
      <c r="AR21" s="41">
        <f t="shared" si="5"/>
        <v>1.030351013306604</v>
      </c>
      <c r="AS21" s="41">
        <f t="shared" si="6"/>
        <v>0.8274745725317239</v>
      </c>
      <c r="AT21" s="41">
        <f t="shared" si="7"/>
        <v>0.9627255330483105</v>
      </c>
      <c r="AU21" s="41">
        <f t="shared" si="8"/>
        <v>0.9289127929191638</v>
      </c>
      <c r="AV21" s="41">
        <f t="shared" si="9"/>
        <v>1.0979764935648975</v>
      </c>
      <c r="AW21" s="41">
        <f t="shared" si="10"/>
        <v>1.1994147139523375</v>
      </c>
      <c r="AX21" s="41">
        <f t="shared" si="11"/>
        <v>1.1453143297457027</v>
      </c>
      <c r="AY21" s="41">
        <f t="shared" si="12"/>
        <v>1.1284079596811292</v>
      </c>
      <c r="AZ21" s="41">
        <f t="shared" si="13"/>
        <v>1.4022911547272172</v>
      </c>
      <c r="BA21" s="41">
        <f t="shared" si="14"/>
        <v>1.6389803356312438</v>
      </c>
      <c r="BB21" s="41">
        <f t="shared" si="34"/>
        <v>1.7259489665906331</v>
      </c>
      <c r="BC21" s="41">
        <f t="shared" si="35"/>
        <v>2.1186807542039756</v>
      </c>
      <c r="BD21" s="41">
        <f t="shared" si="35"/>
        <v>2.1428830840977464</v>
      </c>
      <c r="BE21" s="41">
        <f t="shared" si="35"/>
        <v>2.4937925305080975</v>
      </c>
      <c r="BF21" s="41">
        <f t="shared" si="15"/>
        <v>2.681348418660159</v>
      </c>
      <c r="BG21" s="41">
        <f t="shared" si="16"/>
        <v>3.1229143020427736</v>
      </c>
      <c r="BH21" s="41">
        <f t="shared" si="17"/>
        <v>3.5435690148238925</v>
      </c>
      <c r="BI21" s="41">
        <f t="shared" si="18"/>
        <v>3.8184601367877047</v>
      </c>
      <c r="BJ21" s="41">
        <f t="shared" si="19"/>
        <v>4.403821707710788</v>
      </c>
      <c r="BK21" s="41">
        <f t="shared" si="20"/>
        <v>4.259995976302084</v>
      </c>
      <c r="BL21" s="41">
        <f t="shared" si="36"/>
        <v>4.952619999999993</v>
      </c>
      <c r="BM21" s="41">
        <f t="shared" si="21"/>
        <v>4.817803970302644</v>
      </c>
      <c r="BN21" s="41">
        <f t="shared" si="22"/>
        <v>4.88521198515132</v>
      </c>
      <c r="BO21" s="41">
        <f t="shared" si="23"/>
        <v>5.357068089092041</v>
      </c>
      <c r="BP21" s="41">
        <f t="shared" si="24"/>
        <v>5.222252059394694</v>
      </c>
      <c r="BQ21" s="41"/>
      <c r="BR21" s="41"/>
      <c r="BS21" s="41"/>
      <c r="BU21" s="41">
        <f t="shared" si="37"/>
        <v>1.030351013306604</v>
      </c>
      <c r="BV21" s="41">
        <f t="shared" si="37"/>
        <v>0.928912792919164</v>
      </c>
      <c r="BW21" s="41">
        <f t="shared" si="37"/>
        <v>0.9401837062955462</v>
      </c>
      <c r="BX21" s="41">
        <f t="shared" si="37"/>
        <v>0.9063709661663996</v>
      </c>
      <c r="BY21" s="41">
        <f t="shared" si="37"/>
        <v>0.9965382731774572</v>
      </c>
      <c r="BZ21" s="41">
        <f t="shared" si="37"/>
        <v>1.0754346668121328</v>
      </c>
      <c r="CA21" s="41">
        <f t="shared" si="37"/>
        <v>1.1475685124209791</v>
      </c>
      <c r="CB21" s="41">
        <f t="shared" si="37"/>
        <v>1.157712334459723</v>
      </c>
      <c r="CC21" s="41">
        <f t="shared" si="37"/>
        <v>1.2253378147180165</v>
      </c>
      <c r="CD21" s="41">
        <f t="shared" si="37"/>
        <v>1.3898931500131966</v>
      </c>
      <c r="CE21" s="41">
        <f t="shared" si="37"/>
        <v>1.589073485649698</v>
      </c>
      <c r="CF21" s="41">
        <f t="shared" si="37"/>
        <v>1.8278700188086177</v>
      </c>
      <c r="CG21" s="41">
        <f t="shared" si="37"/>
        <v>1.995837601630785</v>
      </c>
      <c r="CH21" s="41">
        <f t="shared" si="37"/>
        <v>2.2517854562699395</v>
      </c>
      <c r="CI21" s="41">
        <f t="shared" si="37"/>
        <v>2.439341344422001</v>
      </c>
      <c r="CJ21" s="41">
        <f t="shared" si="37"/>
        <v>2.766018417070343</v>
      </c>
      <c r="CK21" s="41">
        <f t="shared" si="37"/>
        <v>3.1159439118422747</v>
      </c>
      <c r="CL21" s="41">
        <f t="shared" si="38"/>
        <v>3.4949811512181235</v>
      </c>
      <c r="CM21" s="41">
        <f t="shared" si="38"/>
        <v>3.9219502864407954</v>
      </c>
      <c r="CN21" s="41">
        <f t="shared" si="38"/>
        <v>4.160759273600192</v>
      </c>
      <c r="CO21" s="41">
        <f t="shared" si="38"/>
        <v>4.538812561337622</v>
      </c>
      <c r="CP21" s="41">
        <f t="shared" si="38"/>
        <v>4.67680664886824</v>
      </c>
      <c r="CQ21" s="41">
        <f t="shared" si="38"/>
        <v>4.885211985151319</v>
      </c>
      <c r="CR21" s="41">
        <f t="shared" si="38"/>
        <v>5.020028014848669</v>
      </c>
      <c r="CS21" s="41">
        <f t="shared" si="38"/>
        <v>5.154844044546018</v>
      </c>
      <c r="CT21" s="41"/>
      <c r="CU21" s="41"/>
      <c r="CV21" s="41"/>
      <c r="CW21" s="8"/>
      <c r="CX21">
        <v>2</v>
      </c>
      <c r="CY21">
        <v>600</v>
      </c>
      <c r="DA21" s="41">
        <f t="shared" si="39"/>
        <v>-0.1014382203874401</v>
      </c>
      <c r="DB21" s="41">
        <f t="shared" si="39"/>
        <v>0.011270913376382197</v>
      </c>
      <c r="DC21" s="41">
        <f t="shared" si="39"/>
        <v>-0.03381274012914659</v>
      </c>
      <c r="DD21" s="41">
        <f t="shared" si="39"/>
        <v>0.09016730701105768</v>
      </c>
      <c r="DE21" s="41">
        <f t="shared" si="39"/>
        <v>0.0788963936346756</v>
      </c>
      <c r="DF21" s="41">
        <f t="shared" si="39"/>
        <v>0.07213384560884628</v>
      </c>
      <c r="DG21" s="41">
        <f t="shared" si="39"/>
        <v>0.010143822038743977</v>
      </c>
      <c r="DH21" s="41">
        <f t="shared" si="39"/>
        <v>0.0676254802582934</v>
      </c>
      <c r="DI21" s="41">
        <f t="shared" si="39"/>
        <v>0.16455533529518007</v>
      </c>
      <c r="DJ21" s="41">
        <f t="shared" si="39"/>
        <v>0.1991803356365014</v>
      </c>
      <c r="DK21" s="41">
        <f t="shared" si="39"/>
        <v>0.2387965331589197</v>
      </c>
      <c r="DL21" s="41">
        <f t="shared" si="39"/>
        <v>0.1679675828221674</v>
      </c>
      <c r="DM21" s="41">
        <f t="shared" si="39"/>
        <v>0.2559478546391545</v>
      </c>
      <c r="DN21" s="41">
        <f t="shared" si="39"/>
        <v>0.18755588815206137</v>
      </c>
      <c r="DO21" s="41">
        <f t="shared" si="39"/>
        <v>0.3266770726483421</v>
      </c>
      <c r="DP21" s="41">
        <f t="shared" si="39"/>
        <v>0.3499254947719317</v>
      </c>
      <c r="DQ21" s="41">
        <f t="shared" si="39"/>
        <v>0.37903723937584877</v>
      </c>
      <c r="DR21" s="41">
        <f t="shared" si="43"/>
        <v>0.4269691352226719</v>
      </c>
      <c r="DS21" s="41">
        <f t="shared" si="40"/>
        <v>0.23880898715939658</v>
      </c>
      <c r="DT21" s="41">
        <f t="shared" si="40"/>
        <v>0.37805328773742986</v>
      </c>
      <c r="DU21" s="41">
        <f t="shared" si="40"/>
        <v>0.13799408753061826</v>
      </c>
      <c r="DV21" s="41">
        <f t="shared" si="40"/>
        <v>0.20840533628307867</v>
      </c>
      <c r="DW21" s="41">
        <f t="shared" si="40"/>
        <v>0.13481602969735018</v>
      </c>
      <c r="DX21" s="41">
        <f>CS21-CR21</f>
        <v>0.1348160296973493</v>
      </c>
      <c r="DY21" s="41"/>
      <c r="DZ21" s="41"/>
      <c r="EA21" s="41"/>
      <c r="EC21" s="109">
        <v>8.781905735</v>
      </c>
      <c r="ED21" s="108">
        <f t="shared" si="41"/>
        <v>3.7496026972799728</v>
      </c>
      <c r="EE21" s="108"/>
      <c r="EF21" s="109">
        <v>8.761261409</v>
      </c>
      <c r="EG21" s="108">
        <f t="shared" si="27"/>
        <v>1.2090022737521737</v>
      </c>
      <c r="EH21" s="108"/>
      <c r="EI21" s="109">
        <v>8.753785688</v>
      </c>
      <c r="EJ21" s="108">
        <f t="shared" si="42"/>
        <v>1.8243356500576413</v>
      </c>
    </row>
    <row r="22" spans="1:140" ht="15.75">
      <c r="A22">
        <v>2</v>
      </c>
      <c r="B22">
        <v>1200</v>
      </c>
      <c r="C22" s="39">
        <v>218.04254744895087</v>
      </c>
      <c r="D22" s="40">
        <v>515.685296145</v>
      </c>
      <c r="E22" s="41">
        <f t="shared" si="28"/>
        <v>0.03890846731387259</v>
      </c>
      <c r="F22" s="42">
        <f t="shared" si="29"/>
        <v>0.06321454398589711</v>
      </c>
      <c r="G22" s="46">
        <f t="shared" si="30"/>
        <v>0.041339074981075044</v>
      </c>
      <c r="H22" s="46">
        <f t="shared" si="31"/>
        <v>131.641623165851</v>
      </c>
      <c r="I22" s="46">
        <f t="shared" si="31"/>
        <v>105.72134588092091</v>
      </c>
      <c r="J22" s="46">
        <f t="shared" si="31"/>
        <v>123.00153073754096</v>
      </c>
      <c r="K22" s="46">
        <f t="shared" si="31"/>
        <v>118.68148452338596</v>
      </c>
      <c r="L22" s="46">
        <f t="shared" si="31"/>
        <v>140.281715594161</v>
      </c>
      <c r="M22" s="46">
        <f t="shared" si="31"/>
        <v>153.24185423662604</v>
      </c>
      <c r="N22" s="46">
        <f t="shared" si="31"/>
        <v>146.32978029397802</v>
      </c>
      <c r="O22" s="46">
        <f t="shared" si="31"/>
        <v>144.1697571869005</v>
      </c>
      <c r="P22" s="46">
        <f t="shared" si="31"/>
        <v>179.1621315215561</v>
      </c>
      <c r="Q22" s="46">
        <f t="shared" si="31"/>
        <v>209.40245502064116</v>
      </c>
      <c r="R22" s="50">
        <f t="shared" si="1"/>
        <v>218.04254744895087</v>
      </c>
      <c r="S22" s="46">
        <f t="shared" si="2"/>
        <v>218.04254744895118</v>
      </c>
      <c r="T22" s="46">
        <f t="shared" si="32"/>
        <v>259.2031555217023</v>
      </c>
      <c r="U22" s="46">
        <f t="shared" si="32"/>
        <v>255.0043189638551</v>
      </c>
      <c r="V22" s="46">
        <f t="shared" si="32"/>
        <v>289.6838170973443</v>
      </c>
      <c r="W22" s="46">
        <f t="shared" si="32"/>
        <v>304.92414788516527</v>
      </c>
      <c r="X22" s="46">
        <f t="shared" si="32"/>
        <v>348.51153002203677</v>
      </c>
      <c r="Y22" s="46">
        <f t="shared" si="32"/>
        <v>388.8583571892774</v>
      </c>
      <c r="Z22" s="46">
        <f t="shared" si="32"/>
        <v>412.73669916934966</v>
      </c>
      <c r="AA22" s="46">
        <f t="shared" si="32"/>
        <v>469.5499302876997</v>
      </c>
      <c r="AB22" s="46">
        <f t="shared" si="32"/>
        <v>448.614816967612</v>
      </c>
      <c r="AC22" s="46">
        <f t="shared" si="32"/>
        <v>515.6852961449995</v>
      </c>
      <c r="AD22" s="47">
        <f t="shared" si="4"/>
        <v>515.685296145</v>
      </c>
      <c r="AE22" s="41"/>
      <c r="AF22" s="46">
        <f t="shared" si="33"/>
        <v>501.6477474940691</v>
      </c>
      <c r="AG22" s="46">
        <f t="shared" si="33"/>
        <v>508.66652181953424</v>
      </c>
      <c r="AH22" s="46">
        <f t="shared" si="33"/>
        <v>557.7979420977905</v>
      </c>
      <c r="AI22" s="46">
        <f t="shared" si="33"/>
        <v>543.7603934468602</v>
      </c>
      <c r="AM22" s="52"/>
      <c r="AN22" s="55">
        <v>91136</v>
      </c>
      <c r="AO22" s="55">
        <v>88553</v>
      </c>
      <c r="AP22" s="55"/>
      <c r="AQ22" s="20"/>
      <c r="AR22" s="41">
        <f t="shared" si="5"/>
        <v>1.4444525013809142</v>
      </c>
      <c r="AS22" s="41">
        <f t="shared" si="6"/>
        <v>1.1600393464813128</v>
      </c>
      <c r="AT22" s="41">
        <f t="shared" si="7"/>
        <v>1.3496481164143803</v>
      </c>
      <c r="AU22" s="41">
        <f t="shared" si="8"/>
        <v>1.3022459239311135</v>
      </c>
      <c r="AV22" s="41">
        <f t="shared" si="9"/>
        <v>1.5392568863474478</v>
      </c>
      <c r="AW22" s="41">
        <f t="shared" si="10"/>
        <v>1.6814634637972485</v>
      </c>
      <c r="AX22" s="41">
        <f t="shared" si="11"/>
        <v>1.6056199558240214</v>
      </c>
      <c r="AY22" s="41">
        <f t="shared" si="12"/>
        <v>1.581918859582388</v>
      </c>
      <c r="AZ22" s="41">
        <f t="shared" si="13"/>
        <v>1.9658766186968495</v>
      </c>
      <c r="BA22" s="41">
        <f t="shared" si="14"/>
        <v>2.2976919660797175</v>
      </c>
      <c r="BB22" s="41">
        <f t="shared" si="34"/>
        <v>2.4622830107274876</v>
      </c>
      <c r="BC22" s="41">
        <f t="shared" si="35"/>
        <v>2.927096264629118</v>
      </c>
      <c r="BD22" s="41">
        <f t="shared" si="35"/>
        <v>2.8796801798228757</v>
      </c>
      <c r="BE22" s="41">
        <f t="shared" si="35"/>
        <v>3.271304383785352</v>
      </c>
      <c r="BF22" s="41">
        <f t="shared" si="15"/>
        <v>3.443408443363469</v>
      </c>
      <c r="BG22" s="41">
        <f t="shared" si="16"/>
        <v>3.935626461238318</v>
      </c>
      <c r="BH22" s="41">
        <f t="shared" si="17"/>
        <v>4.391249954143591</v>
      </c>
      <c r="BI22" s="41">
        <f t="shared" si="18"/>
        <v>4.660900242446328</v>
      </c>
      <c r="BJ22" s="41">
        <f t="shared" si="19"/>
        <v>5.302473437237583</v>
      </c>
      <c r="BK22" s="41">
        <f t="shared" si="20"/>
        <v>5.066060065357606</v>
      </c>
      <c r="BL22" s="41">
        <f t="shared" si="36"/>
        <v>5.8234649999999935</v>
      </c>
      <c r="BM22" s="41">
        <f t="shared" si="21"/>
        <v>5.66494356480378</v>
      </c>
      <c r="BN22" s="41">
        <f t="shared" si="22"/>
        <v>5.744204282401887</v>
      </c>
      <c r="BO22" s="41">
        <f t="shared" si="23"/>
        <v>6.299029305588636</v>
      </c>
      <c r="BP22" s="41">
        <f t="shared" si="24"/>
        <v>6.140507870392423</v>
      </c>
      <c r="BQ22" s="41"/>
      <c r="BR22" s="41"/>
      <c r="BS22" s="41"/>
      <c r="BU22" s="41">
        <f t="shared" si="37"/>
        <v>1.4444525013809142</v>
      </c>
      <c r="BV22" s="41">
        <f t="shared" si="37"/>
        <v>1.3022459239311135</v>
      </c>
      <c r="BW22" s="41">
        <f t="shared" si="37"/>
        <v>1.3180466547588692</v>
      </c>
      <c r="BX22" s="41">
        <f t="shared" si="37"/>
        <v>1.2706444622756021</v>
      </c>
      <c r="BY22" s="41">
        <f t="shared" si="37"/>
        <v>1.3970503088976471</v>
      </c>
      <c r="BZ22" s="41">
        <f t="shared" si="37"/>
        <v>1.5076554246919365</v>
      </c>
      <c r="CA22" s="41">
        <f t="shared" si="37"/>
        <v>1.6087801019895727</v>
      </c>
      <c r="CB22" s="41">
        <f t="shared" si="37"/>
        <v>1.6230007597345528</v>
      </c>
      <c r="CC22" s="41">
        <f t="shared" si="37"/>
        <v>1.7178051447010863</v>
      </c>
      <c r="CD22" s="41">
        <f t="shared" si="37"/>
        <v>1.9484958147863185</v>
      </c>
      <c r="CE22" s="41">
        <f t="shared" si="37"/>
        <v>2.241950531834685</v>
      </c>
      <c r="CF22" s="41">
        <f t="shared" si="37"/>
        <v>2.5623570804787743</v>
      </c>
      <c r="CG22" s="41">
        <f t="shared" si="37"/>
        <v>2.7563531517264934</v>
      </c>
      <c r="CH22" s="41">
        <f t="shared" si="37"/>
        <v>3.0260269427457818</v>
      </c>
      <c r="CI22" s="41">
        <f t="shared" si="37"/>
        <v>3.198131002323899</v>
      </c>
      <c r="CJ22" s="41">
        <f t="shared" si="37"/>
        <v>3.550113096129046</v>
      </c>
      <c r="CK22" s="41">
        <f t="shared" si="37"/>
        <v>3.923428286248459</v>
      </c>
      <c r="CL22" s="41">
        <f t="shared" si="38"/>
        <v>4.329258885942745</v>
      </c>
      <c r="CM22" s="41">
        <f t="shared" si="38"/>
        <v>4.784874544609167</v>
      </c>
      <c r="CN22" s="41">
        <f t="shared" si="38"/>
        <v>5.009811248347172</v>
      </c>
      <c r="CO22" s="41">
        <f t="shared" si="38"/>
        <v>5.397332834198394</v>
      </c>
      <c r="CP22" s="41">
        <f t="shared" si="38"/>
        <v>5.518156210053793</v>
      </c>
      <c r="CQ22" s="41">
        <f t="shared" si="38"/>
        <v>5.744204282401886</v>
      </c>
      <c r="CR22" s="41">
        <f t="shared" si="38"/>
        <v>5.902725717598101</v>
      </c>
      <c r="CS22" s="41">
        <f t="shared" si="38"/>
        <v>6.061247152794316</v>
      </c>
      <c r="CT22" s="41"/>
      <c r="CU22" s="41"/>
      <c r="CV22" s="41"/>
      <c r="CW22" s="8"/>
      <c r="CX22">
        <v>2</v>
      </c>
      <c r="CY22">
        <v>1200</v>
      </c>
      <c r="DA22" s="41">
        <f t="shared" si="39"/>
        <v>-0.1422065774498007</v>
      </c>
      <c r="DB22" s="41">
        <f t="shared" si="39"/>
        <v>0.015800730827755682</v>
      </c>
      <c r="DC22" s="41">
        <f t="shared" si="39"/>
        <v>-0.04740219248326705</v>
      </c>
      <c r="DD22" s="41">
        <f t="shared" si="39"/>
        <v>0.12640584662204501</v>
      </c>
      <c r="DE22" s="41">
        <f t="shared" si="39"/>
        <v>0.11060511579428933</v>
      </c>
      <c r="DF22" s="41">
        <f t="shared" si="39"/>
        <v>0.10112467729763619</v>
      </c>
      <c r="DG22" s="41">
        <f t="shared" si="39"/>
        <v>0.014220657744980159</v>
      </c>
      <c r="DH22" s="41">
        <f t="shared" si="39"/>
        <v>0.09480438496653343</v>
      </c>
      <c r="DI22" s="41">
        <f t="shared" si="39"/>
        <v>0.23069067008523225</v>
      </c>
      <c r="DJ22" s="41">
        <f t="shared" si="39"/>
        <v>0.29345471704836634</v>
      </c>
      <c r="DK22" s="41">
        <f t="shared" si="39"/>
        <v>0.32040654864408946</v>
      </c>
      <c r="DL22" s="41">
        <f t="shared" si="39"/>
        <v>0.19399607124771912</v>
      </c>
      <c r="DM22" s="41">
        <f t="shared" si="39"/>
        <v>0.26967379101928834</v>
      </c>
      <c r="DN22" s="41">
        <f t="shared" si="39"/>
        <v>0.17210405957811714</v>
      </c>
      <c r="DO22" s="41">
        <f t="shared" si="39"/>
        <v>0.3519820938051472</v>
      </c>
      <c r="DP22" s="41">
        <f t="shared" si="39"/>
        <v>0.37331519011941294</v>
      </c>
      <c r="DQ22" s="41">
        <f t="shared" si="39"/>
        <v>0.40583059969428614</v>
      </c>
      <c r="DR22" s="41">
        <f t="shared" si="43"/>
        <v>0.45561565866642173</v>
      </c>
      <c r="DS22" s="41">
        <f t="shared" si="40"/>
        <v>0.22493670373800523</v>
      </c>
      <c r="DT22" s="41">
        <f t="shared" si="40"/>
        <v>0.3875215858512222</v>
      </c>
      <c r="DU22" s="41">
        <f t="shared" si="40"/>
        <v>0.12082337585539893</v>
      </c>
      <c r="DV22" s="41">
        <f t="shared" si="40"/>
        <v>0.22604807234809243</v>
      </c>
      <c r="DW22" s="41">
        <f t="shared" si="40"/>
        <v>0.15852143519621542</v>
      </c>
      <c r="DX22" s="41">
        <f t="shared" si="40"/>
        <v>0.15852143519621453</v>
      </c>
      <c r="DY22" s="41"/>
      <c r="DZ22" s="41"/>
      <c r="EA22" s="41"/>
      <c r="EC22" s="109">
        <v>19.045</v>
      </c>
      <c r="ED22" s="108">
        <f t="shared" si="41"/>
        <v>8.677200219302003</v>
      </c>
      <c r="EE22" s="108"/>
      <c r="EF22" s="109">
        <v>19.045</v>
      </c>
      <c r="EG22" s="108">
        <f t="shared" si="27"/>
        <v>2.301081193166073</v>
      </c>
      <c r="EH22" s="108"/>
      <c r="EI22" s="109">
        <v>19.045</v>
      </c>
      <c r="EJ22" s="108">
        <f t="shared" si="42"/>
        <v>4.305085537869421</v>
      </c>
    </row>
    <row r="23" spans="1:140" ht="15.75">
      <c r="A23">
        <v>2</v>
      </c>
      <c r="B23">
        <v>1800</v>
      </c>
      <c r="C23" s="39">
        <v>50.63809395850497</v>
      </c>
      <c r="D23" s="40">
        <v>28.180529524999997</v>
      </c>
      <c r="E23" s="41">
        <f t="shared" si="28"/>
        <v>0.00903608330884404</v>
      </c>
      <c r="F23" s="42">
        <f t="shared" si="29"/>
        <v>0.003454469880217578</v>
      </c>
      <c r="G23" s="46">
        <f t="shared" si="30"/>
        <v>0.008477921965981393</v>
      </c>
      <c r="H23" s="46">
        <f>H$34*$E23</f>
        <v>30.5723858059545</v>
      </c>
      <c r="I23" s="46">
        <f t="shared" si="31"/>
        <v>24.552673360189335</v>
      </c>
      <c r="J23" s="46">
        <f t="shared" si="31"/>
        <v>28.56581499069944</v>
      </c>
      <c r="K23" s="46">
        <f t="shared" si="31"/>
        <v>27.562529583071917</v>
      </c>
      <c r="L23" s="46">
        <f t="shared" si="31"/>
        <v>32.57895662120955</v>
      </c>
      <c r="M23" s="46">
        <f t="shared" si="31"/>
        <v>35.58881284409213</v>
      </c>
      <c r="N23" s="46">
        <f t="shared" si="31"/>
        <v>33.983556191888084</v>
      </c>
      <c r="O23" s="46">
        <f t="shared" si="31"/>
        <v>33.481913488074326</v>
      </c>
      <c r="P23" s="46">
        <f t="shared" si="31"/>
        <v>41.6085252898573</v>
      </c>
      <c r="Q23" s="46">
        <f t="shared" si="31"/>
        <v>48.63152314324998</v>
      </c>
      <c r="R23" s="50">
        <f t="shared" si="1"/>
        <v>50.63809395850497</v>
      </c>
      <c r="S23" s="46">
        <f t="shared" si="2"/>
        <v>50.63809395850503</v>
      </c>
      <c r="T23" s="46">
        <f t="shared" si="32"/>
        <v>53.15803817224126</v>
      </c>
      <c r="U23" s="46">
        <f t="shared" si="32"/>
        <v>46.1409140268151</v>
      </c>
      <c r="V23" s="46">
        <f t="shared" si="32"/>
        <v>46.158501708183394</v>
      </c>
      <c r="W23" s="46">
        <f t="shared" si="32"/>
        <v>42.65873347615445</v>
      </c>
      <c r="X23" s="46">
        <f t="shared" si="32"/>
        <v>42.62606191628539</v>
      </c>
      <c r="Y23" s="46">
        <f t="shared" si="32"/>
        <v>41.34221209023235</v>
      </c>
      <c r="Z23" s="46">
        <f t="shared" si="32"/>
        <v>37.85415783160517</v>
      </c>
      <c r="AA23" s="46">
        <f t="shared" si="32"/>
        <v>36.77965559627295</v>
      </c>
      <c r="AB23" s="46">
        <f t="shared" si="32"/>
        <v>29.61515707476507</v>
      </c>
      <c r="AC23" s="46">
        <f t="shared" si="32"/>
        <v>28.18052952499997</v>
      </c>
      <c r="AD23" s="47">
        <f t="shared" si="4"/>
        <v>28.180529524999997</v>
      </c>
      <c r="AE23" s="41"/>
      <c r="AF23" s="46">
        <f t="shared" si="33"/>
        <v>27.41342300252713</v>
      </c>
      <c r="AG23" s="46">
        <f t="shared" si="33"/>
        <v>27.796976263763543</v>
      </c>
      <c r="AH23" s="46">
        <f t="shared" si="33"/>
        <v>30.48184909241848</v>
      </c>
      <c r="AI23" s="46">
        <f t="shared" si="33"/>
        <v>29.714742569945642</v>
      </c>
      <c r="AM23" s="52"/>
      <c r="AN23" s="55">
        <v>2670</v>
      </c>
      <c r="AO23" s="55">
        <v>2593</v>
      </c>
      <c r="AP23" s="55"/>
      <c r="AQ23" s="20"/>
      <c r="AR23" s="41">
        <f t="shared" si="5"/>
        <v>11.450331762529775</v>
      </c>
      <c r="AS23" s="41">
        <f t="shared" si="6"/>
        <v>9.195757812804993</v>
      </c>
      <c r="AT23" s="41">
        <f t="shared" si="7"/>
        <v>10.698807112621514</v>
      </c>
      <c r="AU23" s="41">
        <f t="shared" si="8"/>
        <v>10.323044787667385</v>
      </c>
      <c r="AV23" s="41">
        <f t="shared" si="9"/>
        <v>12.201856412438033</v>
      </c>
      <c r="AW23" s="41">
        <f t="shared" si="10"/>
        <v>13.329143387300425</v>
      </c>
      <c r="AX23" s="41">
        <f t="shared" si="11"/>
        <v>12.727923667373815</v>
      </c>
      <c r="AY23" s="41">
        <f t="shared" si="12"/>
        <v>12.54004250489675</v>
      </c>
      <c r="AZ23" s="41">
        <f t="shared" si="13"/>
        <v>15.583717337025204</v>
      </c>
      <c r="BA23" s="41">
        <f t="shared" si="14"/>
        <v>18.214053611704113</v>
      </c>
      <c r="BB23" s="41">
        <f t="shared" si="34"/>
        <v>19.52876743482647</v>
      </c>
      <c r="BC23" s="41">
        <f t="shared" si="35"/>
        <v>20.50059320178992</v>
      </c>
      <c r="BD23" s="41">
        <f t="shared" si="35"/>
        <v>17.79441343108951</v>
      </c>
      <c r="BE23" s="41">
        <f t="shared" si="35"/>
        <v>17.801196185184494</v>
      </c>
      <c r="BF23" s="41">
        <f t="shared" si="15"/>
        <v>16.45149767688178</v>
      </c>
      <c r="BG23" s="41">
        <f t="shared" si="16"/>
        <v>16.438897769489156</v>
      </c>
      <c r="BH23" s="41">
        <f t="shared" si="17"/>
        <v>15.943776355662301</v>
      </c>
      <c r="BI23" s="41">
        <f t="shared" si="18"/>
        <v>14.598595384344454</v>
      </c>
      <c r="BJ23" s="41">
        <f t="shared" si="19"/>
        <v>14.184209639904726</v>
      </c>
      <c r="BK23" s="41">
        <f t="shared" si="20"/>
        <v>11.421194398289652</v>
      </c>
      <c r="BL23" s="41">
        <f t="shared" si="36"/>
        <v>10.867924999999989</v>
      </c>
      <c r="BM23" s="41">
        <f t="shared" si="21"/>
        <v>10.572087544360636</v>
      </c>
      <c r="BN23" s="41">
        <f t="shared" si="22"/>
        <v>10.72000627218031</v>
      </c>
      <c r="BO23" s="41">
        <f t="shared" si="23"/>
        <v>11.75543736691804</v>
      </c>
      <c r="BP23" s="41">
        <f t="shared" si="24"/>
        <v>11.459599911278689</v>
      </c>
      <c r="BQ23" s="41"/>
      <c r="BR23" s="41"/>
      <c r="BS23" s="41"/>
      <c r="BU23" s="41">
        <f t="shared" si="37"/>
        <v>11.450331762529775</v>
      </c>
      <c r="BV23" s="41">
        <f t="shared" si="37"/>
        <v>10.323044787667385</v>
      </c>
      <c r="BW23" s="41">
        <f t="shared" si="37"/>
        <v>10.44829889598543</v>
      </c>
      <c r="BX23" s="41">
        <f t="shared" si="37"/>
        <v>10.072536571031298</v>
      </c>
      <c r="BY23" s="41">
        <f t="shared" si="37"/>
        <v>11.074569437575645</v>
      </c>
      <c r="BZ23" s="41">
        <f t="shared" si="37"/>
        <v>11.951348195801948</v>
      </c>
      <c r="CA23" s="41">
        <f t="shared" si="37"/>
        <v>12.752974489037426</v>
      </c>
      <c r="CB23" s="41">
        <f t="shared" si="37"/>
        <v>12.865703186523666</v>
      </c>
      <c r="CC23" s="41">
        <f t="shared" si="37"/>
        <v>13.617227836431923</v>
      </c>
      <c r="CD23" s="41">
        <f t="shared" si="37"/>
        <v>15.445937817875356</v>
      </c>
      <c r="CE23" s="41">
        <f t="shared" si="37"/>
        <v>17.775512794518594</v>
      </c>
      <c r="CF23" s="41">
        <f t="shared" si="37"/>
        <v>19.41447141610683</v>
      </c>
      <c r="CG23" s="41">
        <f t="shared" si="37"/>
        <v>19.274591355901965</v>
      </c>
      <c r="CH23" s="41">
        <f t="shared" si="37"/>
        <v>18.698734272687975</v>
      </c>
      <c r="CI23" s="41">
        <f t="shared" si="37"/>
        <v>17.34903576438526</v>
      </c>
      <c r="CJ23" s="41">
        <f t="shared" si="37"/>
        <v>16.897197210518474</v>
      </c>
      <c r="CK23" s="41">
        <f t="shared" si="37"/>
        <v>16.278057267344412</v>
      </c>
      <c r="CL23" s="41">
        <f t="shared" si="38"/>
        <v>15.66042316983197</v>
      </c>
      <c r="CM23" s="41">
        <f t="shared" si="38"/>
        <v>14.908860459970493</v>
      </c>
      <c r="CN23" s="41">
        <f t="shared" si="38"/>
        <v>13.401333140846276</v>
      </c>
      <c r="CO23" s="41">
        <f t="shared" si="38"/>
        <v>12.157776346064788</v>
      </c>
      <c r="CP23" s="41">
        <f t="shared" si="38"/>
        <v>10.953735647550092</v>
      </c>
      <c r="CQ23" s="41">
        <f t="shared" si="38"/>
        <v>10.720006272180314</v>
      </c>
      <c r="CR23" s="41">
        <f t="shared" si="38"/>
        <v>11.015843727819663</v>
      </c>
      <c r="CS23" s="41">
        <f t="shared" si="38"/>
        <v>11.311681183459013</v>
      </c>
      <c r="CT23" s="41"/>
      <c r="CU23" s="41"/>
      <c r="CV23" s="41"/>
      <c r="CW23" s="8"/>
      <c r="CX23">
        <v>2</v>
      </c>
      <c r="CY23">
        <v>1800</v>
      </c>
      <c r="DA23" s="41">
        <f t="shared" si="39"/>
        <v>-1.1272869748623897</v>
      </c>
      <c r="DB23" s="41">
        <f t="shared" si="39"/>
        <v>0.1252541083180443</v>
      </c>
      <c r="DC23" s="41">
        <f t="shared" si="39"/>
        <v>-0.3757623249541311</v>
      </c>
      <c r="DD23" s="41">
        <f t="shared" si="39"/>
        <v>1.0020328665443472</v>
      </c>
      <c r="DE23" s="41">
        <f t="shared" si="39"/>
        <v>0.8767787582263029</v>
      </c>
      <c r="DF23" s="41">
        <f t="shared" si="39"/>
        <v>0.8016262932354774</v>
      </c>
      <c r="DG23" s="41">
        <f t="shared" si="39"/>
        <v>0.11272869748624004</v>
      </c>
      <c r="DH23" s="41">
        <f t="shared" si="39"/>
        <v>0.7515246499082568</v>
      </c>
      <c r="DI23" s="41">
        <f t="shared" si="39"/>
        <v>1.828709981443433</v>
      </c>
      <c r="DJ23" s="41">
        <f t="shared" si="39"/>
        <v>2.3295749766432383</v>
      </c>
      <c r="DK23" s="41">
        <f t="shared" si="39"/>
        <v>1.6389586215882375</v>
      </c>
      <c r="DL23" s="41">
        <f t="shared" si="39"/>
        <v>-0.13988006020486665</v>
      </c>
      <c r="DM23" s="41">
        <f t="shared" si="39"/>
        <v>-0.5758570832139895</v>
      </c>
      <c r="DN23" s="41">
        <f t="shared" si="39"/>
        <v>-1.3496985083027155</v>
      </c>
      <c r="DO23" s="41">
        <f t="shared" si="39"/>
        <v>-0.45183855386678573</v>
      </c>
      <c r="DP23" s="41">
        <f t="shared" si="39"/>
        <v>-0.6191399431740621</v>
      </c>
      <c r="DQ23" s="41">
        <f t="shared" si="39"/>
        <v>-0.6176340975124415</v>
      </c>
      <c r="DR23" s="41">
        <f t="shared" si="43"/>
        <v>-0.7515627098614779</v>
      </c>
      <c r="DS23" s="41">
        <f t="shared" si="40"/>
        <v>-1.5075273191242164</v>
      </c>
      <c r="DT23" s="41">
        <f t="shared" si="40"/>
        <v>-1.2435567947814885</v>
      </c>
      <c r="DU23" s="41">
        <f t="shared" si="40"/>
        <v>-1.2040406985146959</v>
      </c>
      <c r="DV23" s="41">
        <f t="shared" si="40"/>
        <v>-0.23372937536977823</v>
      </c>
      <c r="DW23" s="41">
        <f t="shared" si="40"/>
        <v>0.29583745563934905</v>
      </c>
      <c r="DX23" s="41">
        <f t="shared" si="40"/>
        <v>0.2958374556393508</v>
      </c>
      <c r="DY23" s="41"/>
      <c r="DZ23" s="41"/>
      <c r="EA23" s="41"/>
      <c r="EC23" s="109">
        <v>125.5930785</v>
      </c>
      <c r="ED23" s="108">
        <f t="shared" si="41"/>
        <v>-94.39107441730532</v>
      </c>
      <c r="EE23" s="108"/>
      <c r="EF23" s="109">
        <v>125.4878422</v>
      </c>
      <c r="EG23" s="108">
        <f t="shared" si="27"/>
        <v>-151.09246917758992</v>
      </c>
      <c r="EH23" s="108"/>
      <c r="EI23" s="109">
        <v>125.4473613</v>
      </c>
      <c r="EJ23" s="108">
        <f t="shared" si="42"/>
        <v>-29.32073339843589</v>
      </c>
    </row>
    <row r="24" spans="1:140" ht="15.75">
      <c r="A24">
        <v>3</v>
      </c>
      <c r="B24">
        <v>600</v>
      </c>
      <c r="C24" s="39">
        <v>7.136443011463133</v>
      </c>
      <c r="D24" s="40">
        <v>53.864630729999995</v>
      </c>
      <c r="E24" s="41">
        <f t="shared" si="28"/>
        <v>0.0012734581525371176</v>
      </c>
      <c r="F24" s="42">
        <f t="shared" si="29"/>
        <v>0.006602918667683452</v>
      </c>
      <c r="G24" s="46">
        <f t="shared" si="30"/>
        <v>0.001806404204051751</v>
      </c>
      <c r="H24" s="46">
        <f t="shared" si="31"/>
        <v>4.308576251061962</v>
      </c>
      <c r="I24" s="46">
        <f t="shared" si="31"/>
        <v>3.460216222941606</v>
      </c>
      <c r="J24" s="46">
        <f t="shared" si="31"/>
        <v>4.025789575021842</v>
      </c>
      <c r="K24" s="46">
        <f t="shared" si="31"/>
        <v>3.8843962370017837</v>
      </c>
      <c r="L24" s="46">
        <f t="shared" si="31"/>
        <v>4.591362927102079</v>
      </c>
      <c r="M24" s="46">
        <f t="shared" si="31"/>
        <v>5.0155429411622565</v>
      </c>
      <c r="N24" s="46">
        <f t="shared" si="31"/>
        <v>4.7893136003301615</v>
      </c>
      <c r="O24" s="46">
        <f t="shared" si="31"/>
        <v>4.718616931320133</v>
      </c>
      <c r="P24" s="46">
        <f t="shared" si="31"/>
        <v>5.863902969282611</v>
      </c>
      <c r="Q24" s="46">
        <f t="shared" si="31"/>
        <v>6.853656335423025</v>
      </c>
      <c r="R24" s="50">
        <f t="shared" si="1"/>
        <v>7.136443011463133</v>
      </c>
      <c r="S24" s="46">
        <f t="shared" si="2"/>
        <v>7.136443011463142</v>
      </c>
      <c r="T24" s="46">
        <f t="shared" si="32"/>
        <v>11.326467030339593</v>
      </c>
      <c r="U24" s="46">
        <f t="shared" si="32"/>
        <v>13.629169384944182</v>
      </c>
      <c r="V24" s="46">
        <f t="shared" si="32"/>
        <v>18.009795011851786</v>
      </c>
      <c r="W24" s="46">
        <f t="shared" si="32"/>
        <v>21.35145900260788</v>
      </c>
      <c r="X24" s="46">
        <f t="shared" si="32"/>
        <v>26.879428071186986</v>
      </c>
      <c r="Y24" s="46">
        <f t="shared" si="32"/>
        <v>32.502697943781676</v>
      </c>
      <c r="Z24" s="46">
        <f t="shared" si="32"/>
        <v>36.93253184070037</v>
      </c>
      <c r="AA24" s="46">
        <f t="shared" si="32"/>
        <v>44.554620919093516</v>
      </c>
      <c r="AB24" s="46">
        <f t="shared" si="32"/>
        <v>44.79933053239073</v>
      </c>
      <c r="AC24" s="46">
        <f t="shared" si="32"/>
        <v>53.86463072999994</v>
      </c>
      <c r="AD24" s="47">
        <f t="shared" si="4"/>
        <v>53.864630729999995</v>
      </c>
      <c r="AE24" s="41"/>
      <c r="AF24" s="46">
        <f t="shared" si="33"/>
        <v>52.39837334378165</v>
      </c>
      <c r="AG24" s="46">
        <f t="shared" si="33"/>
        <v>53.13150203689079</v>
      </c>
      <c r="AH24" s="46">
        <f t="shared" si="33"/>
        <v>58.2634028886548</v>
      </c>
      <c r="AI24" s="46">
        <f t="shared" si="33"/>
        <v>56.79714550243652</v>
      </c>
      <c r="AM24" s="52"/>
      <c r="AN24" s="55">
        <v>8188</v>
      </c>
      <c r="AO24" s="55">
        <v>7929</v>
      </c>
      <c r="AP24" s="55"/>
      <c r="AQ24" s="20"/>
      <c r="AR24" s="41">
        <f t="shared" si="5"/>
        <v>0.5262061860114755</v>
      </c>
      <c r="AS24" s="41">
        <f t="shared" si="6"/>
        <v>0.422596021365609</v>
      </c>
      <c r="AT24" s="41">
        <f t="shared" si="7"/>
        <v>0.4916694644628532</v>
      </c>
      <c r="AU24" s="41">
        <f t="shared" si="8"/>
        <v>0.4744011036885422</v>
      </c>
      <c r="AV24" s="41">
        <f t="shared" si="9"/>
        <v>0.5607429075600975</v>
      </c>
      <c r="AW24" s="41">
        <f t="shared" si="10"/>
        <v>0.6125479898830308</v>
      </c>
      <c r="AX24" s="41">
        <f t="shared" si="11"/>
        <v>0.584918612644133</v>
      </c>
      <c r="AY24" s="41">
        <f t="shared" si="12"/>
        <v>0.5762844322569777</v>
      </c>
      <c r="AZ24" s="41">
        <f t="shared" si="13"/>
        <v>0.7161581545288973</v>
      </c>
      <c r="BA24" s="41">
        <f t="shared" si="14"/>
        <v>0.8370366799490749</v>
      </c>
      <c r="BB24" s="41">
        <f t="shared" si="34"/>
        <v>0.9000432603686647</v>
      </c>
      <c r="BC24" s="41">
        <f t="shared" si="35"/>
        <v>1.4284861937620876</v>
      </c>
      <c r="BD24" s="41">
        <f t="shared" si="35"/>
        <v>1.718901423249361</v>
      </c>
      <c r="BE24" s="41">
        <f t="shared" si="35"/>
        <v>2.271382899716457</v>
      </c>
      <c r="BF24" s="41">
        <f t="shared" si="15"/>
        <v>2.692831252693641</v>
      </c>
      <c r="BG24" s="41">
        <f t="shared" si="16"/>
        <v>3.3900148910564996</v>
      </c>
      <c r="BH24" s="41">
        <f t="shared" si="17"/>
        <v>4.099217800956196</v>
      </c>
      <c r="BI24" s="41">
        <f t="shared" si="18"/>
        <v>4.657905390427591</v>
      </c>
      <c r="BJ24" s="41">
        <f t="shared" si="19"/>
        <v>5.61919799711105</v>
      </c>
      <c r="BK24" s="41">
        <f t="shared" si="20"/>
        <v>5.650060604413006</v>
      </c>
      <c r="BL24" s="41">
        <f t="shared" si="36"/>
        <v>6.793369999999992</v>
      </c>
      <c r="BM24" s="41">
        <f t="shared" si="21"/>
        <v>6.608446631830199</v>
      </c>
      <c r="BN24" s="41">
        <f t="shared" si="22"/>
        <v>6.700908315915095</v>
      </c>
      <c r="BO24" s="41">
        <f t="shared" si="23"/>
        <v>7.348140104509371</v>
      </c>
      <c r="BP24" s="41">
        <f t="shared" si="24"/>
        <v>7.163216736339579</v>
      </c>
      <c r="BQ24" s="41"/>
      <c r="BR24" s="41"/>
      <c r="BS24" s="41"/>
      <c r="BU24" s="41">
        <f t="shared" si="37"/>
        <v>0.5262061860114755</v>
      </c>
      <c r="BV24" s="41">
        <f t="shared" si="37"/>
        <v>0.47440110368854227</v>
      </c>
      <c r="BW24" s="41">
        <f t="shared" si="37"/>
        <v>0.4801572239466459</v>
      </c>
      <c r="BX24" s="41">
        <f t="shared" si="37"/>
        <v>0.46288886317233485</v>
      </c>
      <c r="BY24" s="41">
        <f t="shared" si="37"/>
        <v>0.5089378252371644</v>
      </c>
      <c r="BZ24" s="41">
        <f t="shared" si="37"/>
        <v>0.5492306670438901</v>
      </c>
      <c r="CA24" s="41">
        <f t="shared" si="37"/>
        <v>0.5860698366957539</v>
      </c>
      <c r="CB24" s="41">
        <f t="shared" si="37"/>
        <v>0.5912503449280472</v>
      </c>
      <c r="CC24" s="41">
        <f t="shared" si="37"/>
        <v>0.6257870664766694</v>
      </c>
      <c r="CD24" s="41">
        <f t="shared" si="37"/>
        <v>0.7098264222449832</v>
      </c>
      <c r="CE24" s="41">
        <f t="shared" si="37"/>
        <v>0.8177460316155457</v>
      </c>
      <c r="CF24" s="41">
        <f t="shared" si="37"/>
        <v>1.0551887113599425</v>
      </c>
      <c r="CG24" s="41">
        <f t="shared" si="37"/>
        <v>1.3491436257933709</v>
      </c>
      <c r="CH24" s="41">
        <f t="shared" si="37"/>
        <v>1.8062568389093017</v>
      </c>
      <c r="CI24" s="41">
        <f t="shared" si="37"/>
        <v>2.227705191886486</v>
      </c>
      <c r="CJ24" s="41">
        <f t="shared" si="37"/>
        <v>2.784743014488866</v>
      </c>
      <c r="CK24" s="41">
        <f t="shared" si="37"/>
        <v>3.394021314902112</v>
      </c>
      <c r="CL24" s="41">
        <f t="shared" si="38"/>
        <v>4.049046027480095</v>
      </c>
      <c r="CM24" s="41">
        <f t="shared" si="38"/>
        <v>4.7921070628316125</v>
      </c>
      <c r="CN24" s="41">
        <f t="shared" si="38"/>
        <v>5.309054663983883</v>
      </c>
      <c r="CO24" s="41">
        <f t="shared" si="38"/>
        <v>6.020876200508016</v>
      </c>
      <c r="CP24" s="41">
        <f t="shared" si="38"/>
        <v>6.350625745414399</v>
      </c>
      <c r="CQ24" s="41">
        <f t="shared" si="38"/>
        <v>6.700908315915096</v>
      </c>
      <c r="CR24" s="41">
        <f t="shared" si="38"/>
        <v>6.885831684084889</v>
      </c>
      <c r="CS24" s="41">
        <f t="shared" si="38"/>
        <v>7.070755052254682</v>
      </c>
      <c r="CT24" s="41"/>
      <c r="CU24" s="41"/>
      <c r="CV24" s="41"/>
      <c r="CW24" s="8"/>
      <c r="CX24">
        <v>3</v>
      </c>
      <c r="CY24">
        <v>600</v>
      </c>
      <c r="DA24" s="41">
        <f t="shared" si="39"/>
        <v>-0.05180508232293324</v>
      </c>
      <c r="DB24" s="41">
        <f t="shared" si="39"/>
        <v>0.005756120258103625</v>
      </c>
      <c r="DC24" s="41">
        <f t="shared" si="39"/>
        <v>-0.017268360774311042</v>
      </c>
      <c r="DD24" s="41">
        <f t="shared" si="39"/>
        <v>0.0460489620648295</v>
      </c>
      <c r="DE24" s="41">
        <f t="shared" si="39"/>
        <v>0.040292841806725765</v>
      </c>
      <c r="DF24" s="41">
        <f t="shared" si="39"/>
        <v>0.036839169651863735</v>
      </c>
      <c r="DG24" s="41">
        <f t="shared" si="39"/>
        <v>0.005180508232293324</v>
      </c>
      <c r="DH24" s="41">
        <f t="shared" si="39"/>
        <v>0.034536721548622196</v>
      </c>
      <c r="DI24" s="41">
        <f t="shared" si="39"/>
        <v>0.08403935576831378</v>
      </c>
      <c r="DJ24" s="41">
        <f t="shared" si="39"/>
        <v>0.10791960937056255</v>
      </c>
      <c r="DK24" s="41">
        <f t="shared" si="39"/>
        <v>0.2374426797443968</v>
      </c>
      <c r="DL24" s="41">
        <f t="shared" si="39"/>
        <v>0.29395491443342836</v>
      </c>
      <c r="DM24" s="41">
        <f t="shared" si="39"/>
        <v>0.4571132131159308</v>
      </c>
      <c r="DN24" s="41">
        <f t="shared" si="39"/>
        <v>0.4214483529771844</v>
      </c>
      <c r="DO24" s="41">
        <f t="shared" si="39"/>
        <v>0.5570378226023798</v>
      </c>
      <c r="DP24" s="41">
        <f t="shared" si="39"/>
        <v>0.609278300413246</v>
      </c>
      <c r="DQ24" s="41">
        <f t="shared" si="39"/>
        <v>0.6550247125779833</v>
      </c>
      <c r="DR24" s="41">
        <f t="shared" si="43"/>
        <v>0.7430610353515172</v>
      </c>
      <c r="DS24" s="41">
        <f t="shared" si="40"/>
        <v>0.5169476011522702</v>
      </c>
      <c r="DT24" s="41">
        <f t="shared" si="40"/>
        <v>0.7118215365241332</v>
      </c>
      <c r="DU24" s="41">
        <f t="shared" si="40"/>
        <v>0.32974954490638275</v>
      </c>
      <c r="DV24" s="41">
        <f t="shared" si="40"/>
        <v>0.35028257050069733</v>
      </c>
      <c r="DW24" s="41">
        <f t="shared" si="40"/>
        <v>0.18492336816979282</v>
      </c>
      <c r="DX24" s="41">
        <f t="shared" si="40"/>
        <v>0.18492336816979282</v>
      </c>
      <c r="DY24" s="41"/>
      <c r="DZ24" s="41"/>
      <c r="EA24" s="41"/>
      <c r="EC24" s="109">
        <v>97.9503563</v>
      </c>
      <c r="ED24" s="108">
        <f t="shared" si="41"/>
        <v>72.78309316532801</v>
      </c>
      <c r="EE24" s="108"/>
      <c r="EF24" s="109">
        <v>97.98101838</v>
      </c>
      <c r="EG24" s="108">
        <f t="shared" si="27"/>
        <v>32.30919622026892</v>
      </c>
      <c r="EH24" s="108"/>
      <c r="EI24" s="109">
        <v>97.98948021</v>
      </c>
      <c r="EJ24" s="108">
        <f t="shared" si="42"/>
        <v>34.32400700998601</v>
      </c>
    </row>
    <row r="25" spans="1:140" ht="15.75">
      <c r="A25">
        <v>3</v>
      </c>
      <c r="B25">
        <v>1200</v>
      </c>
      <c r="C25" s="39">
        <v>526.445542928659</v>
      </c>
      <c r="D25" s="40">
        <v>1123.7867186699998</v>
      </c>
      <c r="E25" s="41">
        <f t="shared" si="28"/>
        <v>0.0939412488031459</v>
      </c>
      <c r="F25" s="42">
        <f t="shared" si="29"/>
        <v>0.13775778655933754</v>
      </c>
      <c r="G25" s="46">
        <f t="shared" si="30"/>
        <v>0.09832290257876507</v>
      </c>
      <c r="H25" s="46">
        <f t="shared" si="31"/>
        <v>317.83771832780343</v>
      </c>
      <c r="I25" s="46">
        <f t="shared" si="31"/>
        <v>255.25537094754648</v>
      </c>
      <c r="J25" s="46">
        <f t="shared" si="31"/>
        <v>296.97693586771777</v>
      </c>
      <c r="K25" s="46">
        <f t="shared" si="31"/>
        <v>286.54654463767497</v>
      </c>
      <c r="L25" s="46">
        <f t="shared" si="31"/>
        <v>338.69850078788903</v>
      </c>
      <c r="M25" s="46">
        <f t="shared" si="31"/>
        <v>369.98967447801755</v>
      </c>
      <c r="N25" s="46">
        <f t="shared" si="31"/>
        <v>353.301048509949</v>
      </c>
      <c r="O25" s="46">
        <f t="shared" si="31"/>
        <v>348.0858528949276</v>
      </c>
      <c r="P25" s="46">
        <f t="shared" si="31"/>
        <v>432.57202185827447</v>
      </c>
      <c r="Q25" s="46">
        <f t="shared" si="31"/>
        <v>505.5847604685742</v>
      </c>
      <c r="R25" s="50">
        <f t="shared" si="1"/>
        <v>526.445542928659</v>
      </c>
      <c r="S25" s="46">
        <f t="shared" si="2"/>
        <v>526.4455429286597</v>
      </c>
      <c r="T25" s="46">
        <f t="shared" si="32"/>
        <v>616.5016179035474</v>
      </c>
      <c r="U25" s="46">
        <f t="shared" si="32"/>
        <v>598.3617852131105</v>
      </c>
      <c r="V25" s="46">
        <f t="shared" si="32"/>
        <v>671.4490730928087</v>
      </c>
      <c r="W25" s="46">
        <f t="shared" si="32"/>
        <v>698.9228006874393</v>
      </c>
      <c r="X25" s="46">
        <f t="shared" si="32"/>
        <v>790.7109699475852</v>
      </c>
      <c r="Y25" s="46">
        <f t="shared" si="32"/>
        <v>874.0147456601364</v>
      </c>
      <c r="Z25" s="46">
        <f t="shared" si="32"/>
        <v>919.7028552146026</v>
      </c>
      <c r="AA25" s="46">
        <f t="shared" si="32"/>
        <v>1037.9758965849885</v>
      </c>
      <c r="AB25" s="46">
        <f t="shared" si="32"/>
        <v>984.3802988161049</v>
      </c>
      <c r="AC25" s="46">
        <f t="shared" si="32"/>
        <v>1123.7867186699984</v>
      </c>
      <c r="AD25" s="47">
        <f t="shared" si="4"/>
        <v>1123.7867186699998</v>
      </c>
      <c r="AE25" s="41"/>
      <c r="AF25" s="46">
        <f t="shared" si="33"/>
        <v>1093.195947797672</v>
      </c>
      <c r="AG25" s="46">
        <f t="shared" si="33"/>
        <v>1108.4913332338353</v>
      </c>
      <c r="AH25" s="46">
        <f t="shared" si="33"/>
        <v>1215.5590312869779</v>
      </c>
      <c r="AI25" s="46">
        <f t="shared" si="33"/>
        <v>1184.9682604146515</v>
      </c>
      <c r="AM25" s="52"/>
      <c r="AN25" s="55">
        <v>135102</v>
      </c>
      <c r="AO25" s="55">
        <v>131957</v>
      </c>
      <c r="AP25" s="55"/>
      <c r="AQ25" s="20"/>
      <c r="AR25" s="41">
        <f t="shared" si="5"/>
        <v>2.352575967252916</v>
      </c>
      <c r="AS25" s="41">
        <f t="shared" si="6"/>
        <v>1.8893530143709678</v>
      </c>
      <c r="AT25" s="41">
        <f t="shared" si="7"/>
        <v>2.198168316292266</v>
      </c>
      <c r="AU25" s="41">
        <f t="shared" si="8"/>
        <v>2.1209644908119416</v>
      </c>
      <c r="AV25" s="41">
        <f t="shared" si="9"/>
        <v>2.5069836182135647</v>
      </c>
      <c r="AW25" s="41">
        <f t="shared" si="10"/>
        <v>2.7385950946545394</v>
      </c>
      <c r="AX25" s="41">
        <f t="shared" si="11"/>
        <v>2.6150689738860193</v>
      </c>
      <c r="AY25" s="41">
        <f t="shared" si="12"/>
        <v>2.5764670611458573</v>
      </c>
      <c r="AZ25" s="41">
        <f t="shared" si="13"/>
        <v>3.201818047536487</v>
      </c>
      <c r="BA25" s="41">
        <f t="shared" si="14"/>
        <v>3.7422448258987595</v>
      </c>
      <c r="BB25" s="41">
        <f t="shared" si="34"/>
        <v>3.9895234275457896</v>
      </c>
      <c r="BC25" s="41">
        <f t="shared" si="35"/>
        <v>4.671988738024867</v>
      </c>
      <c r="BD25" s="41">
        <f t="shared" si="35"/>
        <v>4.534520981934346</v>
      </c>
      <c r="BE25" s="41">
        <f t="shared" si="35"/>
        <v>5.088392984781472</v>
      </c>
      <c r="BF25" s="41">
        <f t="shared" si="15"/>
        <v>5.296595108159774</v>
      </c>
      <c r="BG25" s="41">
        <f t="shared" si="16"/>
        <v>5.992186621002185</v>
      </c>
      <c r="BH25" s="41">
        <f t="shared" si="17"/>
        <v>6.623481480028619</v>
      </c>
      <c r="BI25" s="41">
        <f t="shared" si="18"/>
        <v>6.969716310726999</v>
      </c>
      <c r="BJ25" s="41">
        <f t="shared" si="19"/>
        <v>7.866016176367972</v>
      </c>
      <c r="BK25" s="41">
        <f t="shared" si="20"/>
        <v>7.459856610987708</v>
      </c>
      <c r="BL25" s="41">
        <f t="shared" si="36"/>
        <v>8.516309999999988</v>
      </c>
      <c r="BM25" s="41">
        <f t="shared" si="21"/>
        <v>8.284486217462295</v>
      </c>
      <c r="BN25" s="41">
        <f t="shared" si="22"/>
        <v>8.400398108731142</v>
      </c>
      <c r="BO25" s="41">
        <f t="shared" si="23"/>
        <v>9.211781347613071</v>
      </c>
      <c r="BP25" s="41">
        <f t="shared" si="24"/>
        <v>8.979957565075377</v>
      </c>
      <c r="BQ25" s="41"/>
      <c r="BR25" s="41"/>
      <c r="BS25" s="41"/>
      <c r="BU25" s="41">
        <f t="shared" si="37"/>
        <v>2.352575967252916</v>
      </c>
      <c r="BV25" s="41">
        <f t="shared" si="37"/>
        <v>2.120964490811942</v>
      </c>
      <c r="BW25" s="41">
        <f t="shared" si="37"/>
        <v>2.1466990993053834</v>
      </c>
      <c r="BX25" s="41">
        <f t="shared" si="37"/>
        <v>2.0694952738250585</v>
      </c>
      <c r="BY25" s="41">
        <f t="shared" si="37"/>
        <v>2.2753721417725905</v>
      </c>
      <c r="BZ25" s="41">
        <f t="shared" si="37"/>
        <v>2.455514401226682</v>
      </c>
      <c r="CA25" s="41">
        <f t="shared" si="37"/>
        <v>2.620215895584708</v>
      </c>
      <c r="CB25" s="41">
        <f t="shared" si="37"/>
        <v>2.643377043228805</v>
      </c>
      <c r="CC25" s="41">
        <f t="shared" si="37"/>
        <v>2.797784694189455</v>
      </c>
      <c r="CD25" s="41">
        <f t="shared" si="37"/>
        <v>3.1735099781937013</v>
      </c>
      <c r="CE25" s="41">
        <f t="shared" si="37"/>
        <v>3.6445287669936786</v>
      </c>
      <c r="CF25" s="41">
        <f t="shared" si="37"/>
        <v>4.134585663823139</v>
      </c>
      <c r="CG25" s="41">
        <f t="shared" si="37"/>
        <v>4.398677715835</v>
      </c>
      <c r="CH25" s="41">
        <f t="shared" si="37"/>
        <v>4.764967568246895</v>
      </c>
      <c r="CI25" s="41">
        <f t="shared" si="37"/>
        <v>4.9731696916251975</v>
      </c>
      <c r="CJ25" s="41">
        <f t="shared" si="37"/>
        <v>5.459058237981144</v>
      </c>
      <c r="CK25" s="41">
        <f t="shared" si="37"/>
        <v>5.970754403063526</v>
      </c>
      <c r="CL25" s="41">
        <f t="shared" si="38"/>
        <v>6.528461470585934</v>
      </c>
      <c r="CM25" s="41">
        <f t="shared" si="38"/>
        <v>7.1530713223745295</v>
      </c>
      <c r="CN25" s="41">
        <f t="shared" si="38"/>
        <v>7.431863032694227</v>
      </c>
      <c r="CO25" s="41">
        <f t="shared" si="38"/>
        <v>7.94739426245189</v>
      </c>
      <c r="CP25" s="41">
        <f t="shared" si="38"/>
        <v>8.086884276149997</v>
      </c>
      <c r="CQ25" s="41">
        <f t="shared" si="38"/>
        <v>8.400398108731142</v>
      </c>
      <c r="CR25" s="41">
        <f t="shared" si="38"/>
        <v>8.632221891268836</v>
      </c>
      <c r="CS25" s="41">
        <f t="shared" si="38"/>
        <v>8.864045673806531</v>
      </c>
      <c r="CT25" s="41"/>
      <c r="CU25" s="41"/>
      <c r="CV25" s="41"/>
      <c r="CW25" s="8"/>
      <c r="CX25">
        <v>3</v>
      </c>
      <c r="CY25">
        <v>1200</v>
      </c>
      <c r="DA25" s="41">
        <f t="shared" si="39"/>
        <v>-0.2316114764409738</v>
      </c>
      <c r="DB25" s="41">
        <f t="shared" si="39"/>
        <v>0.025734608493441335</v>
      </c>
      <c r="DC25" s="41">
        <f t="shared" si="39"/>
        <v>-0.0772038254803249</v>
      </c>
      <c r="DD25" s="41">
        <f t="shared" si="39"/>
        <v>0.20587686794753202</v>
      </c>
      <c r="DE25" s="41">
        <f t="shared" si="39"/>
        <v>0.18014225945409157</v>
      </c>
      <c r="DF25" s="41">
        <f t="shared" si="39"/>
        <v>0.16470149435802606</v>
      </c>
      <c r="DG25" s="41">
        <f t="shared" si="39"/>
        <v>0.023161147644096935</v>
      </c>
      <c r="DH25" s="41">
        <f t="shared" si="39"/>
        <v>0.1544076509606498</v>
      </c>
      <c r="DI25" s="41">
        <f t="shared" si="39"/>
        <v>0.37572528400424643</v>
      </c>
      <c r="DJ25" s="41">
        <f t="shared" si="39"/>
        <v>0.4710187887999773</v>
      </c>
      <c r="DK25" s="41">
        <f t="shared" si="39"/>
        <v>0.4900568968294605</v>
      </c>
      <c r="DL25" s="41">
        <f t="shared" si="39"/>
        <v>0.26409205201186126</v>
      </c>
      <c r="DM25" s="41">
        <f t="shared" si="39"/>
        <v>0.36628985241189493</v>
      </c>
      <c r="DN25" s="41">
        <f t="shared" si="39"/>
        <v>0.20820212337830224</v>
      </c>
      <c r="DO25" s="41">
        <f t="shared" si="39"/>
        <v>0.48588854635594636</v>
      </c>
      <c r="DP25" s="41">
        <f t="shared" si="39"/>
        <v>0.5116961650823821</v>
      </c>
      <c r="DQ25" s="41">
        <f t="shared" si="39"/>
        <v>0.5577070675224078</v>
      </c>
      <c r="DR25" s="41">
        <f t="shared" si="43"/>
        <v>0.6246098517885956</v>
      </c>
      <c r="DS25" s="41">
        <f t="shared" si="40"/>
        <v>0.2787917103196973</v>
      </c>
      <c r="DT25" s="41">
        <f t="shared" si="40"/>
        <v>0.5155312297576629</v>
      </c>
      <c r="DU25" s="41">
        <f t="shared" si="40"/>
        <v>0.13949001369810698</v>
      </c>
      <c r="DV25" s="41">
        <f t="shared" si="40"/>
        <v>0.31351383258114573</v>
      </c>
      <c r="DW25" s="41">
        <f t="shared" si="40"/>
        <v>0.23182378253769365</v>
      </c>
      <c r="DX25" s="41">
        <f t="shared" si="40"/>
        <v>0.23182378253769542</v>
      </c>
      <c r="DY25" s="41"/>
      <c r="DZ25" s="41"/>
      <c r="EA25" s="41"/>
      <c r="EC25" s="109">
        <v>143.8703834</v>
      </c>
      <c r="ED25" s="108">
        <f t="shared" si="41"/>
        <v>89.86285885224244</v>
      </c>
      <c r="EE25" s="108"/>
      <c r="EF25" s="109">
        <v>144.1081886</v>
      </c>
      <c r="EG25" s="108">
        <f t="shared" si="27"/>
        <v>20.101653201823385</v>
      </c>
      <c r="EH25" s="108"/>
      <c r="EI25" s="109">
        <v>144.1670432</v>
      </c>
      <c r="EJ25" s="108">
        <f t="shared" si="42"/>
        <v>45.198362245523604</v>
      </c>
    </row>
    <row r="26" spans="1:140" ht="15.75">
      <c r="A26">
        <v>3</v>
      </c>
      <c r="B26">
        <v>1800</v>
      </c>
      <c r="C26" s="39">
        <v>533.0292984019293</v>
      </c>
      <c r="D26" s="40">
        <v>1031.18836245</v>
      </c>
      <c r="E26" s="41">
        <f t="shared" si="28"/>
        <v>0.09511608297029045</v>
      </c>
      <c r="F26" s="42">
        <f t="shared" si="29"/>
        <v>0.1264067495876628</v>
      </c>
      <c r="G26" s="46">
        <f t="shared" si="30"/>
        <v>0.09824514963202768</v>
      </c>
      <c r="H26" s="46">
        <f t="shared" si="31"/>
        <v>321.81261344423143</v>
      </c>
      <c r="I26" s="46">
        <f t="shared" si="31"/>
        <v>258.4476079569218</v>
      </c>
      <c r="J26" s="46">
        <f t="shared" si="31"/>
        <v>300.6909449484615</v>
      </c>
      <c r="K26" s="46">
        <f t="shared" si="31"/>
        <v>290.1301107005766</v>
      </c>
      <c r="L26" s="46">
        <f t="shared" si="31"/>
        <v>342.93428194000126</v>
      </c>
      <c r="M26" s="46">
        <f t="shared" si="31"/>
        <v>374.6167846836561</v>
      </c>
      <c r="N26" s="46">
        <f t="shared" si="31"/>
        <v>357.7194498870401</v>
      </c>
      <c r="O26" s="46">
        <f t="shared" si="31"/>
        <v>352.4390327630977</v>
      </c>
      <c r="P26" s="46">
        <f t="shared" si="31"/>
        <v>437.98179017096567</v>
      </c>
      <c r="Q26" s="46">
        <f t="shared" si="31"/>
        <v>511.90762990616014</v>
      </c>
      <c r="R26" s="50">
        <f t="shared" si="1"/>
        <v>533.0292984019293</v>
      </c>
      <c r="S26" s="46">
        <f t="shared" si="2"/>
        <v>533.02929840193</v>
      </c>
      <c r="T26" s="46">
        <f t="shared" si="32"/>
        <v>616.0140934692279</v>
      </c>
      <c r="U26" s="46">
        <f t="shared" si="32"/>
        <v>590.6111587378255</v>
      </c>
      <c r="V26" s="46">
        <f t="shared" si="32"/>
        <v>655.2536726292044</v>
      </c>
      <c r="W26" s="46">
        <f t="shared" si="32"/>
        <v>674.8734622091927</v>
      </c>
      <c r="X26" s="46">
        <f t="shared" si="32"/>
        <v>755.9830084031399</v>
      </c>
      <c r="Y26" s="46">
        <f t="shared" si="32"/>
        <v>827.9214140091276</v>
      </c>
      <c r="Z26" s="46">
        <f t="shared" si="32"/>
        <v>863.6608124767027</v>
      </c>
      <c r="AA26" s="46">
        <f t="shared" si="32"/>
        <v>966.7961656129199</v>
      </c>
      <c r="AB26" s="46">
        <f t="shared" si="32"/>
        <v>909.8488599363067</v>
      </c>
      <c r="AC26" s="46">
        <f t="shared" si="32"/>
        <v>1031.188362449999</v>
      </c>
      <c r="AD26" s="47">
        <f t="shared" si="4"/>
        <v>1031.18836245</v>
      </c>
      <c r="AE26" s="41"/>
      <c r="AF26" s="46">
        <f t="shared" si="33"/>
        <v>1003.1182256546018</v>
      </c>
      <c r="AG26" s="46">
        <f t="shared" si="33"/>
        <v>1017.1532940523003</v>
      </c>
      <c r="AH26" s="46">
        <f t="shared" si="33"/>
        <v>1115.3987728361906</v>
      </c>
      <c r="AI26" s="46">
        <f t="shared" si="33"/>
        <v>1087.3286360407935</v>
      </c>
      <c r="AM26" s="52"/>
      <c r="AN26" s="55">
        <v>73336</v>
      </c>
      <c r="AO26" s="55">
        <v>72962</v>
      </c>
      <c r="AP26" s="55"/>
      <c r="AQ26" s="20"/>
      <c r="AR26" s="41">
        <f t="shared" si="5"/>
        <v>4.388194248994101</v>
      </c>
      <c r="AS26" s="41">
        <f t="shared" si="6"/>
        <v>3.52415741187032</v>
      </c>
      <c r="AT26" s="41">
        <f t="shared" si="7"/>
        <v>4.10018196995284</v>
      </c>
      <c r="AU26" s="41">
        <f t="shared" si="8"/>
        <v>3.956175830432211</v>
      </c>
      <c r="AV26" s="41">
        <f t="shared" si="9"/>
        <v>4.676206528035362</v>
      </c>
      <c r="AW26" s="41">
        <f t="shared" si="10"/>
        <v>5.108224946597252</v>
      </c>
      <c r="AX26" s="41">
        <f t="shared" si="11"/>
        <v>4.877815123364243</v>
      </c>
      <c r="AY26" s="41">
        <f t="shared" si="12"/>
        <v>4.805812053603929</v>
      </c>
      <c r="AZ26" s="41">
        <f t="shared" si="13"/>
        <v>5.972261783721033</v>
      </c>
      <c r="BA26" s="41">
        <f t="shared" si="14"/>
        <v>6.980304760365443</v>
      </c>
      <c r="BB26" s="41">
        <f t="shared" si="34"/>
        <v>7.305574112578191</v>
      </c>
      <c r="BC26" s="41">
        <f t="shared" si="35"/>
        <v>8.442944182851729</v>
      </c>
      <c r="BD26" s="41">
        <f t="shared" si="35"/>
        <v>8.094777538140752</v>
      </c>
      <c r="BE26" s="41">
        <f t="shared" si="35"/>
        <v>8.980752619571891</v>
      </c>
      <c r="BF26" s="41">
        <f t="shared" si="15"/>
        <v>9.249656837931974</v>
      </c>
      <c r="BG26" s="41">
        <f t="shared" si="16"/>
        <v>10.361325188497299</v>
      </c>
      <c r="BH26" s="41">
        <f t="shared" si="17"/>
        <v>11.347296044641425</v>
      </c>
      <c r="BI26" s="41">
        <f t="shared" si="18"/>
        <v>11.837131828577927</v>
      </c>
      <c r="BJ26" s="41">
        <f t="shared" si="19"/>
        <v>13.250680705201612</v>
      </c>
      <c r="BK26" s="41">
        <f t="shared" si="20"/>
        <v>12.470174336453313</v>
      </c>
      <c r="BL26" s="41">
        <f t="shared" si="36"/>
        <v>14.133224999999985</v>
      </c>
      <c r="BM26" s="41">
        <f t="shared" si="21"/>
        <v>13.748502311540278</v>
      </c>
      <c r="BN26" s="41">
        <f t="shared" si="22"/>
        <v>13.940863655770132</v>
      </c>
      <c r="BO26" s="41">
        <f t="shared" si="23"/>
        <v>15.28739306537911</v>
      </c>
      <c r="BP26" s="41">
        <f t="shared" si="24"/>
        <v>14.902670376919403</v>
      </c>
      <c r="BQ26" s="41"/>
      <c r="BR26" s="41"/>
      <c r="BS26" s="41"/>
      <c r="BU26" s="41">
        <f t="shared" si="37"/>
        <v>4.388194248994101</v>
      </c>
      <c r="BV26" s="41">
        <f t="shared" si="37"/>
        <v>3.9561758304322105</v>
      </c>
      <c r="BW26" s="41">
        <f t="shared" si="37"/>
        <v>4.004177876939087</v>
      </c>
      <c r="BX26" s="41">
        <f t="shared" si="37"/>
        <v>3.8601717374184568</v>
      </c>
      <c r="BY26" s="41">
        <f t="shared" si="37"/>
        <v>4.244188109473471</v>
      </c>
      <c r="BZ26" s="41">
        <f t="shared" si="37"/>
        <v>4.580202435021609</v>
      </c>
      <c r="CA26" s="41">
        <f t="shared" si="37"/>
        <v>4.887415532665619</v>
      </c>
      <c r="CB26" s="41">
        <f t="shared" si="37"/>
        <v>4.930617374521808</v>
      </c>
      <c r="CC26" s="41">
        <f t="shared" si="37"/>
        <v>5.2186296535630685</v>
      </c>
      <c r="CD26" s="41">
        <f t="shared" si="37"/>
        <v>5.919459532563468</v>
      </c>
      <c r="CE26" s="41">
        <f t="shared" si="37"/>
        <v>6.7527135522215564</v>
      </c>
      <c r="CF26" s="41">
        <f t="shared" si="37"/>
        <v>7.576274351931787</v>
      </c>
      <c r="CG26" s="41">
        <f t="shared" si="37"/>
        <v>7.947765277856891</v>
      </c>
      <c r="CH26" s="41">
        <f t="shared" si="37"/>
        <v>8.506158113521456</v>
      </c>
      <c r="CI26" s="41">
        <f t="shared" si="37"/>
        <v>8.775062331881538</v>
      </c>
      <c r="CJ26" s="41">
        <f t="shared" si="37"/>
        <v>9.53057821533372</v>
      </c>
      <c r="CK26" s="41">
        <f t="shared" si="37"/>
        <v>10.319426023690232</v>
      </c>
      <c r="CL26" s="41">
        <f t="shared" si="38"/>
        <v>11.181917687238885</v>
      </c>
      <c r="CM26" s="41">
        <f t="shared" si="38"/>
        <v>12.14503619280699</v>
      </c>
      <c r="CN26" s="41">
        <f t="shared" si="38"/>
        <v>12.519328956744284</v>
      </c>
      <c r="CO26" s="41">
        <f t="shared" si="38"/>
        <v>13.284693347218303</v>
      </c>
      <c r="CP26" s="41">
        <f t="shared" si="38"/>
        <v>13.450633882664526</v>
      </c>
      <c r="CQ26" s="41">
        <f t="shared" si="38"/>
        <v>13.940863655770132</v>
      </c>
      <c r="CR26" s="41">
        <f t="shared" si="38"/>
        <v>14.325586344229839</v>
      </c>
      <c r="CS26" s="41">
        <f t="shared" si="38"/>
        <v>14.71030903268955</v>
      </c>
      <c r="CT26" s="41"/>
      <c r="CU26" s="41"/>
      <c r="CV26" s="41"/>
      <c r="CW26" s="8"/>
      <c r="CX26">
        <v>3</v>
      </c>
      <c r="CY26">
        <v>1800</v>
      </c>
      <c r="DA26" s="41">
        <f t="shared" si="39"/>
        <v>-0.4320184185618907</v>
      </c>
      <c r="DB26" s="41">
        <f t="shared" si="39"/>
        <v>0.04800204650687645</v>
      </c>
      <c r="DC26" s="41">
        <f t="shared" si="39"/>
        <v>-0.14400613952063024</v>
      </c>
      <c r="DD26" s="41">
        <f t="shared" si="39"/>
        <v>0.3840163720550138</v>
      </c>
      <c r="DE26" s="41">
        <f t="shared" si="39"/>
        <v>0.33601432554813826</v>
      </c>
      <c r="DF26" s="41">
        <f t="shared" si="39"/>
        <v>0.30721309764401017</v>
      </c>
      <c r="DG26" s="41">
        <f t="shared" si="39"/>
        <v>0.04320184185618903</v>
      </c>
      <c r="DH26" s="41">
        <f t="shared" si="39"/>
        <v>0.2880122790412605</v>
      </c>
      <c r="DI26" s="41">
        <f t="shared" si="39"/>
        <v>0.7008298790003993</v>
      </c>
      <c r="DJ26" s="41">
        <f t="shared" si="39"/>
        <v>0.8332540196580887</v>
      </c>
      <c r="DK26" s="41">
        <f t="shared" si="39"/>
        <v>0.823560799710231</v>
      </c>
      <c r="DL26" s="41">
        <f t="shared" si="39"/>
        <v>0.37149092592510335</v>
      </c>
      <c r="DM26" s="41">
        <f t="shared" si="39"/>
        <v>0.5583928356645655</v>
      </c>
      <c r="DN26" s="41">
        <f t="shared" si="39"/>
        <v>0.26890421836008116</v>
      </c>
      <c r="DO26" s="41">
        <f t="shared" si="39"/>
        <v>0.7555158834521833</v>
      </c>
      <c r="DP26" s="41">
        <f t="shared" si="39"/>
        <v>0.7888478083565111</v>
      </c>
      <c r="DQ26" s="41">
        <f t="shared" si="39"/>
        <v>0.8624916635486528</v>
      </c>
      <c r="DR26" s="41">
        <f t="shared" si="43"/>
        <v>0.9631185055681044</v>
      </c>
      <c r="DS26" s="41">
        <f t="shared" si="40"/>
        <v>0.3742927639372944</v>
      </c>
      <c r="DT26" s="41">
        <f t="shared" si="40"/>
        <v>0.7653643904740193</v>
      </c>
      <c r="DU26" s="41">
        <f t="shared" si="40"/>
        <v>0.16594053544622334</v>
      </c>
      <c r="DV26" s="41">
        <f t="shared" si="40"/>
        <v>0.49022977310560556</v>
      </c>
      <c r="DW26" s="41">
        <f t="shared" si="40"/>
        <v>0.38472268845970703</v>
      </c>
      <c r="DX26" s="41">
        <f t="shared" si="40"/>
        <v>0.3847226884597106</v>
      </c>
      <c r="DY26" s="41"/>
      <c r="DZ26" s="41"/>
      <c r="EA26" s="41"/>
      <c r="EC26" s="109">
        <v>104.9323703</v>
      </c>
      <c r="ED26" s="108">
        <f t="shared" si="41"/>
        <v>101.06230766905495</v>
      </c>
      <c r="EE26" s="108"/>
      <c r="EF26" s="109">
        <v>105.2400314</v>
      </c>
      <c r="EG26" s="108">
        <f t="shared" si="27"/>
        <v>17.463587160893358</v>
      </c>
      <c r="EH26" s="108"/>
      <c r="EI26" s="109">
        <v>105.3349206</v>
      </c>
      <c r="EJ26" s="108">
        <f t="shared" si="42"/>
        <v>51.63831422583498</v>
      </c>
    </row>
    <row r="27" spans="1:140" ht="15.75">
      <c r="A27">
        <v>4</v>
      </c>
      <c r="B27">
        <v>600</v>
      </c>
      <c r="C27" s="39">
        <v>26.369169301883865</v>
      </c>
      <c r="D27" s="40">
        <v>48.590844975</v>
      </c>
      <c r="E27" s="41">
        <f>C27/C$34</f>
        <v>0.0047054300817895595</v>
      </c>
      <c r="F27" s="42">
        <f>D27/D$34</f>
        <v>0.0059564391886798365</v>
      </c>
      <c r="G27" s="46">
        <f t="shared" si="30"/>
        <v>0.004830530992478587</v>
      </c>
      <c r="H27" s="46">
        <f t="shared" si="31"/>
        <v>15.920196718706169</v>
      </c>
      <c r="I27" s="46">
        <f t="shared" si="31"/>
        <v>12.785504943752846</v>
      </c>
      <c r="J27" s="46">
        <f t="shared" si="31"/>
        <v>14.875299460388392</v>
      </c>
      <c r="K27" s="46">
        <f t="shared" si="31"/>
        <v>14.352850831229507</v>
      </c>
      <c r="L27" s="46">
        <f t="shared" si="31"/>
        <v>16.96509397702394</v>
      </c>
      <c r="M27" s="46">
        <f t="shared" si="31"/>
        <v>18.532439864500603</v>
      </c>
      <c r="N27" s="46">
        <f t="shared" si="31"/>
        <v>17.69652205784638</v>
      </c>
      <c r="O27" s="46">
        <f t="shared" si="31"/>
        <v>17.43529774326694</v>
      </c>
      <c r="P27" s="46">
        <f t="shared" si="31"/>
        <v>21.66713163945392</v>
      </c>
      <c r="Q27" s="46">
        <f t="shared" si="31"/>
        <v>25.32427204356613</v>
      </c>
      <c r="R27" s="50">
        <f t="shared" si="1"/>
        <v>26.369169301883865</v>
      </c>
      <c r="S27" s="46">
        <f t="shared" si="2"/>
        <v>26.3691693018839</v>
      </c>
      <c r="T27" s="46">
        <f t="shared" si="32"/>
        <v>30.288265440603933</v>
      </c>
      <c r="U27" s="46">
        <f t="shared" si="32"/>
        <v>28.87175464939183</v>
      </c>
      <c r="V27" s="46">
        <f t="shared" si="32"/>
        <v>31.857074168137363</v>
      </c>
      <c r="W27" s="46">
        <f t="shared" si="32"/>
        <v>32.64147853190408</v>
      </c>
      <c r="X27" s="46">
        <f t="shared" si="32"/>
        <v>36.385378036287946</v>
      </c>
      <c r="Y27" s="46">
        <f t="shared" si="32"/>
        <v>39.66238923068457</v>
      </c>
      <c r="Z27" s="46">
        <f t="shared" si="32"/>
        <v>41.19148350029671</v>
      </c>
      <c r="AA27" s="46">
        <f t="shared" si="32"/>
        <v>45.916204267005455</v>
      </c>
      <c r="AB27" s="46">
        <f t="shared" si="32"/>
        <v>43.03809382368832</v>
      </c>
      <c r="AC27" s="46">
        <f t="shared" si="32"/>
        <v>48.590844974999946</v>
      </c>
      <c r="AD27" s="47">
        <f t="shared" si="4"/>
        <v>48.590844975</v>
      </c>
      <c r="AE27" s="41"/>
      <c r="AF27" s="46">
        <f t="shared" si="33"/>
        <v>47.268146120824</v>
      </c>
      <c r="AG27" s="46">
        <f t="shared" si="33"/>
        <v>47.92949554791197</v>
      </c>
      <c r="AH27" s="46">
        <f t="shared" si="33"/>
        <v>52.558941537527794</v>
      </c>
      <c r="AI27" s="46">
        <f t="shared" si="33"/>
        <v>51.23624268335185</v>
      </c>
      <c r="AM27" s="52"/>
      <c r="AN27" s="55">
        <v>8366</v>
      </c>
      <c r="AO27" s="55">
        <v>8181</v>
      </c>
      <c r="AP27" s="55"/>
      <c r="AQ27" s="20"/>
      <c r="AR27" s="41">
        <f t="shared" si="5"/>
        <v>1.9029639874140771</v>
      </c>
      <c r="AS27" s="41">
        <f t="shared" si="6"/>
        <v>1.528269775729482</v>
      </c>
      <c r="AT27" s="41">
        <f t="shared" si="7"/>
        <v>1.7780659168525452</v>
      </c>
      <c r="AU27" s="41">
        <f t="shared" si="8"/>
        <v>1.7156168815717794</v>
      </c>
      <c r="AV27" s="41">
        <f t="shared" si="9"/>
        <v>2.027862057975608</v>
      </c>
      <c r="AW27" s="41">
        <f t="shared" si="10"/>
        <v>2.215209163817906</v>
      </c>
      <c r="AX27" s="41">
        <f t="shared" si="11"/>
        <v>2.1152907073686804</v>
      </c>
      <c r="AY27" s="41">
        <f t="shared" si="12"/>
        <v>2.084066189728298</v>
      </c>
      <c r="AZ27" s="41">
        <f t="shared" si="13"/>
        <v>2.5899033755025007</v>
      </c>
      <c r="BA27" s="41">
        <f t="shared" si="14"/>
        <v>3.027046622467861</v>
      </c>
      <c r="BB27" s="41">
        <f t="shared" si="34"/>
        <v>3.2232207923094855</v>
      </c>
      <c r="BC27" s="41">
        <f t="shared" si="35"/>
        <v>3.7022693363407813</v>
      </c>
      <c r="BD27" s="41">
        <f t="shared" si="35"/>
        <v>3.5291229249959453</v>
      </c>
      <c r="BE27" s="41">
        <f t="shared" si="35"/>
        <v>3.8940318015080506</v>
      </c>
      <c r="BF27" s="41">
        <f t="shared" si="15"/>
        <v>3.9899130340916855</v>
      </c>
      <c r="BG27" s="41">
        <f t="shared" si="16"/>
        <v>4.447546514642213</v>
      </c>
      <c r="BH27" s="41">
        <f t="shared" si="17"/>
        <v>4.848110161433145</v>
      </c>
      <c r="BI27" s="41">
        <f t="shared" si="18"/>
        <v>5.0350181518514505</v>
      </c>
      <c r="BJ27" s="41">
        <f t="shared" si="19"/>
        <v>5.612541775700459</v>
      </c>
      <c r="BK27" s="41">
        <f t="shared" si="20"/>
        <v>5.260737541093793</v>
      </c>
      <c r="BL27" s="41">
        <f t="shared" si="36"/>
        <v>5.939474999999994</v>
      </c>
      <c r="BM27" s="41">
        <f t="shared" si="21"/>
        <v>5.777795638775699</v>
      </c>
      <c r="BN27" s="41">
        <f t="shared" si="22"/>
        <v>5.858635319387846</v>
      </c>
      <c r="BO27" s="41">
        <f t="shared" si="23"/>
        <v>6.424513083672876</v>
      </c>
      <c r="BP27" s="41">
        <f t="shared" si="24"/>
        <v>6.2628337224485815</v>
      </c>
      <c r="BQ27" s="41"/>
      <c r="BR27" s="41"/>
      <c r="BS27" s="41"/>
      <c r="BU27" s="41">
        <f t="shared" si="37"/>
        <v>1.9029639874140771</v>
      </c>
      <c r="BV27" s="41">
        <f t="shared" si="37"/>
        <v>1.7156168815717796</v>
      </c>
      <c r="BW27" s="41">
        <f t="shared" si="37"/>
        <v>1.7364332266653681</v>
      </c>
      <c r="BX27" s="41">
        <f t="shared" si="37"/>
        <v>1.673984191384602</v>
      </c>
      <c r="BY27" s="41">
        <f t="shared" si="37"/>
        <v>1.8405149521333108</v>
      </c>
      <c r="BZ27" s="41">
        <f t="shared" si="37"/>
        <v>1.9862293677884313</v>
      </c>
      <c r="CA27" s="41">
        <f t="shared" si="37"/>
        <v>2.119453976387398</v>
      </c>
      <c r="CB27" s="41">
        <f t="shared" si="37"/>
        <v>2.138188686971628</v>
      </c>
      <c r="CC27" s="41">
        <f t="shared" si="37"/>
        <v>2.2630867575331597</v>
      </c>
      <c r="CD27" s="41">
        <f t="shared" si="37"/>
        <v>2.567005395899553</v>
      </c>
      <c r="CE27" s="41">
        <f t="shared" si="37"/>
        <v>2.946723596759949</v>
      </c>
      <c r="CF27" s="41">
        <f t="shared" si="37"/>
        <v>3.3175122503727095</v>
      </c>
      <c r="CG27" s="41">
        <f t="shared" si="37"/>
        <v>3.484871017882071</v>
      </c>
      <c r="CH27" s="41">
        <f t="shared" si="37"/>
        <v>3.7084746876149257</v>
      </c>
      <c r="CI27" s="41">
        <f t="shared" si="37"/>
        <v>3.80435592019856</v>
      </c>
      <c r="CJ27" s="41">
        <f t="shared" si="37"/>
        <v>4.110497116747317</v>
      </c>
      <c r="CK27" s="41">
        <f t="shared" si="37"/>
        <v>4.428523236722348</v>
      </c>
      <c r="CL27" s="41">
        <f t="shared" si="38"/>
        <v>4.776891609308937</v>
      </c>
      <c r="CM27" s="41">
        <f t="shared" si="38"/>
        <v>5.165223362995018</v>
      </c>
      <c r="CN27" s="41">
        <f t="shared" si="38"/>
        <v>5.302765822881901</v>
      </c>
      <c r="CO27" s="41">
        <f t="shared" si="38"/>
        <v>5.604251438931414</v>
      </c>
      <c r="CP27" s="41">
        <f t="shared" si="38"/>
        <v>5.6593360599564955</v>
      </c>
      <c r="CQ27" s="41">
        <f t="shared" si="38"/>
        <v>5.858635319387846</v>
      </c>
      <c r="CR27" s="41">
        <f t="shared" si="38"/>
        <v>6.020314680612141</v>
      </c>
      <c r="CS27" s="41">
        <f t="shared" si="38"/>
        <v>6.181994041836435</v>
      </c>
      <c r="CT27" s="41"/>
      <c r="CU27" s="41"/>
      <c r="CV27" s="41"/>
      <c r="CW27" s="8"/>
      <c r="CX27">
        <v>4</v>
      </c>
      <c r="CY27">
        <v>600</v>
      </c>
      <c r="DA27" s="41">
        <f t="shared" si="39"/>
        <v>-0.18734710584229752</v>
      </c>
      <c r="DB27" s="41">
        <f t="shared" si="39"/>
        <v>0.02081634509358854</v>
      </c>
      <c r="DC27" s="41">
        <f t="shared" si="39"/>
        <v>-0.06244903528076606</v>
      </c>
      <c r="DD27" s="41">
        <f t="shared" si="39"/>
        <v>0.16653076074870876</v>
      </c>
      <c r="DE27" s="41">
        <f t="shared" si="39"/>
        <v>0.14571441565512044</v>
      </c>
      <c r="DF27" s="41">
        <f t="shared" si="39"/>
        <v>0.1332246085989668</v>
      </c>
      <c r="DG27" s="41">
        <f t="shared" si="39"/>
        <v>0.01873471058422993</v>
      </c>
      <c r="DH27" s="41">
        <f t="shared" si="39"/>
        <v>0.12489807056153168</v>
      </c>
      <c r="DI27" s="41">
        <f t="shared" si="39"/>
        <v>0.30391863836639343</v>
      </c>
      <c r="DJ27" s="41">
        <f t="shared" si="39"/>
        <v>0.37971820086039587</v>
      </c>
      <c r="DK27" s="41">
        <f t="shared" si="39"/>
        <v>0.3707886536127605</v>
      </c>
      <c r="DL27" s="41">
        <f t="shared" si="39"/>
        <v>0.16735876750936152</v>
      </c>
      <c r="DM27" s="41">
        <f t="shared" si="39"/>
        <v>0.22360366973285473</v>
      </c>
      <c r="DN27" s="41">
        <f t="shared" si="39"/>
        <v>0.09588123258363446</v>
      </c>
      <c r="DO27" s="41">
        <f t="shared" si="39"/>
        <v>0.30614119654875704</v>
      </c>
      <c r="DP27" s="41">
        <f t="shared" si="39"/>
        <v>0.3180261199750305</v>
      </c>
      <c r="DQ27" s="41">
        <f t="shared" si="39"/>
        <v>0.3483683725865889</v>
      </c>
      <c r="DR27" s="41">
        <f t="shared" si="43"/>
        <v>0.3883317536860815</v>
      </c>
      <c r="DS27" s="41">
        <f t="shared" si="40"/>
        <v>0.13754245988688307</v>
      </c>
      <c r="DT27" s="41">
        <f t="shared" si="40"/>
        <v>0.3014856160495132</v>
      </c>
      <c r="DU27" s="41">
        <f t="shared" si="40"/>
        <v>0.05508462102508105</v>
      </c>
      <c r="DV27" s="41">
        <f t="shared" si="40"/>
        <v>0.19929925943135096</v>
      </c>
      <c r="DW27" s="41">
        <f t="shared" si="40"/>
        <v>0.16167936122429438</v>
      </c>
      <c r="DX27" s="41">
        <f t="shared" si="40"/>
        <v>0.16167936122429438</v>
      </c>
      <c r="DY27" s="41"/>
      <c r="DZ27" s="41"/>
      <c r="EA27" s="41"/>
      <c r="EC27" s="109">
        <v>52.255</v>
      </c>
      <c r="ED27" s="108">
        <f t="shared" si="41"/>
        <v>20.292275788866192</v>
      </c>
      <c r="EE27" s="108"/>
      <c r="EF27" s="109">
        <v>52.255</v>
      </c>
      <c r="EG27" s="108">
        <f t="shared" si="27"/>
        <v>2.87844687166561</v>
      </c>
      <c r="EH27" s="108"/>
      <c r="EI27" s="109">
        <v>52.255</v>
      </c>
      <c r="EJ27" s="108">
        <f t="shared" si="42"/>
        <v>10.414382801585244</v>
      </c>
    </row>
    <row r="28" spans="1:140" ht="15.75">
      <c r="A28">
        <v>4</v>
      </c>
      <c r="B28">
        <v>1200</v>
      </c>
      <c r="C28" s="39">
        <v>787.5740072154648</v>
      </c>
      <c r="D28" s="40">
        <v>811.74508968</v>
      </c>
      <c r="E28" s="41">
        <f t="shared" si="28"/>
        <v>0.14053815585773652</v>
      </c>
      <c r="F28" s="42">
        <f t="shared" si="29"/>
        <v>0.09950661005948848</v>
      </c>
      <c r="G28" s="46">
        <f t="shared" si="30"/>
        <v>0.13643500127791172</v>
      </c>
      <c r="H28" s="46">
        <f t="shared" si="31"/>
        <v>475.4921545637825</v>
      </c>
      <c r="I28" s="46">
        <f t="shared" si="31"/>
        <v>381.8675987682774</v>
      </c>
      <c r="J28" s="46">
        <f t="shared" si="31"/>
        <v>444.2839692986141</v>
      </c>
      <c r="K28" s="46">
        <f t="shared" si="31"/>
        <v>428.67987666602994</v>
      </c>
      <c r="L28" s="46">
        <f t="shared" si="31"/>
        <v>506.7003398289508</v>
      </c>
      <c r="M28" s="46">
        <f t="shared" si="31"/>
        <v>553.5126177267034</v>
      </c>
      <c r="N28" s="46">
        <f t="shared" si="31"/>
        <v>528.5460695145687</v>
      </c>
      <c r="O28" s="46">
        <f t="shared" si="31"/>
        <v>520.7440231982766</v>
      </c>
      <c r="P28" s="46">
        <f t="shared" si="31"/>
        <v>647.1371735222084</v>
      </c>
      <c r="Q28" s="46">
        <f t="shared" si="31"/>
        <v>756.3658219502976</v>
      </c>
      <c r="R28" s="50">
        <f t="shared" si="1"/>
        <v>787.5740072154648</v>
      </c>
      <c r="S28" s="46">
        <f t="shared" si="2"/>
        <v>787.5740072154658</v>
      </c>
      <c r="T28" s="46">
        <f t="shared" si="32"/>
        <v>855.4710735794633</v>
      </c>
      <c r="U28" s="46">
        <f t="shared" si="32"/>
        <v>770.9718326185518</v>
      </c>
      <c r="V28" s="46">
        <f t="shared" si="32"/>
        <v>804.0160947164478</v>
      </c>
      <c r="W28" s="46">
        <f t="shared" si="32"/>
        <v>778.2886052849401</v>
      </c>
      <c r="X28" s="46">
        <f t="shared" si="32"/>
        <v>819.1921446384378</v>
      </c>
      <c r="Y28" s="46">
        <f t="shared" si="32"/>
        <v>842.6692818588848</v>
      </c>
      <c r="Z28" s="46">
        <f t="shared" si="32"/>
        <v>825.2566470580953</v>
      </c>
      <c r="AA28" s="46">
        <f t="shared" si="32"/>
        <v>866.7302256653285</v>
      </c>
      <c r="AB28" s="46">
        <f t="shared" si="32"/>
        <v>764.6901206927473</v>
      </c>
      <c r="AC28" s="46">
        <f t="shared" si="32"/>
        <v>811.7450896799991</v>
      </c>
      <c r="AD28" s="47">
        <f t="shared" si="4"/>
        <v>811.74508968</v>
      </c>
      <c r="AE28" s="41"/>
      <c r="AF28" s="46">
        <f t="shared" si="33"/>
        <v>789.6484519171632</v>
      </c>
      <c r="AG28" s="46">
        <f t="shared" si="33"/>
        <v>800.6967707985812</v>
      </c>
      <c r="AH28" s="46">
        <f t="shared" si="33"/>
        <v>878.0350029685068</v>
      </c>
      <c r="AI28" s="46">
        <f t="shared" si="33"/>
        <v>855.938365205671</v>
      </c>
      <c r="AM28" s="52"/>
      <c r="AN28" s="55">
        <v>105554</v>
      </c>
      <c r="AO28" s="55">
        <v>98196</v>
      </c>
      <c r="AP28" s="55"/>
      <c r="AQ28" s="20"/>
      <c r="AR28" s="41">
        <f t="shared" si="5"/>
        <v>4.504728902398607</v>
      </c>
      <c r="AS28" s="41">
        <f t="shared" si="6"/>
        <v>3.61774635511944</v>
      </c>
      <c r="AT28" s="41">
        <f t="shared" si="7"/>
        <v>4.2090680533055504</v>
      </c>
      <c r="AU28" s="41">
        <f t="shared" si="8"/>
        <v>4.061237628759024</v>
      </c>
      <c r="AV28" s="41">
        <f t="shared" si="9"/>
        <v>4.800389751491661</v>
      </c>
      <c r="AW28" s="41">
        <f t="shared" si="10"/>
        <v>5.243881025131245</v>
      </c>
      <c r="AX28" s="41">
        <f t="shared" si="11"/>
        <v>5.0073523458568</v>
      </c>
      <c r="AY28" s="41">
        <f t="shared" si="12"/>
        <v>4.933437133583537</v>
      </c>
      <c r="AZ28" s="41">
        <f t="shared" si="13"/>
        <v>6.13086357241041</v>
      </c>
      <c r="BA28" s="41">
        <f t="shared" si="14"/>
        <v>7.165676544236103</v>
      </c>
      <c r="BB28" s="41">
        <f t="shared" si="34"/>
        <v>8.020428604173958</v>
      </c>
      <c r="BC28" s="41">
        <f t="shared" si="35"/>
        <v>8.711872923331534</v>
      </c>
      <c r="BD28" s="41">
        <f t="shared" si="35"/>
        <v>7.851356802910015</v>
      </c>
      <c r="BE28" s="41">
        <f t="shared" si="35"/>
        <v>8.187870124205139</v>
      </c>
      <c r="BF28" s="41">
        <f t="shared" si="15"/>
        <v>7.9258687246419415</v>
      </c>
      <c r="BG28" s="41">
        <f t="shared" si="16"/>
        <v>8.342418679360032</v>
      </c>
      <c r="BH28" s="41">
        <f t="shared" si="17"/>
        <v>8.581503135146898</v>
      </c>
      <c r="BI28" s="41">
        <f t="shared" si="18"/>
        <v>8.404177838792773</v>
      </c>
      <c r="BJ28" s="41">
        <f t="shared" si="19"/>
        <v>8.826532910356109</v>
      </c>
      <c r="BK28" s="41">
        <f t="shared" si="20"/>
        <v>7.787385643944227</v>
      </c>
      <c r="BL28" s="41">
        <f t="shared" si="36"/>
        <v>8.26657999999999</v>
      </c>
      <c r="BM28" s="41">
        <f t="shared" si="21"/>
        <v>8.041554156148552</v>
      </c>
      <c r="BN28" s="41">
        <f t="shared" si="22"/>
        <v>8.154067078074272</v>
      </c>
      <c r="BO28" s="41">
        <f t="shared" si="23"/>
        <v>8.941657531554307</v>
      </c>
      <c r="BP28" s="41">
        <f t="shared" si="24"/>
        <v>8.716631687702868</v>
      </c>
      <c r="BQ28" s="41"/>
      <c r="BR28" s="41"/>
      <c r="BS28" s="41"/>
      <c r="BU28" s="41">
        <f t="shared" si="37"/>
        <v>4.504728902398607</v>
      </c>
      <c r="BV28" s="41">
        <f t="shared" si="37"/>
        <v>4.061237628759024</v>
      </c>
      <c r="BW28" s="41">
        <f t="shared" si="37"/>
        <v>4.110514436941199</v>
      </c>
      <c r="BX28" s="41">
        <f t="shared" si="37"/>
        <v>3.9626840123946714</v>
      </c>
      <c r="BY28" s="41">
        <f t="shared" si="37"/>
        <v>4.356898477852078</v>
      </c>
      <c r="BZ28" s="41">
        <f t="shared" si="37"/>
        <v>4.7018361351273095</v>
      </c>
      <c r="CA28" s="41">
        <f t="shared" si="37"/>
        <v>5.0172077074932355</v>
      </c>
      <c r="CB28" s="41">
        <f t="shared" si="37"/>
        <v>5.0615568348571935</v>
      </c>
      <c r="CC28" s="41">
        <f t="shared" si="37"/>
        <v>5.357217683950249</v>
      </c>
      <c r="CD28" s="41">
        <f t="shared" si="37"/>
        <v>6.076659083410017</v>
      </c>
      <c r="CE28" s="41">
        <f t="shared" si="37"/>
        <v>7.10565624027349</v>
      </c>
      <c r="CF28" s="41">
        <f t="shared" si="37"/>
        <v>7.965992690580531</v>
      </c>
      <c r="CG28" s="41">
        <f t="shared" si="37"/>
        <v>8.19455277680517</v>
      </c>
      <c r="CH28" s="41">
        <f t="shared" si="37"/>
        <v>8.250366616815562</v>
      </c>
      <c r="CI28" s="41">
        <f t="shared" si="37"/>
        <v>7.9883652172523645</v>
      </c>
      <c r="CJ28" s="41">
        <f t="shared" si="37"/>
        <v>8.152052509402372</v>
      </c>
      <c r="CK28" s="41">
        <f t="shared" si="37"/>
        <v>8.283263513049624</v>
      </c>
      <c r="CL28" s="41">
        <f t="shared" si="38"/>
        <v>8.442699884433233</v>
      </c>
      <c r="CM28" s="41">
        <f t="shared" si="38"/>
        <v>8.60407129476526</v>
      </c>
      <c r="CN28" s="41">
        <f t="shared" si="38"/>
        <v>8.33936546436437</v>
      </c>
      <c r="CO28" s="41">
        <f t="shared" si="38"/>
        <v>8.29349951810011</v>
      </c>
      <c r="CP28" s="41">
        <f t="shared" si="38"/>
        <v>8.031839933364255</v>
      </c>
      <c r="CQ28" s="41">
        <f t="shared" si="38"/>
        <v>8.15406707807427</v>
      </c>
      <c r="CR28" s="41">
        <f t="shared" si="38"/>
        <v>8.37909292192571</v>
      </c>
      <c r="CS28" s="41">
        <f t="shared" si="38"/>
        <v>8.60411876577715</v>
      </c>
      <c r="CT28" s="41"/>
      <c r="CU28" s="41"/>
      <c r="CV28" s="41"/>
      <c r="CW28" s="8"/>
      <c r="CX28">
        <v>4</v>
      </c>
      <c r="CY28">
        <v>1200</v>
      </c>
      <c r="DA28" s="41">
        <f t="shared" si="39"/>
        <v>-0.44349127363958285</v>
      </c>
      <c r="DB28" s="41">
        <f t="shared" si="39"/>
        <v>0.04927680818217528</v>
      </c>
      <c r="DC28" s="41">
        <f t="shared" si="39"/>
        <v>-0.14783042454652762</v>
      </c>
      <c r="DD28" s="41">
        <f t="shared" si="39"/>
        <v>0.3942144654574067</v>
      </c>
      <c r="DE28" s="41">
        <f t="shared" si="39"/>
        <v>0.3449376572752314</v>
      </c>
      <c r="DF28" s="41">
        <f t="shared" si="39"/>
        <v>0.31537157236592606</v>
      </c>
      <c r="DG28" s="41">
        <f t="shared" si="39"/>
        <v>0.04434912736395802</v>
      </c>
      <c r="DH28" s="41">
        <f t="shared" si="39"/>
        <v>0.29566084909305523</v>
      </c>
      <c r="DI28" s="41">
        <f t="shared" si="39"/>
        <v>0.7194413994597681</v>
      </c>
      <c r="DJ28" s="41">
        <f t="shared" si="39"/>
        <v>1.0289971568634728</v>
      </c>
      <c r="DK28" s="41">
        <f t="shared" si="39"/>
        <v>0.8603364503070416</v>
      </c>
      <c r="DL28" s="41">
        <f t="shared" si="39"/>
        <v>0.22856008622463797</v>
      </c>
      <c r="DM28" s="41">
        <f t="shared" si="39"/>
        <v>0.05581384001039247</v>
      </c>
      <c r="DN28" s="41">
        <f t="shared" si="39"/>
        <v>-0.26200139956319735</v>
      </c>
      <c r="DO28" s="41">
        <f t="shared" si="39"/>
        <v>0.16368729215000766</v>
      </c>
      <c r="DP28" s="41">
        <f t="shared" si="39"/>
        <v>0.1312110036472518</v>
      </c>
      <c r="DQ28" s="41">
        <f t="shared" si="39"/>
        <v>0.15943637138360955</v>
      </c>
      <c r="DR28" s="41">
        <f t="shared" si="43"/>
        <v>0.16137141033202695</v>
      </c>
      <c r="DS28" s="41">
        <f t="shared" si="40"/>
        <v>-0.26470583040089046</v>
      </c>
      <c r="DT28" s="41">
        <f t="shared" si="40"/>
        <v>-0.04586594626426077</v>
      </c>
      <c r="DU28" s="41">
        <f t="shared" si="40"/>
        <v>-0.26165958473585427</v>
      </c>
      <c r="DV28" s="41">
        <f t="shared" si="40"/>
        <v>0.12222714471001517</v>
      </c>
      <c r="DW28" s="41">
        <f t="shared" si="40"/>
        <v>0.22502584385144075</v>
      </c>
      <c r="DX28" s="41">
        <f t="shared" si="40"/>
        <v>0.22502584385143898</v>
      </c>
      <c r="DY28" s="41"/>
      <c r="DZ28" s="41"/>
      <c r="EA28" s="41"/>
      <c r="EC28" s="109">
        <v>25.05577777</v>
      </c>
      <c r="ED28" s="108">
        <f t="shared" si="41"/>
        <v>4.043286195710749</v>
      </c>
      <c r="EE28" s="108"/>
      <c r="EF28" s="109">
        <v>25.08864486</v>
      </c>
      <c r="EG28" s="108">
        <f t="shared" si="27"/>
        <v>-6.564684395652924</v>
      </c>
      <c r="EH28" s="108"/>
      <c r="EI28" s="109">
        <v>25.09640617</v>
      </c>
      <c r="EJ28" s="108">
        <f t="shared" si="42"/>
        <v>3.0674620686419076</v>
      </c>
    </row>
    <row r="29" spans="1:140" ht="15.75">
      <c r="A29">
        <v>4</v>
      </c>
      <c r="B29">
        <v>1800</v>
      </c>
      <c r="C29" s="39">
        <v>1725.988143690983</v>
      </c>
      <c r="D29" s="40">
        <v>1873.27413804</v>
      </c>
      <c r="E29" s="41">
        <f t="shared" si="28"/>
        <v>0.307992885143919</v>
      </c>
      <c r="F29" s="42">
        <f t="shared" si="29"/>
        <v>0.22963262920623656</v>
      </c>
      <c r="G29" s="46">
        <f t="shared" si="30"/>
        <v>0.30015685955015076</v>
      </c>
      <c r="H29" s="46">
        <f t="shared" si="31"/>
        <v>1042.0529546128648</v>
      </c>
      <c r="I29" s="46">
        <f t="shared" si="31"/>
        <v>836.8723978894285</v>
      </c>
      <c r="J29" s="46">
        <f t="shared" si="31"/>
        <v>973.6594357050527</v>
      </c>
      <c r="K29" s="46">
        <f t="shared" si="31"/>
        <v>939.4626762511467</v>
      </c>
      <c r="L29" s="46">
        <f t="shared" si="31"/>
        <v>1110.4464735206768</v>
      </c>
      <c r="M29" s="46">
        <f t="shared" si="31"/>
        <v>1213.036751882395</v>
      </c>
      <c r="N29" s="46">
        <f t="shared" si="31"/>
        <v>1158.3219367561453</v>
      </c>
      <c r="O29" s="46">
        <f t="shared" si="31"/>
        <v>1141.2235570291923</v>
      </c>
      <c r="P29" s="46">
        <f t="shared" si="31"/>
        <v>1418.217308605831</v>
      </c>
      <c r="Q29" s="46">
        <f t="shared" si="31"/>
        <v>1657.5946247831732</v>
      </c>
      <c r="R29" s="50">
        <f t="shared" si="1"/>
        <v>1725.988143690983</v>
      </c>
      <c r="S29" s="46">
        <f t="shared" si="2"/>
        <v>1725.9881436909852</v>
      </c>
      <c r="T29" s="46">
        <f t="shared" si="32"/>
        <v>1882.035463601953</v>
      </c>
      <c r="U29" s="46">
        <f t="shared" si="32"/>
        <v>1703.0755233252082</v>
      </c>
      <c r="V29" s="46">
        <f t="shared" si="32"/>
        <v>1783.7689899770162</v>
      </c>
      <c r="W29" s="46">
        <f t="shared" si="32"/>
        <v>1734.6357531645479</v>
      </c>
      <c r="X29" s="46">
        <f t="shared" si="32"/>
        <v>1834.7352687736477</v>
      </c>
      <c r="Y29" s="46">
        <f t="shared" si="32"/>
        <v>1897.1578577531673</v>
      </c>
      <c r="Z29" s="46">
        <f t="shared" si="32"/>
        <v>1868.3007116919093</v>
      </c>
      <c r="AA29" s="46">
        <f t="shared" si="32"/>
        <v>1973.8856075556048</v>
      </c>
      <c r="AB29" s="46">
        <f t="shared" si="32"/>
        <v>1752.6334021886025</v>
      </c>
      <c r="AC29" s="46">
        <f t="shared" si="32"/>
        <v>1873.274138039998</v>
      </c>
      <c r="AD29" s="47">
        <f t="shared" si="4"/>
        <v>1873.27413804</v>
      </c>
      <c r="AE29" s="41"/>
      <c r="AF29" s="46">
        <f t="shared" si="33"/>
        <v>1822.2814550105556</v>
      </c>
      <c r="AG29" s="46">
        <f t="shared" si="33"/>
        <v>1847.7777965252767</v>
      </c>
      <c r="AH29" s="46">
        <f t="shared" si="33"/>
        <v>2026.252187128325</v>
      </c>
      <c r="AI29" s="46">
        <f t="shared" si="33"/>
        <v>1975.2595040988829</v>
      </c>
      <c r="AM29" s="52"/>
      <c r="AN29" s="55">
        <v>244216</v>
      </c>
      <c r="AO29" s="55">
        <v>231018</v>
      </c>
      <c r="AP29" s="55"/>
      <c r="AQ29" s="20"/>
      <c r="AR29" s="41">
        <f t="shared" si="5"/>
        <v>4.266931546716288</v>
      </c>
      <c r="AS29" s="41">
        <f t="shared" si="6"/>
        <v>3.4267713740681547</v>
      </c>
      <c r="AT29" s="41">
        <f t="shared" si="7"/>
        <v>3.986878155833576</v>
      </c>
      <c r="AU29" s="41">
        <f t="shared" si="8"/>
        <v>3.8468514603922213</v>
      </c>
      <c r="AV29" s="41">
        <f t="shared" si="9"/>
        <v>4.546984937598998</v>
      </c>
      <c r="AW29" s="41">
        <f t="shared" si="10"/>
        <v>4.967065023923064</v>
      </c>
      <c r="AX29" s="41">
        <f t="shared" si="11"/>
        <v>4.743022311216896</v>
      </c>
      <c r="AY29" s="41">
        <f t="shared" si="12"/>
        <v>4.673008963496218</v>
      </c>
      <c r="AZ29" s="41">
        <f t="shared" si="13"/>
        <v>5.807225196571195</v>
      </c>
      <c r="BA29" s="41">
        <f t="shared" si="14"/>
        <v>6.787412064660683</v>
      </c>
      <c r="BB29" s="41">
        <f t="shared" si="34"/>
        <v>7.471227972240194</v>
      </c>
      <c r="BC29" s="41">
        <f t="shared" si="35"/>
        <v>8.14670486110153</v>
      </c>
      <c r="BD29" s="41">
        <f t="shared" si="35"/>
        <v>7.372046867885655</v>
      </c>
      <c r="BE29" s="41">
        <f t="shared" si="35"/>
        <v>7.721342016539906</v>
      </c>
      <c r="BF29" s="41">
        <f t="shared" si="15"/>
        <v>7.508660594259096</v>
      </c>
      <c r="BG29" s="41">
        <f t="shared" si="16"/>
        <v>7.941958067222674</v>
      </c>
      <c r="BH29" s="41">
        <f t="shared" si="17"/>
        <v>8.212164670082709</v>
      </c>
      <c r="BI29" s="41">
        <f t="shared" si="18"/>
        <v>8.08725169333952</v>
      </c>
      <c r="BJ29" s="41">
        <f t="shared" si="19"/>
        <v>8.544293550959685</v>
      </c>
      <c r="BK29" s="41">
        <f t="shared" si="20"/>
        <v>7.586566424211978</v>
      </c>
      <c r="BL29" s="41">
        <f t="shared" si="36"/>
        <v>8.10877999999999</v>
      </c>
      <c r="BM29" s="41">
        <f t="shared" si="21"/>
        <v>7.888049654185196</v>
      </c>
      <c r="BN29" s="41">
        <f t="shared" si="22"/>
        <v>7.998414827092593</v>
      </c>
      <c r="BO29" s="41">
        <f t="shared" si="23"/>
        <v>8.770971037444376</v>
      </c>
      <c r="BP29" s="41">
        <f t="shared" si="24"/>
        <v>8.550240691629583</v>
      </c>
      <c r="BQ29" s="41"/>
      <c r="BR29" s="41"/>
      <c r="BS29" s="41"/>
      <c r="BU29" s="41">
        <f t="shared" si="37"/>
        <v>4.266931546716288</v>
      </c>
      <c r="BV29" s="41">
        <f t="shared" si="37"/>
        <v>3.8468514603922213</v>
      </c>
      <c r="BW29" s="41">
        <f t="shared" si="37"/>
        <v>3.8935270255393397</v>
      </c>
      <c r="BX29" s="41">
        <f t="shared" si="37"/>
        <v>3.753500330097984</v>
      </c>
      <c r="BY29" s="41">
        <f t="shared" si="37"/>
        <v>4.126904851274932</v>
      </c>
      <c r="BZ29" s="41">
        <f t="shared" si="37"/>
        <v>4.453633807304761</v>
      </c>
      <c r="CA29" s="41">
        <f t="shared" si="37"/>
        <v>4.752357424246319</v>
      </c>
      <c r="CB29" s="41">
        <f t="shared" si="37"/>
        <v>4.794365432878727</v>
      </c>
      <c r="CC29" s="41">
        <f t="shared" si="37"/>
        <v>5.0744188237614365</v>
      </c>
      <c r="CD29" s="41">
        <f t="shared" si="37"/>
        <v>5.7558820749093655</v>
      </c>
      <c r="CE29" s="41">
        <f t="shared" si="37"/>
        <v>6.68862174449069</v>
      </c>
      <c r="CF29" s="41">
        <f t="shared" si="37"/>
        <v>7.468448299334135</v>
      </c>
      <c r="CG29" s="41">
        <f t="shared" si="37"/>
        <v>7.663326567075792</v>
      </c>
      <c r="CH29" s="41">
        <f t="shared" si="37"/>
        <v>7.746697915175697</v>
      </c>
      <c r="CI29" s="41">
        <f t="shared" si="37"/>
        <v>7.534016492894885</v>
      </c>
      <c r="CJ29" s="41">
        <f t="shared" si="37"/>
        <v>7.723986892673892</v>
      </c>
      <c r="CK29" s="41">
        <f t="shared" si="37"/>
        <v>7.887594443854826</v>
      </c>
      <c r="CL29" s="41">
        <f t="shared" si="38"/>
        <v>8.0804581435483</v>
      </c>
      <c r="CM29" s="41">
        <f t="shared" si="38"/>
        <v>8.281236638127304</v>
      </c>
      <c r="CN29" s="41">
        <f t="shared" si="38"/>
        <v>8.072703889503726</v>
      </c>
      <c r="CO29" s="41">
        <f t="shared" si="38"/>
        <v>8.079879991723885</v>
      </c>
      <c r="CP29" s="41">
        <f t="shared" si="38"/>
        <v>7.861132026132388</v>
      </c>
      <c r="CQ29" s="41">
        <f t="shared" si="38"/>
        <v>7.998414827092593</v>
      </c>
      <c r="CR29" s="41">
        <f t="shared" si="38"/>
        <v>8.219145172907389</v>
      </c>
      <c r="CS29" s="41">
        <f t="shared" si="38"/>
        <v>8.439875518722184</v>
      </c>
      <c r="CT29" s="41"/>
      <c r="CU29" s="41"/>
      <c r="CV29" s="41"/>
      <c r="CW29" s="8"/>
      <c r="CX29">
        <v>4</v>
      </c>
      <c r="CY29">
        <v>1800</v>
      </c>
      <c r="DA29" s="41">
        <f t="shared" si="39"/>
        <v>-0.42008008632406657</v>
      </c>
      <c r="DB29" s="41">
        <f t="shared" si="39"/>
        <v>0.04667556514711846</v>
      </c>
      <c r="DC29" s="41">
        <f t="shared" si="39"/>
        <v>-0.14002669544135582</v>
      </c>
      <c r="DD29" s="41">
        <f t="shared" si="39"/>
        <v>0.3734045211769481</v>
      </c>
      <c r="DE29" s="41">
        <f t="shared" si="39"/>
        <v>0.32672895602982877</v>
      </c>
      <c r="DF29" s="41">
        <f t="shared" si="39"/>
        <v>0.29872361694155813</v>
      </c>
      <c r="DG29" s="41">
        <f t="shared" si="39"/>
        <v>0.04200800863240772</v>
      </c>
      <c r="DH29" s="41">
        <f t="shared" si="39"/>
        <v>0.28005339088270986</v>
      </c>
      <c r="DI29" s="41">
        <f t="shared" si="39"/>
        <v>0.681463251147929</v>
      </c>
      <c r="DJ29" s="41">
        <f t="shared" si="39"/>
        <v>0.9327396695813244</v>
      </c>
      <c r="DK29" s="41">
        <f t="shared" si="39"/>
        <v>0.7798265548434449</v>
      </c>
      <c r="DL29" s="41">
        <f t="shared" si="39"/>
        <v>0.1948782677416574</v>
      </c>
      <c r="DM29" s="41">
        <f t="shared" si="39"/>
        <v>0.08337134809990498</v>
      </c>
      <c r="DN29" s="41">
        <f t="shared" si="39"/>
        <v>-0.212681422280812</v>
      </c>
      <c r="DO29" s="41">
        <f t="shared" si="39"/>
        <v>0.18997039977900698</v>
      </c>
      <c r="DP29" s="41">
        <f t="shared" si="39"/>
        <v>0.16360755118093362</v>
      </c>
      <c r="DQ29" s="41">
        <f t="shared" si="39"/>
        <v>0.19286369969347472</v>
      </c>
      <c r="DR29" s="41">
        <f t="shared" si="43"/>
        <v>0.2007784945790032</v>
      </c>
      <c r="DS29" s="41">
        <f t="shared" si="40"/>
        <v>-0.2085327486235773</v>
      </c>
      <c r="DT29" s="41">
        <f t="shared" si="40"/>
        <v>0.007176102220158853</v>
      </c>
      <c r="DU29" s="41">
        <f t="shared" si="40"/>
        <v>-0.218747965591497</v>
      </c>
      <c r="DV29" s="41">
        <f t="shared" si="40"/>
        <v>0.13728280096020473</v>
      </c>
      <c r="DW29" s="41">
        <f t="shared" si="40"/>
        <v>0.220730345814796</v>
      </c>
      <c r="DX29" s="41">
        <f t="shared" si="40"/>
        <v>0.22073034581479511</v>
      </c>
      <c r="DY29" s="41"/>
      <c r="DZ29" s="41"/>
      <c r="EA29" s="41"/>
      <c r="EC29" s="109">
        <v>2.793941653</v>
      </c>
      <c r="ED29" s="108">
        <f t="shared" si="41"/>
        <v>0.5609633990309117</v>
      </c>
      <c r="EE29" s="108"/>
      <c r="EF29" s="109">
        <v>2.808706636</v>
      </c>
      <c r="EG29" s="108">
        <f t="shared" si="27"/>
        <v>-0.6143988625683373</v>
      </c>
      <c r="EH29" s="108"/>
      <c r="EI29" s="109">
        <v>2.81250296</v>
      </c>
      <c r="EJ29" s="108">
        <f t="shared" si="42"/>
        <v>0.3861082840576667</v>
      </c>
    </row>
    <row r="30" spans="1:140" ht="15.75">
      <c r="A30">
        <v>5</v>
      </c>
      <c r="B30">
        <v>600</v>
      </c>
      <c r="C30" s="39">
        <v>103.84417549689806</v>
      </c>
      <c r="D30" s="40">
        <v>172.25276944</v>
      </c>
      <c r="E30" s="41">
        <f t="shared" si="28"/>
        <v>0.018530409570650736</v>
      </c>
      <c r="F30" s="42">
        <f t="shared" si="29"/>
        <v>0.021115359215896173</v>
      </c>
      <c r="G30" s="46">
        <f t="shared" si="30"/>
        <v>0.01878890453517528</v>
      </c>
      <c r="H30" s="46">
        <f t="shared" si="31"/>
        <v>62.695175683230744</v>
      </c>
      <c r="I30" s="46">
        <f t="shared" si="31"/>
        <v>50.350475739130495</v>
      </c>
      <c r="J30" s="46">
        <f t="shared" si="31"/>
        <v>58.58027570186399</v>
      </c>
      <c r="K30" s="46">
        <f t="shared" si="31"/>
        <v>56.522825711180616</v>
      </c>
      <c r="L30" s="46">
        <f t="shared" si="31"/>
        <v>66.81007566459748</v>
      </c>
      <c r="M30" s="46">
        <f t="shared" si="31"/>
        <v>72.9824256366476</v>
      </c>
      <c r="N30" s="46">
        <f t="shared" si="31"/>
        <v>69.6905056515542</v>
      </c>
      <c r="O30" s="46">
        <f t="shared" si="31"/>
        <v>68.66178065621251</v>
      </c>
      <c r="P30" s="46">
        <f t="shared" si="31"/>
        <v>85.32712558074785</v>
      </c>
      <c r="Q30" s="46">
        <f t="shared" si="31"/>
        <v>99.72927551553146</v>
      </c>
      <c r="R30" s="50">
        <f t="shared" si="1"/>
        <v>103.84417549689806</v>
      </c>
      <c r="S30" s="46">
        <f t="shared" si="2"/>
        <v>103.84417549689819</v>
      </c>
      <c r="T30" s="46">
        <f t="shared" si="32"/>
        <v>117.80968361152247</v>
      </c>
      <c r="U30" s="46">
        <f t="shared" si="32"/>
        <v>110.97108417450625</v>
      </c>
      <c r="V30" s="46">
        <f t="shared" si="32"/>
        <v>121.05129995257053</v>
      </c>
      <c r="W30" s="46">
        <f t="shared" si="32"/>
        <v>122.67210812309459</v>
      </c>
      <c r="X30" s="46">
        <f t="shared" si="32"/>
        <v>135.2976901370566</v>
      </c>
      <c r="Y30" s="46">
        <f t="shared" si="32"/>
        <v>145.98062598273864</v>
      </c>
      <c r="Z30" s="46">
        <f t="shared" si="32"/>
        <v>150.1180994335596</v>
      </c>
      <c r="AA30" s="46">
        <f t="shared" si="32"/>
        <v>165.74826297303287</v>
      </c>
      <c r="AB30" s="46">
        <f t="shared" si="32"/>
        <v>153.93373488662453</v>
      </c>
      <c r="AC30" s="46">
        <f t="shared" si="32"/>
        <v>172.2527694399998</v>
      </c>
      <c r="AD30" s="47">
        <f t="shared" si="4"/>
        <v>172.25276944</v>
      </c>
      <c r="AE30" s="41"/>
      <c r="AF30" s="46">
        <f t="shared" si="33"/>
        <v>167.56385034661616</v>
      </c>
      <c r="AG30" s="46">
        <f t="shared" si="33"/>
        <v>169.90830989330797</v>
      </c>
      <c r="AH30" s="46">
        <f t="shared" si="33"/>
        <v>186.31952672015072</v>
      </c>
      <c r="AI30" s="46">
        <f t="shared" si="33"/>
        <v>181.6306076267671</v>
      </c>
      <c r="AM30" s="52"/>
      <c r="AN30" s="55">
        <v>19402</v>
      </c>
      <c r="AO30" s="55">
        <v>18764</v>
      </c>
      <c r="AP30" s="55"/>
      <c r="AQ30" s="20"/>
      <c r="AR30" s="41">
        <f t="shared" si="5"/>
        <v>3.2313769551196136</v>
      </c>
      <c r="AS30" s="41">
        <f t="shared" si="6"/>
        <v>2.595117809459359</v>
      </c>
      <c r="AT30" s="41">
        <f t="shared" si="7"/>
        <v>3.0192905732328623</v>
      </c>
      <c r="AU30" s="41">
        <f t="shared" si="8"/>
        <v>2.9132473822894864</v>
      </c>
      <c r="AV30" s="41">
        <f t="shared" si="9"/>
        <v>3.443463337006364</v>
      </c>
      <c r="AW30" s="41">
        <f t="shared" si="10"/>
        <v>3.7615929098364917</v>
      </c>
      <c r="AX30" s="41">
        <f t="shared" si="11"/>
        <v>3.5919238043270902</v>
      </c>
      <c r="AY30" s="41">
        <f t="shared" si="12"/>
        <v>3.538902208855402</v>
      </c>
      <c r="AZ30" s="41">
        <f t="shared" si="13"/>
        <v>4.397852055496745</v>
      </c>
      <c r="BA30" s="41">
        <f t="shared" si="14"/>
        <v>5.140154392100374</v>
      </c>
      <c r="BB30" s="41">
        <f t="shared" si="34"/>
        <v>5.534223806059379</v>
      </c>
      <c r="BC30" s="41">
        <f t="shared" si="35"/>
        <v>6.278495182877983</v>
      </c>
      <c r="BD30" s="41">
        <f t="shared" si="35"/>
        <v>5.9140420046102244</v>
      </c>
      <c r="BE30" s="41">
        <f t="shared" si="35"/>
        <v>6.451252395681653</v>
      </c>
      <c r="BF30" s="41">
        <f t="shared" si="15"/>
        <v>6.537631002083489</v>
      </c>
      <c r="BG30" s="41">
        <f t="shared" si="16"/>
        <v>7.210492972556843</v>
      </c>
      <c r="BH30" s="41">
        <f t="shared" si="17"/>
        <v>7.779824450156611</v>
      </c>
      <c r="BI30" s="41">
        <f t="shared" si="18"/>
        <v>8.000325060411404</v>
      </c>
      <c r="BJ30" s="41">
        <f t="shared" si="19"/>
        <v>8.833311819070179</v>
      </c>
      <c r="BK30" s="41">
        <f t="shared" si="20"/>
        <v>8.203673784194443</v>
      </c>
      <c r="BL30" s="41">
        <f t="shared" si="36"/>
        <v>9.17995999999999</v>
      </c>
      <c r="BM30" s="41">
        <f t="shared" si="21"/>
        <v>8.930070898881697</v>
      </c>
      <c r="BN30" s="41">
        <f t="shared" si="22"/>
        <v>9.055015449440843</v>
      </c>
      <c r="BO30" s="41">
        <f t="shared" si="23"/>
        <v>9.929627303354867</v>
      </c>
      <c r="BP30" s="41">
        <f t="shared" si="24"/>
        <v>9.679738202236575</v>
      </c>
      <c r="BQ30" s="41"/>
      <c r="BR30" s="41"/>
      <c r="BS30" s="41"/>
      <c r="BU30" s="41">
        <f t="shared" si="37"/>
        <v>3.2313769551196136</v>
      </c>
      <c r="BV30" s="41">
        <f t="shared" si="37"/>
        <v>2.9132473822894864</v>
      </c>
      <c r="BW30" s="41">
        <f t="shared" si="37"/>
        <v>2.948595112603945</v>
      </c>
      <c r="BX30" s="41">
        <f t="shared" si="37"/>
        <v>2.84255192166057</v>
      </c>
      <c r="BY30" s="41">
        <f t="shared" si="37"/>
        <v>3.1253337641762378</v>
      </c>
      <c r="BZ30" s="41">
        <f t="shared" si="37"/>
        <v>3.372767876377447</v>
      </c>
      <c r="CA30" s="41">
        <f t="shared" si="37"/>
        <v>3.598993350389982</v>
      </c>
      <c r="CB30" s="41">
        <f t="shared" si="37"/>
        <v>3.630806307672995</v>
      </c>
      <c r="CC30" s="41">
        <f t="shared" si="37"/>
        <v>3.8428926895597457</v>
      </c>
      <c r="CD30" s="41">
        <f t="shared" si="37"/>
        <v>4.358969552150841</v>
      </c>
      <c r="CE30" s="41">
        <f t="shared" si="37"/>
        <v>5.024076751218833</v>
      </c>
      <c r="CF30" s="41">
        <f t="shared" si="37"/>
        <v>5.650957793679246</v>
      </c>
      <c r="CG30" s="41">
        <f t="shared" si="37"/>
        <v>5.908920331182529</v>
      </c>
      <c r="CH30" s="41">
        <f t="shared" si="37"/>
        <v>6.2145965277232875</v>
      </c>
      <c r="CI30" s="41">
        <f t="shared" si="37"/>
        <v>6.300975134125122</v>
      </c>
      <c r="CJ30" s="41">
        <f t="shared" si="37"/>
        <v>6.733125456773995</v>
      </c>
      <c r="CK30" s="41">
        <f t="shared" si="37"/>
        <v>7.175982808265648</v>
      </c>
      <c r="CL30" s="41">
        <f t="shared" si="38"/>
        <v>7.663547494374953</v>
      </c>
      <c r="CM30" s="41">
        <f t="shared" si="38"/>
        <v>8.204487109879398</v>
      </c>
      <c r="CN30" s="41">
        <f t="shared" si="38"/>
        <v>8.345770221225342</v>
      </c>
      <c r="CO30" s="41">
        <f t="shared" si="38"/>
        <v>8.738981867754871</v>
      </c>
      <c r="CP30" s="41">
        <f t="shared" si="38"/>
        <v>8.771234894358711</v>
      </c>
      <c r="CQ30" s="41">
        <f t="shared" si="38"/>
        <v>9.055015449440845</v>
      </c>
      <c r="CR30" s="41">
        <f t="shared" si="38"/>
        <v>9.304904550559135</v>
      </c>
      <c r="CS30" s="41">
        <f t="shared" si="38"/>
        <v>9.554793651677427</v>
      </c>
      <c r="CT30" s="41"/>
      <c r="CU30" s="41"/>
      <c r="CV30" s="41"/>
      <c r="CW30" s="8"/>
      <c r="CX30">
        <v>5</v>
      </c>
      <c r="CY30">
        <v>600</v>
      </c>
      <c r="DA30" s="41">
        <f t="shared" si="39"/>
        <v>-0.3181295728301272</v>
      </c>
      <c r="DB30" s="41">
        <f t="shared" si="39"/>
        <v>0.03534773031445848</v>
      </c>
      <c r="DC30" s="41">
        <f t="shared" si="39"/>
        <v>-0.106043190943375</v>
      </c>
      <c r="DD30" s="41">
        <f t="shared" si="39"/>
        <v>0.28278184251566785</v>
      </c>
      <c r="DE30" s="41">
        <f t="shared" si="39"/>
        <v>0.24743411220120937</v>
      </c>
      <c r="DF30" s="41">
        <f t="shared" si="39"/>
        <v>0.2262254740125349</v>
      </c>
      <c r="DG30" s="41">
        <f t="shared" si="39"/>
        <v>0.03181295728301281</v>
      </c>
      <c r="DH30" s="41">
        <f t="shared" si="39"/>
        <v>0.21208638188675089</v>
      </c>
      <c r="DI30" s="41">
        <f t="shared" si="39"/>
        <v>0.516076862591095</v>
      </c>
      <c r="DJ30" s="41">
        <f t="shared" si="39"/>
        <v>0.6651071990679922</v>
      </c>
      <c r="DK30" s="41">
        <f t="shared" si="39"/>
        <v>0.626881042460413</v>
      </c>
      <c r="DL30" s="41">
        <f t="shared" si="39"/>
        <v>0.2579625375032828</v>
      </c>
      <c r="DM30" s="41">
        <f t="shared" si="39"/>
        <v>0.30567619654075884</v>
      </c>
      <c r="DN30" s="41">
        <f t="shared" si="39"/>
        <v>0.08637860640183437</v>
      </c>
      <c r="DO30" s="41">
        <f t="shared" si="39"/>
        <v>0.432150322648873</v>
      </c>
      <c r="DP30" s="41">
        <f t="shared" si="39"/>
        <v>0.44285735149165273</v>
      </c>
      <c r="DQ30" s="41">
        <f t="shared" si="39"/>
        <v>0.48756468610930526</v>
      </c>
      <c r="DR30" s="41">
        <f t="shared" si="43"/>
        <v>0.5409396155044455</v>
      </c>
      <c r="DS30" s="41">
        <f t="shared" si="40"/>
        <v>0.14128311134594362</v>
      </c>
      <c r="DT30" s="41">
        <f t="shared" si="40"/>
        <v>0.39321164652952945</v>
      </c>
      <c r="DU30" s="41">
        <f t="shared" si="40"/>
        <v>0.032253026603839885</v>
      </c>
      <c r="DV30" s="41">
        <f t="shared" si="40"/>
        <v>0.2837805550821333</v>
      </c>
      <c r="DW30" s="41">
        <f t="shared" si="40"/>
        <v>0.2498891011182902</v>
      </c>
      <c r="DX30" s="41">
        <f t="shared" si="40"/>
        <v>0.249889101118292</v>
      </c>
      <c r="DY30" s="41"/>
      <c r="DZ30" s="41"/>
      <c r="EA30" s="41"/>
      <c r="EC30" s="109">
        <v>75.86817936</v>
      </c>
      <c r="ED30" s="108">
        <f t="shared" si="41"/>
        <v>41.04010377202071</v>
      </c>
      <c r="EE30" s="108"/>
      <c r="EF30" s="109">
        <v>76.06615125</v>
      </c>
      <c r="EG30" s="108">
        <f t="shared" si="27"/>
        <v>2.453363599917959</v>
      </c>
      <c r="EH30" s="108"/>
      <c r="EI30" s="109">
        <v>76.11963762</v>
      </c>
      <c r="EJ30" s="108">
        <f t="shared" si="42"/>
        <v>21.60127301645444</v>
      </c>
    </row>
    <row r="31" spans="1:140" ht="15.75">
      <c r="A31">
        <v>5</v>
      </c>
      <c r="B31">
        <v>1200</v>
      </c>
      <c r="C31" s="39">
        <v>178.00871229508684</v>
      </c>
      <c r="D31" s="40">
        <v>296.8509774</v>
      </c>
      <c r="E31" s="41">
        <f t="shared" si="28"/>
        <v>0.031764654398653516</v>
      </c>
      <c r="F31" s="42">
        <f t="shared" si="29"/>
        <v>0.036389052215350416</v>
      </c>
      <c r="G31" s="46">
        <f t="shared" si="30"/>
        <v>0.032227094180323206</v>
      </c>
      <c r="H31" s="46">
        <f t="shared" si="31"/>
        <v>107.4714825081308</v>
      </c>
      <c r="I31" s="46">
        <f t="shared" si="31"/>
        <v>86.31031357204391</v>
      </c>
      <c r="J31" s="46">
        <f t="shared" si="31"/>
        <v>100.41775952943517</v>
      </c>
      <c r="K31" s="46">
        <f t="shared" si="31"/>
        <v>96.89089804008736</v>
      </c>
      <c r="L31" s="46">
        <f t="shared" si="31"/>
        <v>114.52520548682642</v>
      </c>
      <c r="M31" s="46">
        <f t="shared" si="31"/>
        <v>125.10578995486988</v>
      </c>
      <c r="N31" s="46">
        <f t="shared" si="31"/>
        <v>119.46281157191336</v>
      </c>
      <c r="O31" s="46">
        <f t="shared" si="31"/>
        <v>117.69938082723947</v>
      </c>
      <c r="P31" s="46">
        <f t="shared" si="31"/>
        <v>146.26695889095674</v>
      </c>
      <c r="Q31" s="46">
        <f t="shared" si="31"/>
        <v>170.95498931639145</v>
      </c>
      <c r="R31" s="50">
        <f t="shared" si="1"/>
        <v>178.00871229508684</v>
      </c>
      <c r="S31" s="46">
        <f t="shared" si="2"/>
        <v>178.00871229508707</v>
      </c>
      <c r="T31" s="46">
        <f t="shared" si="32"/>
        <v>202.06945870605517</v>
      </c>
      <c r="U31" s="46">
        <f t="shared" si="32"/>
        <v>190.45082899525804</v>
      </c>
      <c r="V31" s="46">
        <f t="shared" si="32"/>
        <v>207.8686136558176</v>
      </c>
      <c r="W31" s="46">
        <f t="shared" si="32"/>
        <v>210.7681911306988</v>
      </c>
      <c r="X31" s="46">
        <f t="shared" si="32"/>
        <v>232.5857048907163</v>
      </c>
      <c r="Y31" s="46">
        <f t="shared" si="32"/>
        <v>251.08173777552946</v>
      </c>
      <c r="Z31" s="46">
        <f t="shared" si="32"/>
        <v>258.3296991963327</v>
      </c>
      <c r="AA31" s="46">
        <f t="shared" si="32"/>
        <v>285.36846451238216</v>
      </c>
      <c r="AB31" s="46">
        <f t="shared" si="32"/>
        <v>265.15575721681284</v>
      </c>
      <c r="AC31" s="46">
        <f t="shared" si="32"/>
        <v>296.85097739999964</v>
      </c>
      <c r="AD31" s="47">
        <f t="shared" si="4"/>
        <v>296.8509774</v>
      </c>
      <c r="AE31" s="41"/>
      <c r="AF31" s="46">
        <f t="shared" si="33"/>
        <v>288.77035135058634</v>
      </c>
      <c r="AG31" s="46">
        <f t="shared" si="33"/>
        <v>292.81066437529296</v>
      </c>
      <c r="AH31" s="46">
        <f t="shared" si="33"/>
        <v>321.0928555482397</v>
      </c>
      <c r="AI31" s="46">
        <f t="shared" si="33"/>
        <v>313.0122294988264</v>
      </c>
      <c r="AM31" s="52"/>
      <c r="AN31" s="55">
        <v>55002</v>
      </c>
      <c r="AO31" s="55">
        <v>53286</v>
      </c>
      <c r="AP31" s="55"/>
      <c r="AQ31" s="20"/>
      <c r="AR31" s="41">
        <f t="shared" si="5"/>
        <v>1.9539559017514057</v>
      </c>
      <c r="AS31" s="41">
        <f t="shared" si="6"/>
        <v>1.5692213659874896</v>
      </c>
      <c r="AT31" s="41">
        <f t="shared" si="7"/>
        <v>1.825711056496767</v>
      </c>
      <c r="AU31" s="41">
        <f t="shared" si="8"/>
        <v>1.7615886338694478</v>
      </c>
      <c r="AV31" s="41">
        <f t="shared" si="9"/>
        <v>2.082200747006044</v>
      </c>
      <c r="AW31" s="41">
        <f t="shared" si="10"/>
        <v>2.274568014888002</v>
      </c>
      <c r="AX31" s="41">
        <f t="shared" si="11"/>
        <v>2.171972138684291</v>
      </c>
      <c r="AY31" s="41">
        <f t="shared" si="12"/>
        <v>2.1399109273706314</v>
      </c>
      <c r="AZ31" s="41">
        <f t="shared" si="13"/>
        <v>2.659302550651917</v>
      </c>
      <c r="BA31" s="41">
        <f t="shared" si="14"/>
        <v>3.1081595090431517</v>
      </c>
      <c r="BB31" s="41">
        <f t="shared" si="34"/>
        <v>3.3406281630275694</v>
      </c>
      <c r="BC31" s="41">
        <f t="shared" si="35"/>
        <v>3.792167899749562</v>
      </c>
      <c r="BD31" s="41">
        <f t="shared" si="35"/>
        <v>3.5741250796692947</v>
      </c>
      <c r="BE31" s="41">
        <f t="shared" si="35"/>
        <v>3.9009986423416585</v>
      </c>
      <c r="BF31" s="41">
        <f t="shared" si="15"/>
        <v>3.9554140136377054</v>
      </c>
      <c r="BG31" s="41">
        <f t="shared" si="16"/>
        <v>4.36485577620231</v>
      </c>
      <c r="BH31" s="41">
        <f t="shared" si="17"/>
        <v>4.711964451742099</v>
      </c>
      <c r="BI31" s="41">
        <f t="shared" si="18"/>
        <v>4.8479844461271755</v>
      </c>
      <c r="BJ31" s="41">
        <f t="shared" si="19"/>
        <v>5.355411637435389</v>
      </c>
      <c r="BK31" s="41">
        <f t="shared" si="20"/>
        <v>4.976086724783486</v>
      </c>
      <c r="BL31" s="41">
        <f t="shared" si="36"/>
        <v>5.570899999999993</v>
      </c>
      <c r="BM31" s="41">
        <f t="shared" si="21"/>
        <v>5.419253675460465</v>
      </c>
      <c r="BN31" s="41">
        <f t="shared" si="22"/>
        <v>5.495076837730228</v>
      </c>
      <c r="BO31" s="41">
        <f t="shared" si="23"/>
        <v>6.025838973618581</v>
      </c>
      <c r="BP31" s="41">
        <f t="shared" si="24"/>
        <v>5.874192649079053</v>
      </c>
      <c r="BQ31" s="41"/>
      <c r="BR31" s="41"/>
      <c r="BS31" s="41"/>
      <c r="BU31" s="41">
        <f t="shared" si="37"/>
        <v>1.9539559017514057</v>
      </c>
      <c r="BV31" s="41">
        <f t="shared" si="37"/>
        <v>1.7615886338694478</v>
      </c>
      <c r="BW31" s="41">
        <f t="shared" si="37"/>
        <v>1.782962774745221</v>
      </c>
      <c r="BX31" s="41">
        <f t="shared" si="37"/>
        <v>1.7188403521179012</v>
      </c>
      <c r="BY31" s="41">
        <f t="shared" si="37"/>
        <v>1.8898334791240863</v>
      </c>
      <c r="BZ31" s="41">
        <f t="shared" si="37"/>
        <v>2.039452465254498</v>
      </c>
      <c r="CA31" s="41">
        <f t="shared" si="37"/>
        <v>2.1762469668594453</v>
      </c>
      <c r="CB31" s="41">
        <f t="shared" si="37"/>
        <v>2.1954836936476414</v>
      </c>
      <c r="CC31" s="41">
        <f t="shared" si="37"/>
        <v>2.3237285389022797</v>
      </c>
      <c r="CD31" s="41">
        <f t="shared" si="37"/>
        <v>2.6357909956885663</v>
      </c>
      <c r="CE31" s="41">
        <f t="shared" si="37"/>
        <v>3.036030074240879</v>
      </c>
      <c r="CF31" s="41">
        <f t="shared" si="37"/>
        <v>3.4136518572734276</v>
      </c>
      <c r="CG31" s="41">
        <f t="shared" si="37"/>
        <v>3.5689737141488087</v>
      </c>
      <c r="CH31" s="41">
        <f t="shared" si="37"/>
        <v>3.7557638739201717</v>
      </c>
      <c r="CI31" s="41">
        <f>AVERAGE(BD31:BF31)</f>
        <v>3.81017924521622</v>
      </c>
      <c r="CJ31" s="41">
        <f t="shared" si="37"/>
        <v>4.073756144060558</v>
      </c>
      <c r="CK31" s="41">
        <f t="shared" si="37"/>
        <v>4.344078080527371</v>
      </c>
      <c r="CL31" s="41">
        <f t="shared" si="38"/>
        <v>4.641601558023861</v>
      </c>
      <c r="CM31" s="41">
        <f t="shared" si="38"/>
        <v>4.971786845101555</v>
      </c>
      <c r="CN31" s="41">
        <f t="shared" si="38"/>
        <v>5.0598276027820175</v>
      </c>
      <c r="CO31" s="41">
        <f t="shared" si="38"/>
        <v>5.300799454072956</v>
      </c>
      <c r="CP31" s="41">
        <f t="shared" si="38"/>
        <v>5.322080133414648</v>
      </c>
      <c r="CQ31" s="41">
        <f t="shared" si="38"/>
        <v>5.495076837730228</v>
      </c>
      <c r="CR31" s="41">
        <f t="shared" si="38"/>
        <v>5.646723162269758</v>
      </c>
      <c r="CS31" s="41">
        <f t="shared" si="38"/>
        <v>5.798369486809288</v>
      </c>
      <c r="CT31" s="41"/>
      <c r="CU31" s="41"/>
      <c r="CV31" s="41"/>
      <c r="CW31" s="8"/>
      <c r="CX31">
        <v>5</v>
      </c>
      <c r="CY31">
        <v>1200</v>
      </c>
      <c r="DA31" s="41">
        <f t="shared" si="39"/>
        <v>-0.1923672678819579</v>
      </c>
      <c r="DB31" s="41">
        <f t="shared" si="39"/>
        <v>0.021374140875773273</v>
      </c>
      <c r="DC31" s="41">
        <f t="shared" si="39"/>
        <v>-0.06412242262731982</v>
      </c>
      <c r="DD31" s="41">
        <f t="shared" si="39"/>
        <v>0.17099312700618507</v>
      </c>
      <c r="DE31" s="41">
        <f t="shared" si="39"/>
        <v>0.14961898613041158</v>
      </c>
      <c r="DF31" s="41">
        <f t="shared" si="39"/>
        <v>0.13679450160494744</v>
      </c>
      <c r="DG31" s="41">
        <f t="shared" si="39"/>
        <v>0.0192367267881961</v>
      </c>
      <c r="DH31" s="41">
        <f t="shared" si="39"/>
        <v>0.1282448452546383</v>
      </c>
      <c r="DI31" s="41">
        <f t="shared" si="39"/>
        <v>0.31206245678628663</v>
      </c>
      <c r="DJ31" s="41">
        <f t="shared" si="39"/>
        <v>0.40023907855231267</v>
      </c>
      <c r="DK31" s="41">
        <f t="shared" si="39"/>
        <v>0.37762178303254856</v>
      </c>
      <c r="DL31" s="41">
        <f t="shared" si="39"/>
        <v>0.15532185687538114</v>
      </c>
      <c r="DM31" s="41">
        <f t="shared" si="39"/>
        <v>0.18679015977136304</v>
      </c>
      <c r="DN31" s="41">
        <f t="shared" si="39"/>
        <v>0.05441537129604823</v>
      </c>
      <c r="DO31" s="41">
        <f t="shared" si="39"/>
        <v>0.26357689884433766</v>
      </c>
      <c r="DP31" s="41">
        <f t="shared" si="39"/>
        <v>0.27032193646681346</v>
      </c>
      <c r="DQ31" s="41">
        <f t="shared" si="39"/>
        <v>0.29752347749649033</v>
      </c>
      <c r="DR31" s="41">
        <f t="shared" si="43"/>
        <v>0.33018528707769335</v>
      </c>
      <c r="DS31" s="41">
        <f t="shared" si="40"/>
        <v>0.08804075768046271</v>
      </c>
      <c r="DT31" s="41">
        <f t="shared" si="40"/>
        <v>0.24097185129093823</v>
      </c>
      <c r="DU31" s="41">
        <f t="shared" si="40"/>
        <v>0.0212806793416922</v>
      </c>
      <c r="DV31" s="41">
        <f t="shared" si="40"/>
        <v>0.17299670431558045</v>
      </c>
      <c r="DW31" s="41">
        <f t="shared" si="40"/>
        <v>0.15164632453952986</v>
      </c>
      <c r="DX31" s="41">
        <f t="shared" si="40"/>
        <v>0.15164632453952986</v>
      </c>
      <c r="DY31" s="41"/>
      <c r="DZ31" s="41"/>
      <c r="EA31" s="41"/>
      <c r="EC31" s="109">
        <v>234.9486581</v>
      </c>
      <c r="ED31" s="108">
        <f t="shared" si="41"/>
        <v>77.57659012326732</v>
      </c>
      <c r="EE31" s="108"/>
      <c r="EF31" s="109">
        <v>236.6814225</v>
      </c>
      <c r="EG31" s="108">
        <f t="shared" si="27"/>
        <v>5.036741458358073</v>
      </c>
      <c r="EH31" s="108"/>
      <c r="EI31" s="109">
        <v>237.2433715</v>
      </c>
      <c r="EJ31" s="108">
        <f t="shared" si="42"/>
        <v>41.042321390216905</v>
      </c>
    </row>
    <row r="32" spans="1:140" ht="15.75">
      <c r="A32">
        <v>5</v>
      </c>
      <c r="B32">
        <v>1800</v>
      </c>
      <c r="C32" s="39">
        <v>313.59261202097326</v>
      </c>
      <c r="D32" s="40">
        <v>380.91709147999995</v>
      </c>
      <c r="E32" s="41">
        <f t="shared" si="28"/>
        <v>0.055958839398290446</v>
      </c>
      <c r="F32" s="42">
        <f t="shared" si="29"/>
        <v>0.046694176495526436</v>
      </c>
      <c r="G32" s="46">
        <f t="shared" si="30"/>
        <v>0.055032373108014045</v>
      </c>
      <c r="H32" s="46">
        <f t="shared" si="31"/>
        <v>189.32928890369422</v>
      </c>
      <c r="I32" s="46">
        <f t="shared" si="31"/>
        <v>152.05029196851035</v>
      </c>
      <c r="J32" s="46">
        <f t="shared" si="31"/>
        <v>176.90295659196624</v>
      </c>
      <c r="K32" s="46">
        <f t="shared" si="31"/>
        <v>170.68979043610227</v>
      </c>
      <c r="L32" s="46">
        <f t="shared" si="31"/>
        <v>201.75562121542214</v>
      </c>
      <c r="M32" s="46">
        <f t="shared" si="31"/>
        <v>220.3951196830141</v>
      </c>
      <c r="N32" s="46">
        <f t="shared" si="31"/>
        <v>210.45405383363172</v>
      </c>
      <c r="O32" s="46">
        <f t="shared" si="31"/>
        <v>207.34747075569973</v>
      </c>
      <c r="P32" s="46">
        <f t="shared" si="31"/>
        <v>257.67411661819796</v>
      </c>
      <c r="Q32" s="46">
        <f t="shared" si="31"/>
        <v>301.16627970924577</v>
      </c>
      <c r="R32" s="50">
        <f t="shared" si="1"/>
        <v>313.59261202097326</v>
      </c>
      <c r="S32" s="46">
        <f t="shared" si="2"/>
        <v>313.59261202097366</v>
      </c>
      <c r="T32" s="46">
        <f t="shared" si="32"/>
        <v>345.0625049538531</v>
      </c>
      <c r="U32" s="46">
        <f t="shared" si="32"/>
        <v>315.22366819175386</v>
      </c>
      <c r="V32" s="46">
        <f t="shared" si="32"/>
        <v>333.444296949244</v>
      </c>
      <c r="W32" s="46">
        <f t="shared" si="32"/>
        <v>327.6351929469395</v>
      </c>
      <c r="X32" s="46">
        <f t="shared" si="32"/>
        <v>350.3202576500137</v>
      </c>
      <c r="Y32" s="46">
        <f t="shared" si="32"/>
        <v>366.38069026539324</v>
      </c>
      <c r="Z32" s="46">
        <f t="shared" si="32"/>
        <v>365.13888869163037</v>
      </c>
      <c r="AA32" s="46">
        <f t="shared" si="32"/>
        <v>390.64252561296587</v>
      </c>
      <c r="AB32" s="46">
        <f t="shared" si="32"/>
        <v>351.46335102786827</v>
      </c>
      <c r="AC32" s="46">
        <f t="shared" si="32"/>
        <v>380.9170914799995</v>
      </c>
      <c r="AD32" s="47">
        <f t="shared" si="4"/>
        <v>380.91709147999995</v>
      </c>
      <c r="AE32" s="41"/>
      <c r="AF32" s="46">
        <f t="shared" si="33"/>
        <v>370.54808882742464</v>
      </c>
      <c r="AG32" s="46">
        <f t="shared" si="33"/>
        <v>375.73259015371207</v>
      </c>
      <c r="AH32" s="46">
        <f t="shared" si="33"/>
        <v>412.0240994377242</v>
      </c>
      <c r="AI32" s="46">
        <f t="shared" si="33"/>
        <v>401.6550967851494</v>
      </c>
      <c r="AM32" s="52"/>
      <c r="AN32" s="55">
        <v>62656</v>
      </c>
      <c r="AO32" s="55">
        <v>61016</v>
      </c>
      <c r="AP32" s="55"/>
      <c r="AQ32" s="20"/>
      <c r="AR32" s="41">
        <f t="shared" si="5"/>
        <v>3.021726393381228</v>
      </c>
      <c r="AS32" s="41">
        <f t="shared" si="6"/>
        <v>2.4267475097119244</v>
      </c>
      <c r="AT32" s="41">
        <f t="shared" si="7"/>
        <v>2.823400098824793</v>
      </c>
      <c r="AU32" s="41">
        <f t="shared" si="8"/>
        <v>2.724236951546576</v>
      </c>
      <c r="AV32" s="41">
        <f t="shared" si="9"/>
        <v>3.220052687937662</v>
      </c>
      <c r="AW32" s="41">
        <f t="shared" si="10"/>
        <v>3.517542129772314</v>
      </c>
      <c r="AX32" s="41">
        <f t="shared" si="11"/>
        <v>3.358881094127166</v>
      </c>
      <c r="AY32" s="41">
        <f t="shared" si="12"/>
        <v>3.3092995204880573</v>
      </c>
      <c r="AZ32" s="41">
        <f t="shared" si="13"/>
        <v>4.112521013441617</v>
      </c>
      <c r="BA32" s="41">
        <f t="shared" si="14"/>
        <v>4.806663044389137</v>
      </c>
      <c r="BB32" s="41">
        <f t="shared" si="34"/>
        <v>5.139514422790312</v>
      </c>
      <c r="BC32" s="41">
        <f t="shared" si="35"/>
        <v>5.655279024417416</v>
      </c>
      <c r="BD32" s="41">
        <f t="shared" si="35"/>
        <v>5.166246036969874</v>
      </c>
      <c r="BE32" s="41">
        <f t="shared" si="35"/>
        <v>5.464866542369936</v>
      </c>
      <c r="BF32" s="41">
        <f t="shared" si="15"/>
        <v>5.3696603013461965</v>
      </c>
      <c r="BG32" s="41">
        <f t="shared" si="16"/>
        <v>5.741449089583284</v>
      </c>
      <c r="BH32" s="41">
        <f t="shared" si="17"/>
        <v>6.004665829706851</v>
      </c>
      <c r="BI32" s="41">
        <f t="shared" si="18"/>
        <v>5.984313765104733</v>
      </c>
      <c r="BJ32" s="41">
        <f t="shared" si="19"/>
        <v>6.402296538825322</v>
      </c>
      <c r="BK32" s="41">
        <f t="shared" si="20"/>
        <v>5.760183411365351</v>
      </c>
      <c r="BL32" s="41">
        <f t="shared" si="36"/>
        <v>6.242904999999992</v>
      </c>
      <c r="BM32" s="41">
        <f t="shared" si="21"/>
        <v>6.072965924141613</v>
      </c>
      <c r="BN32" s="41">
        <f t="shared" si="22"/>
        <v>6.157935462070802</v>
      </c>
      <c r="BO32" s="41">
        <f t="shared" si="23"/>
        <v>6.7527222275751315</v>
      </c>
      <c r="BP32" s="41">
        <f t="shared" si="24"/>
        <v>6.582783151716753</v>
      </c>
      <c r="BQ32" s="41"/>
      <c r="BR32" s="41"/>
      <c r="BS32" s="41"/>
      <c r="BU32" s="41">
        <f t="shared" si="37"/>
        <v>3.021726393381228</v>
      </c>
      <c r="BV32" s="41">
        <f t="shared" si="37"/>
        <v>2.724236951546576</v>
      </c>
      <c r="BW32" s="41">
        <f t="shared" si="37"/>
        <v>2.7572913339726486</v>
      </c>
      <c r="BX32" s="41">
        <f t="shared" si="37"/>
        <v>2.6581281866944315</v>
      </c>
      <c r="BY32" s="41">
        <f t="shared" si="37"/>
        <v>2.92256324610301</v>
      </c>
      <c r="BZ32" s="41">
        <f t="shared" si="37"/>
        <v>3.1539439230855173</v>
      </c>
      <c r="CA32" s="41">
        <f t="shared" si="37"/>
        <v>3.3654919706123807</v>
      </c>
      <c r="CB32" s="41">
        <f t="shared" si="37"/>
        <v>3.3952409147958456</v>
      </c>
      <c r="CC32" s="41">
        <f t="shared" si="37"/>
        <v>3.5935672093522797</v>
      </c>
      <c r="CD32" s="41">
        <f t="shared" si="37"/>
        <v>4.076161192772937</v>
      </c>
      <c r="CE32" s="41">
        <f t="shared" si="37"/>
        <v>4.686232826873689</v>
      </c>
      <c r="CF32" s="41">
        <f t="shared" si="37"/>
        <v>5.200485497198955</v>
      </c>
      <c r="CG32" s="41">
        <f t="shared" si="37"/>
        <v>5.320346494725867</v>
      </c>
      <c r="CH32" s="41">
        <f t="shared" si="37"/>
        <v>5.428797201252409</v>
      </c>
      <c r="CI32" s="41">
        <f t="shared" si="37"/>
        <v>5.333590960228669</v>
      </c>
      <c r="CJ32" s="41">
        <f t="shared" si="37"/>
        <v>5.525325311099806</v>
      </c>
      <c r="CK32" s="41">
        <f t="shared" si="37"/>
        <v>5.7052584068787775</v>
      </c>
      <c r="CL32" s="41">
        <f t="shared" si="38"/>
        <v>5.91014289479829</v>
      </c>
      <c r="CM32" s="41">
        <f t="shared" si="38"/>
        <v>6.130425377878969</v>
      </c>
      <c r="CN32" s="41">
        <f t="shared" si="38"/>
        <v>6.048931238431802</v>
      </c>
      <c r="CO32" s="41">
        <f t="shared" si="38"/>
        <v>6.1351283167302215</v>
      </c>
      <c r="CP32" s="41">
        <f t="shared" si="38"/>
        <v>6.025351445168986</v>
      </c>
      <c r="CQ32" s="41">
        <f t="shared" si="38"/>
        <v>6.157935462070803</v>
      </c>
      <c r="CR32" s="41">
        <f t="shared" si="38"/>
        <v>6.3278745379291825</v>
      </c>
      <c r="CS32" s="41">
        <f t="shared" si="38"/>
        <v>6.497813613787563</v>
      </c>
      <c r="CT32" s="41"/>
      <c r="CU32" s="41"/>
      <c r="CV32" s="41"/>
      <c r="CW32" s="8"/>
      <c r="CX32">
        <v>5</v>
      </c>
      <c r="CY32">
        <v>1800</v>
      </c>
      <c r="DA32" s="41">
        <f t="shared" si="39"/>
        <v>-0.2974894418346521</v>
      </c>
      <c r="DB32" s="41">
        <f t="shared" si="39"/>
        <v>0.033054382426072504</v>
      </c>
      <c r="DC32" s="41">
        <f t="shared" si="39"/>
        <v>-0.09916314727821707</v>
      </c>
      <c r="DD32" s="41">
        <f t="shared" si="39"/>
        <v>0.2644350594085787</v>
      </c>
      <c r="DE32" s="41">
        <f t="shared" si="39"/>
        <v>0.23138067698250708</v>
      </c>
      <c r="DF32" s="41">
        <f t="shared" si="39"/>
        <v>0.2115480475268634</v>
      </c>
      <c r="DG32" s="41">
        <f t="shared" si="39"/>
        <v>0.029748944183464854</v>
      </c>
      <c r="DH32" s="41">
        <f t="shared" si="39"/>
        <v>0.19832629455643414</v>
      </c>
      <c r="DI32" s="41">
        <f t="shared" si="39"/>
        <v>0.4825939834206574</v>
      </c>
      <c r="DJ32" s="41">
        <f t="shared" si="39"/>
        <v>0.6100716341007519</v>
      </c>
      <c r="DK32" s="41">
        <f t="shared" si="39"/>
        <v>0.5142526703252663</v>
      </c>
      <c r="DL32" s="41">
        <f t="shared" si="39"/>
        <v>0.11986099752691182</v>
      </c>
      <c r="DM32" s="41">
        <f t="shared" si="39"/>
        <v>0.10845070652654165</v>
      </c>
      <c r="DN32" s="41">
        <f t="shared" si="39"/>
        <v>-0.09520624102373976</v>
      </c>
      <c r="DO32" s="41">
        <f t="shared" si="39"/>
        <v>0.19173435087113688</v>
      </c>
      <c r="DP32" s="41">
        <f t="shared" si="39"/>
        <v>0.17993309577897154</v>
      </c>
      <c r="DQ32" s="41">
        <f t="shared" si="39"/>
        <v>0.20488448791951264</v>
      </c>
      <c r="DR32" s="41">
        <f t="shared" si="43"/>
        <v>0.22028248308067866</v>
      </c>
      <c r="DS32" s="41">
        <f t="shared" si="40"/>
        <v>-0.08149413944716688</v>
      </c>
      <c r="DT32" s="41">
        <f t="shared" si="40"/>
        <v>0.0861970782984196</v>
      </c>
      <c r="DU32" s="41">
        <f t="shared" si="40"/>
        <v>-0.10977687156123572</v>
      </c>
      <c r="DV32" s="41">
        <f t="shared" si="40"/>
        <v>0.13258401690181731</v>
      </c>
      <c r="DW32" s="41">
        <f t="shared" si="40"/>
        <v>0.16993907585837942</v>
      </c>
      <c r="DX32" s="41">
        <f t="shared" si="40"/>
        <v>0.1699390758583803</v>
      </c>
      <c r="DY32" s="41"/>
      <c r="DZ32" s="41"/>
      <c r="EA32" s="41"/>
      <c r="EC32" s="109">
        <v>51.448</v>
      </c>
      <c r="ED32" s="108">
        <f t="shared" si="41"/>
        <v>11.333093189534756</v>
      </c>
      <c r="EE32" s="108"/>
      <c r="EF32" s="109">
        <v>51.448</v>
      </c>
      <c r="EG32" s="108">
        <f t="shared" si="27"/>
        <v>-5.6478004880824555</v>
      </c>
      <c r="EH32" s="108"/>
      <c r="EI32" s="109">
        <v>51.448</v>
      </c>
      <c r="EJ32" s="108">
        <f t="shared" si="42"/>
        <v>6.821182501564698</v>
      </c>
    </row>
    <row r="33" spans="3:140" ht="15.75">
      <c r="C33" s="41"/>
      <c r="D33" s="41"/>
      <c r="E33" s="42"/>
      <c r="F33" s="42"/>
      <c r="H33" s="46">
        <f>SUM(H18:H32)</f>
        <v>3383.366970071189</v>
      </c>
      <c r="I33" s="46">
        <f aca="true" t="shared" si="44" ref="I33:AC33">SUM(I18:I32)</f>
        <v>2717.180942340193</v>
      </c>
      <c r="J33" s="46">
        <f t="shared" si="44"/>
        <v>3161.304960827523</v>
      </c>
      <c r="K33" s="46">
        <f t="shared" si="44"/>
        <v>3050.2739562056904</v>
      </c>
      <c r="L33" s="46">
        <f t="shared" si="44"/>
        <v>3605.4289793148537</v>
      </c>
      <c r="M33" s="46">
        <f t="shared" si="44"/>
        <v>3938.5219931803517</v>
      </c>
      <c r="N33" s="46">
        <f t="shared" si="44"/>
        <v>3760.872385785419</v>
      </c>
      <c r="O33" s="46">
        <f t="shared" si="44"/>
        <v>3705.3568834745033</v>
      </c>
      <c r="P33" s="46">
        <f t="shared" si="44"/>
        <v>4604.7080209113465</v>
      </c>
      <c r="Q33" s="46">
        <f t="shared" si="44"/>
        <v>5381.9250532641745</v>
      </c>
      <c r="R33" s="41"/>
      <c r="S33" s="46">
        <f t="shared" si="44"/>
        <v>5603.987062507839</v>
      </c>
      <c r="T33" s="46">
        <f>SUM(T18:T32)</f>
        <v>6270.173090238836</v>
      </c>
      <c r="U33" s="46">
        <f>SUM(U18:U32)</f>
        <v>5826.049071751506</v>
      </c>
      <c r="V33" s="46">
        <f t="shared" si="44"/>
        <v>6270.173090238835</v>
      </c>
      <c r="W33" s="46">
        <f t="shared" si="44"/>
        <v>6270.173090238835</v>
      </c>
      <c r="X33" s="46">
        <f t="shared" si="44"/>
        <v>6825.3281133479995</v>
      </c>
      <c r="Y33" s="46">
        <f t="shared" si="44"/>
        <v>7269.452131835329</v>
      </c>
      <c r="Z33" s="46">
        <f t="shared" si="44"/>
        <v>7380.483136457163</v>
      </c>
      <c r="AA33" s="46">
        <f t="shared" si="44"/>
        <v>8046.669164188157</v>
      </c>
      <c r="AB33" s="46">
        <f t="shared" si="44"/>
        <v>7380.483136457163</v>
      </c>
      <c r="AC33" s="46">
        <f t="shared" si="44"/>
        <v>8157.70016880999</v>
      </c>
      <c r="AE33" s="41"/>
      <c r="AF33" s="46">
        <f>SUM(AF18:AF32)</f>
        <v>7935.638159566326</v>
      </c>
      <c r="AG33" s="46">
        <f>SUM(AG18:AG32)</f>
        <v>8046.669164188158</v>
      </c>
      <c r="AH33" s="46">
        <f>SUM(AH18:AH32)</f>
        <v>8823.886196540985</v>
      </c>
      <c r="AI33" s="46">
        <f>SUM(AI18:AI32)</f>
        <v>8601.824187297321</v>
      </c>
      <c r="AM33" s="53"/>
      <c r="AN33" s="37"/>
      <c r="AO33" s="37"/>
      <c r="AQ33" s="20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8"/>
      <c r="CX33" s="8"/>
      <c r="CY33" s="8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C33" s="110"/>
      <c r="ED33" s="108"/>
      <c r="EE33" s="108"/>
      <c r="EF33" s="108"/>
      <c r="EG33" s="108"/>
      <c r="EH33" s="108"/>
      <c r="EI33" s="108"/>
      <c r="EJ33" s="108"/>
    </row>
    <row r="34" spans="1:140" ht="15.75">
      <c r="A34" s="35"/>
      <c r="C34" s="41">
        <f>SUM(C18:C32)</f>
        <v>5603.987062507833</v>
      </c>
      <c r="D34" s="41">
        <f>SUM(D18:D32)</f>
        <v>8157.70016881</v>
      </c>
      <c r="E34" s="42">
        <f>SUM(E18:E32)</f>
        <v>1</v>
      </c>
      <c r="F34" s="42">
        <f>SUM(F18:F32)</f>
        <v>0.9999999999999999</v>
      </c>
      <c r="G34" s="41">
        <f>SUM(G18:G32)</f>
        <v>0.9999999999999999</v>
      </c>
      <c r="H34" s="48">
        <f>LinInterp!C9</f>
        <v>3383.366970071189</v>
      </c>
      <c r="I34" s="48">
        <f>LinInterp!C10</f>
        <v>2717.180942340193</v>
      </c>
      <c r="J34" s="48">
        <f>LinInterp!C11</f>
        <v>3161.3049608275232</v>
      </c>
      <c r="K34" s="48">
        <f>LinInterp!C12</f>
        <v>3050.273956205691</v>
      </c>
      <c r="L34" s="48">
        <f>LinInterp!C13</f>
        <v>3605.4289793148537</v>
      </c>
      <c r="M34" s="48">
        <f>LinInterp!C14</f>
        <v>3938.5219931803517</v>
      </c>
      <c r="N34" s="48">
        <f>LinInterp!C15</f>
        <v>3760.8723857854193</v>
      </c>
      <c r="O34" s="48">
        <f>LinInterp!C16</f>
        <v>3705.3568834745033</v>
      </c>
      <c r="P34" s="48">
        <f>LinInterp!C17</f>
        <v>4604.708020911347</v>
      </c>
      <c r="Q34" s="48">
        <f>LinInterp!C18</f>
        <v>5381.925053264175</v>
      </c>
      <c r="R34" s="51">
        <f>SUM(R18:R33)</f>
        <v>5603.987062507833</v>
      </c>
      <c r="S34" s="48">
        <f>LinInterp!C19</f>
        <v>5603.98706250784</v>
      </c>
      <c r="T34" s="48">
        <f>LinInterp!C20</f>
        <v>6270.173090238836</v>
      </c>
      <c r="U34" s="48">
        <f>LinInterp!C21</f>
        <v>5826.049071751506</v>
      </c>
      <c r="V34" s="48">
        <f>LinInterp!C22</f>
        <v>6270.173090238836</v>
      </c>
      <c r="W34" s="48">
        <f>LinInterp!C23</f>
        <v>6270.173090238836</v>
      </c>
      <c r="X34" s="48">
        <f>LinInterp!C24</f>
        <v>6825.3281133479995</v>
      </c>
      <c r="Y34" s="48">
        <f>LinInterp!C25</f>
        <v>7269.45213183533</v>
      </c>
      <c r="Z34" s="48">
        <f>LinInterp!C26</f>
        <v>7380.483136457163</v>
      </c>
      <c r="AA34" s="48">
        <f>LinInterp!C27</f>
        <v>8046.669164188158</v>
      </c>
      <c r="AB34" s="48">
        <f>LinInterp!C28</f>
        <v>7380.483136457163</v>
      </c>
      <c r="AC34" s="48">
        <f>LinInterp!C29</f>
        <v>8157.700168809991</v>
      </c>
      <c r="AD34" s="43">
        <f>SUM(AD18:AD32)</f>
        <v>8157.70016881</v>
      </c>
      <c r="AF34" s="48">
        <f>LinInterp!C30</f>
        <v>7935.638159566326</v>
      </c>
      <c r="AG34" s="48">
        <f>LinInterp!C31</f>
        <v>8046.669164188158</v>
      </c>
      <c r="AH34" s="48">
        <f>LinInterp!C32</f>
        <v>8823.886196540985</v>
      </c>
      <c r="AI34" s="48">
        <f>LinInterp!C33</f>
        <v>8601.824187297321</v>
      </c>
      <c r="AJ34" s="48"/>
      <c r="AK34" s="48"/>
      <c r="AL34" s="48"/>
      <c r="AM34" s="52"/>
      <c r="AN34" s="55">
        <v>1141336</v>
      </c>
      <c r="AO34" s="55">
        <f>SUM(AO18:AO32)</f>
        <v>1110886</v>
      </c>
      <c r="AP34" s="55"/>
      <c r="AR34" s="41">
        <f aca="true" t="shared" si="45" ref="AR34:BA34">H34/$AN34*1000</f>
        <v>2.964391704170541</v>
      </c>
      <c r="AS34" s="41">
        <f t="shared" si="45"/>
        <v>2.3807020389615263</v>
      </c>
      <c r="AT34" s="41">
        <f t="shared" si="45"/>
        <v>2.7698284824342028</v>
      </c>
      <c r="AU34" s="41">
        <f t="shared" si="45"/>
        <v>2.6725468715660337</v>
      </c>
      <c r="AV34" s="41">
        <f t="shared" si="45"/>
        <v>3.158954925906879</v>
      </c>
      <c r="AW34" s="41">
        <f t="shared" si="45"/>
        <v>3.4507997585113865</v>
      </c>
      <c r="AX34" s="41">
        <f t="shared" si="45"/>
        <v>3.2951491811223157</v>
      </c>
      <c r="AY34" s="41">
        <f t="shared" si="45"/>
        <v>3.246508375688231</v>
      </c>
      <c r="AZ34" s="41">
        <f t="shared" si="45"/>
        <v>4.034489423720401</v>
      </c>
      <c r="BA34" s="41">
        <f t="shared" si="45"/>
        <v>4.715460699797584</v>
      </c>
      <c r="BB34" s="43">
        <v>5.01738733312178</v>
      </c>
      <c r="BC34" s="41">
        <f aca="true" t="shared" si="46" ref="BC34:BL34">T34/$AO34*1000</f>
        <v>5.644299316256427</v>
      </c>
      <c r="BD34" s="41">
        <f t="shared" si="46"/>
        <v>5.244506701634106</v>
      </c>
      <c r="BE34" s="41">
        <f t="shared" si="46"/>
        <v>5.644299316256427</v>
      </c>
      <c r="BF34" s="41">
        <f t="shared" si="46"/>
        <v>5.644299316256427</v>
      </c>
      <c r="BG34" s="41">
        <f t="shared" si="46"/>
        <v>6.144040084534327</v>
      </c>
      <c r="BH34" s="41">
        <f t="shared" si="46"/>
        <v>6.5438326991566464</v>
      </c>
      <c r="BI34" s="41">
        <f t="shared" si="46"/>
        <v>6.643780852812227</v>
      </c>
      <c r="BJ34" s="41">
        <f t="shared" si="46"/>
        <v>7.243469774745706</v>
      </c>
      <c r="BK34" s="41">
        <f t="shared" si="46"/>
        <v>6.643780852812227</v>
      </c>
      <c r="BL34" s="41">
        <f t="shared" si="46"/>
        <v>7.343417928401286</v>
      </c>
      <c r="BM34" s="41">
        <f>AF34/$AO34*1000</f>
        <v>7.143521621090127</v>
      </c>
      <c r="BN34" s="41">
        <f>AG34/$AO34*1000</f>
        <v>7.243469774745706</v>
      </c>
      <c r="BO34" s="41">
        <f>AH34/$AO34*1000</f>
        <v>7.943106850334765</v>
      </c>
      <c r="BP34" s="41">
        <f>AI34/$AO34*1000</f>
        <v>7.743210543023606</v>
      </c>
      <c r="BQ34" s="41"/>
      <c r="BR34" s="41"/>
      <c r="BS34" s="41"/>
      <c r="BU34" s="41">
        <f>AVERAGE(AP34:AR34)</f>
        <v>2.964391704170541</v>
      </c>
      <c r="BV34" s="41">
        <f t="shared" si="37"/>
        <v>2.6725468715660337</v>
      </c>
      <c r="BW34" s="41">
        <f>AVERAGE(AR34:AT34)</f>
        <v>2.7049740751887565</v>
      </c>
      <c r="BX34" s="41">
        <f t="shared" si="37"/>
        <v>2.6076924643205874</v>
      </c>
      <c r="BY34" s="41">
        <f t="shared" si="37"/>
        <v>2.867110093302372</v>
      </c>
      <c r="BZ34" s="41">
        <f t="shared" si="37"/>
        <v>3.094100518661433</v>
      </c>
      <c r="CA34" s="41">
        <f t="shared" si="37"/>
        <v>3.3016346218468606</v>
      </c>
      <c r="CB34" s="41">
        <f t="shared" si="37"/>
        <v>3.3308191051073113</v>
      </c>
      <c r="CC34" s="41">
        <f t="shared" si="37"/>
        <v>3.525382326843649</v>
      </c>
      <c r="CD34" s="41">
        <f t="shared" si="37"/>
        <v>3.9988194997354056</v>
      </c>
      <c r="CE34" s="41">
        <f t="shared" si="37"/>
        <v>4.589112485546588</v>
      </c>
      <c r="CF34" s="41">
        <f t="shared" si="37"/>
        <v>5.125715783058596</v>
      </c>
      <c r="CG34" s="41">
        <f t="shared" si="37"/>
        <v>5.302064450337437</v>
      </c>
      <c r="CH34" s="41">
        <f>AVERAGE(BC34:BE34)</f>
        <v>5.51103511138232</v>
      </c>
      <c r="CI34" s="41">
        <f>AVERAGE(BD34:BF34)</f>
        <v>5.51103511138232</v>
      </c>
      <c r="CJ34" s="41">
        <f t="shared" si="37"/>
        <v>5.81087957234906</v>
      </c>
      <c r="CK34" s="41">
        <f t="shared" si="37"/>
        <v>6.1107240333158</v>
      </c>
      <c r="CL34" s="41">
        <f t="shared" si="38"/>
        <v>6.443884545501067</v>
      </c>
      <c r="CM34" s="41">
        <f t="shared" si="38"/>
        <v>6.81036110890486</v>
      </c>
      <c r="CN34" s="41">
        <f>AVERAGE(BI34:BK34)</f>
        <v>6.843677160123387</v>
      </c>
      <c r="CO34" s="41">
        <f t="shared" si="38"/>
        <v>7.076889518653073</v>
      </c>
      <c r="CP34" s="41">
        <f t="shared" si="38"/>
        <v>7.043573467434546</v>
      </c>
      <c r="CQ34" s="41">
        <f t="shared" si="38"/>
        <v>7.243469774745706</v>
      </c>
      <c r="CR34" s="41">
        <f>AVERAGE(BM34:BO34)</f>
        <v>7.4433660820568655</v>
      </c>
      <c r="CS34" s="41">
        <f>AVERAGE(BN34:BP34)</f>
        <v>7.643262389368026</v>
      </c>
      <c r="CT34" s="41"/>
      <c r="CU34" s="41"/>
      <c r="CV34" s="41"/>
      <c r="CZ34" s="41"/>
      <c r="DA34" s="41">
        <f>BV34-BU34</f>
        <v>-0.29184483260450733</v>
      </c>
      <c r="DB34" s="41">
        <f t="shared" si="39"/>
        <v>0.03242720362272289</v>
      </c>
      <c r="DC34" s="41">
        <f t="shared" si="39"/>
        <v>-0.09728161086816911</v>
      </c>
      <c r="DD34" s="41">
        <f t="shared" si="39"/>
        <v>0.25941762898178444</v>
      </c>
      <c r="DE34" s="41">
        <f t="shared" si="39"/>
        <v>0.2269904253590611</v>
      </c>
      <c r="DF34" s="41">
        <f t="shared" si="39"/>
        <v>0.20753410318542764</v>
      </c>
      <c r="DG34" s="41">
        <f t="shared" si="39"/>
        <v>0.029184483260450644</v>
      </c>
      <c r="DH34" s="41">
        <f t="shared" si="39"/>
        <v>0.19456322173633778</v>
      </c>
      <c r="DI34" s="41">
        <f t="shared" si="39"/>
        <v>0.4734371728917566</v>
      </c>
      <c r="DJ34" s="41">
        <f t="shared" si="39"/>
        <v>0.5902929858111823</v>
      </c>
      <c r="DK34" s="41">
        <f t="shared" si="39"/>
        <v>0.5366032975120083</v>
      </c>
      <c r="DL34" s="41">
        <f t="shared" si="39"/>
        <v>0.17634866727884102</v>
      </c>
      <c r="DM34" s="41">
        <f t="shared" si="39"/>
        <v>0.2089706610448827</v>
      </c>
      <c r="DN34" s="41">
        <f t="shared" si="39"/>
        <v>0</v>
      </c>
      <c r="DO34" s="41">
        <f t="shared" si="39"/>
        <v>0.29984446096673967</v>
      </c>
      <c r="DP34" s="41">
        <f t="shared" si="39"/>
        <v>0.29984446096674056</v>
      </c>
      <c r="DQ34" s="41">
        <f>CL34-CK34</f>
        <v>0.333160512185267</v>
      </c>
      <c r="DR34" s="41">
        <f t="shared" si="43"/>
        <v>0.36647656340379253</v>
      </c>
      <c r="DS34" s="41">
        <f t="shared" si="40"/>
        <v>0.03331605121852732</v>
      </c>
      <c r="DT34" s="41">
        <f t="shared" si="40"/>
        <v>0.23321235852968591</v>
      </c>
      <c r="DU34" s="41">
        <f>CP34-CO34</f>
        <v>-0.03331605121852732</v>
      </c>
      <c r="DV34" s="41">
        <f t="shared" si="40"/>
        <v>0.19989630731116037</v>
      </c>
      <c r="DW34" s="41">
        <f>CR34-CQ34</f>
        <v>0.19989630731115948</v>
      </c>
      <c r="DX34" s="41">
        <f>CS34-CR34</f>
        <v>0.19989630731116037</v>
      </c>
      <c r="DY34" s="41"/>
      <c r="DZ34" s="41"/>
      <c r="EA34" s="41"/>
      <c r="EC34" s="109"/>
      <c r="ED34" s="108">
        <f>SUM(ED18:ED33)</f>
        <v>379.1709392399736</v>
      </c>
      <c r="EE34" s="108"/>
      <c r="EF34" s="108"/>
      <c r="EG34" s="108">
        <f>SUM(EG18:EG33)</f>
        <v>-99.57506509114963</v>
      </c>
      <c r="EH34" s="108"/>
      <c r="EI34" s="108"/>
      <c r="EJ34" s="108">
        <f>SUM(EJ18:EJ33)</f>
        <v>216.66873453712296</v>
      </c>
    </row>
    <row r="35" spans="32:140" ht="12.75">
      <c r="AF35" s="41">
        <f>(AF34+AC34+AB34)/3</f>
        <v>7824.607154944493</v>
      </c>
      <c r="AG35" s="41">
        <f>AVERAGE(AD34:AG34)</f>
        <v>8046.669164188162</v>
      </c>
      <c r="AH35" s="41">
        <f>AVERAGE(AF34:AH34)</f>
        <v>8268.731173431823</v>
      </c>
      <c r="CN35" s="41"/>
      <c r="CO35" s="41"/>
      <c r="CP35" s="41"/>
      <c r="CQ35" s="41"/>
      <c r="CR35" s="41"/>
      <c r="CS35" s="41"/>
      <c r="EC35" s="8"/>
      <c r="ED35" s="8"/>
      <c r="EE35" s="8"/>
      <c r="EF35" s="8"/>
      <c r="EG35" s="8"/>
      <c r="EH35" s="8"/>
      <c r="EI35" s="8"/>
      <c r="EJ35" s="8"/>
    </row>
    <row r="36" ht="13.5" thickBot="1">
      <c r="AH36" s="41">
        <f>AH35-AG35</f>
        <v>222.06200924366112</v>
      </c>
    </row>
    <row r="37" spans="34:131" ht="18">
      <c r="AH37">
        <f>AH36/0.5/0.5/1.5</f>
        <v>592.1653579830963</v>
      </c>
      <c r="AI37" t="s">
        <v>134</v>
      </c>
      <c r="BB37" s="49">
        <v>95</v>
      </c>
      <c r="BL37" s="28" t="s">
        <v>33</v>
      </c>
      <c r="CX37" s="112" t="s">
        <v>106</v>
      </c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4"/>
      <c r="DY37" s="59"/>
      <c r="DZ37" s="59"/>
      <c r="EA37" s="59"/>
    </row>
    <row r="38" spans="54:128" ht="25.5">
      <c r="BB38" s="56" t="s">
        <v>35</v>
      </c>
      <c r="BL38" s="31"/>
      <c r="CQ38" s="62" t="s">
        <v>94</v>
      </c>
      <c r="CR38" s="3"/>
      <c r="CS38" s="3"/>
      <c r="CT38" s="3"/>
      <c r="CU38" s="3"/>
      <c r="CV38" s="3"/>
      <c r="CX38" s="115" t="s">
        <v>95</v>
      </c>
      <c r="CY38" s="53"/>
      <c r="CZ38" s="53" t="s">
        <v>49</v>
      </c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116"/>
    </row>
    <row r="39" spans="54:128" ht="60">
      <c r="BB39" s="49"/>
      <c r="CO39" s="99" t="s">
        <v>23</v>
      </c>
      <c r="CP39" s="99" t="s">
        <v>24</v>
      </c>
      <c r="CQ39" s="86" t="s">
        <v>59</v>
      </c>
      <c r="CR39" s="86" t="s">
        <v>60</v>
      </c>
      <c r="CS39" s="86" t="s">
        <v>61</v>
      </c>
      <c r="CT39" s="95"/>
      <c r="CU39" s="95"/>
      <c r="CV39" s="95"/>
      <c r="CX39" s="115" t="s">
        <v>103</v>
      </c>
      <c r="CY39" s="53" t="s">
        <v>104</v>
      </c>
      <c r="CZ39" s="53"/>
      <c r="DA39" s="53">
        <v>86</v>
      </c>
      <c r="DB39" s="53">
        <v>87</v>
      </c>
      <c r="DC39" s="53">
        <v>88</v>
      </c>
      <c r="DD39" s="53">
        <v>89</v>
      </c>
      <c r="DE39" s="53">
        <v>90</v>
      </c>
      <c r="DF39" s="53">
        <v>91</v>
      </c>
      <c r="DG39" s="53">
        <v>92</v>
      </c>
      <c r="DH39" s="53">
        <v>93</v>
      </c>
      <c r="DI39" s="53">
        <v>94</v>
      </c>
      <c r="DJ39" s="53">
        <v>95</v>
      </c>
      <c r="DK39" s="53">
        <v>96</v>
      </c>
      <c r="DL39" s="53">
        <v>97</v>
      </c>
      <c r="DM39" s="53">
        <v>98</v>
      </c>
      <c r="DN39" s="53">
        <v>99</v>
      </c>
      <c r="DO39" s="53">
        <v>2000</v>
      </c>
      <c r="DP39" s="53">
        <v>2001</v>
      </c>
      <c r="DQ39" s="53">
        <v>2002</v>
      </c>
      <c r="DR39" s="53">
        <v>2003</v>
      </c>
      <c r="DS39" s="53">
        <v>2004</v>
      </c>
      <c r="DT39" s="53">
        <v>2005</v>
      </c>
      <c r="DU39" s="53">
        <v>2006</v>
      </c>
      <c r="DV39" s="53">
        <v>2007</v>
      </c>
      <c r="DW39" s="53">
        <v>2008</v>
      </c>
      <c r="DX39" s="116">
        <v>2009</v>
      </c>
    </row>
    <row r="40" spans="54:128" ht="13.5">
      <c r="BB40" s="43">
        <v>4.825155462852006</v>
      </c>
      <c r="BL40" s="57">
        <v>5892.08</v>
      </c>
      <c r="CO40" s="6"/>
      <c r="CP40" s="6"/>
      <c r="CQ40" s="86" t="s">
        <v>62</v>
      </c>
      <c r="CR40" s="86" t="s">
        <v>62</v>
      </c>
      <c r="CS40" s="86" t="s">
        <v>62</v>
      </c>
      <c r="CT40" s="95"/>
      <c r="CU40" s="95"/>
      <c r="CV40" s="95"/>
      <c r="CX40" s="115">
        <v>1</v>
      </c>
      <c r="CY40" s="53">
        <v>600</v>
      </c>
      <c r="CZ40" s="53"/>
      <c r="DA40" s="119">
        <v>-0.2902653423412902</v>
      </c>
      <c r="DB40" s="119">
        <v>0.03225170470458805</v>
      </c>
      <c r="DC40" s="119">
        <v>-0.0967551141137637</v>
      </c>
      <c r="DD40" s="119">
        <v>0.2580136376367026</v>
      </c>
      <c r="DE40" s="119">
        <v>0.22576193293211455</v>
      </c>
      <c r="DF40" s="119">
        <v>0.20641091010936208</v>
      </c>
      <c r="DG40" s="119">
        <v>0.029026534234129375</v>
      </c>
      <c r="DH40" s="119">
        <v>0.1935102282275265</v>
      </c>
      <c r="DI40" s="119">
        <v>0.47087488868698246</v>
      </c>
      <c r="DJ40" s="119">
        <v>0.5320724933479175</v>
      </c>
      <c r="DK40" s="119">
        <v>0.43303444899866506</v>
      </c>
      <c r="DL40" s="119">
        <v>0.05491433737089846</v>
      </c>
      <c r="DM40" s="119">
        <v>0.1042017949690548</v>
      </c>
      <c r="DN40" s="119">
        <v>-0.08699845318327792</v>
      </c>
      <c r="DO40" s="119">
        <v>0.18285585061885978</v>
      </c>
      <c r="DP40" s="119">
        <v>0.17207198889299136</v>
      </c>
      <c r="DQ40" s="119">
        <v>0.19572242131771844</v>
      </c>
      <c r="DR40" s="119">
        <v>0.210643060916742</v>
      </c>
      <c r="DS40" s="119">
        <v>-0.07361836525937537</v>
      </c>
      <c r="DT40" s="119">
        <v>0.08471678049031084</v>
      </c>
      <c r="DU40" s="119">
        <v>-0.10116305576515039</v>
      </c>
      <c r="DV40" s="119">
        <v>0.12625455800501495</v>
      </c>
      <c r="DW40" s="119">
        <v>0.16038921464985378</v>
      </c>
      <c r="DX40" s="120">
        <v>0.16038921464985378</v>
      </c>
    </row>
    <row r="41" spans="54:128" ht="12.75">
      <c r="BB41" s="43">
        <v>4.873728217664195</v>
      </c>
      <c r="BL41" s="57">
        <v>5982.39</v>
      </c>
      <c r="CO41" s="6">
        <v>1</v>
      </c>
      <c r="CP41" s="6">
        <v>600</v>
      </c>
      <c r="CQ41" s="87">
        <f>CR18</f>
        <v>5.97227460732492</v>
      </c>
      <c r="CR41" s="86">
        <v>9.7</v>
      </c>
      <c r="CS41" s="87">
        <f>CQ41+CR41</f>
        <v>15.672274607324919</v>
      </c>
      <c r="CT41" s="96"/>
      <c r="CU41" s="96"/>
      <c r="CV41" s="96"/>
      <c r="CX41" s="115">
        <v>2</v>
      </c>
      <c r="CY41" s="53">
        <v>600</v>
      </c>
      <c r="CZ41" s="53"/>
      <c r="DA41" s="119">
        <v>-0.1014382203874401</v>
      </c>
      <c r="DB41" s="119">
        <v>0.011270913376382197</v>
      </c>
      <c r="DC41" s="119">
        <v>-0.03381274012914659</v>
      </c>
      <c r="DD41" s="119">
        <v>0.09016730701105768</v>
      </c>
      <c r="DE41" s="119">
        <v>0.0788963936346756</v>
      </c>
      <c r="DF41" s="119">
        <v>0.07213384560884628</v>
      </c>
      <c r="DG41" s="119">
        <v>0.010143822038743977</v>
      </c>
      <c r="DH41" s="119">
        <v>0.0676254802582934</v>
      </c>
      <c r="DI41" s="119">
        <v>0.16455533529518007</v>
      </c>
      <c r="DJ41" s="119">
        <v>0.1991803356365014</v>
      </c>
      <c r="DK41" s="119">
        <v>0.2387965331589197</v>
      </c>
      <c r="DL41" s="119">
        <v>0.1679675828221674</v>
      </c>
      <c r="DM41" s="119">
        <v>0.2559478546391545</v>
      </c>
      <c r="DN41" s="119">
        <v>0.18755588815206137</v>
      </c>
      <c r="DO41" s="119">
        <v>0.3266770726483421</v>
      </c>
      <c r="DP41" s="119">
        <v>0.3499254947719317</v>
      </c>
      <c r="DQ41" s="119">
        <v>0.37903723937584877</v>
      </c>
      <c r="DR41" s="119">
        <v>0.4269691352226719</v>
      </c>
      <c r="DS41" s="119">
        <v>0.23880898715939658</v>
      </c>
      <c r="DT41" s="119">
        <v>0.37805328773742986</v>
      </c>
      <c r="DU41" s="119">
        <v>0.13799408753061826</v>
      </c>
      <c r="DV41" s="119">
        <v>0.20840533628307867</v>
      </c>
      <c r="DW41" s="119">
        <v>0.13481602969735018</v>
      </c>
      <c r="DX41" s="120">
        <v>0.1348160296973493</v>
      </c>
    </row>
    <row r="42" spans="54:128" ht="12.75">
      <c r="BB42" s="43">
        <v>1.943455637405297</v>
      </c>
      <c r="BL42" s="57">
        <v>4117.115</v>
      </c>
      <c r="CO42" s="6">
        <v>1</v>
      </c>
      <c r="CP42" s="6">
        <v>1200</v>
      </c>
      <c r="CQ42" s="87">
        <f aca="true" t="shared" si="47" ref="CQ42:CQ55">CR19</f>
        <v>6.063813778515318</v>
      </c>
      <c r="CR42" s="86">
        <v>9.7</v>
      </c>
      <c r="CS42" s="87">
        <f aca="true" t="shared" si="48" ref="CS42:CS55">CQ42+CR42</f>
        <v>15.763813778515317</v>
      </c>
      <c r="CT42" s="96"/>
      <c r="CU42" s="96"/>
      <c r="CV42" s="96"/>
      <c r="CX42" s="115">
        <v>3</v>
      </c>
      <c r="CY42" s="53">
        <v>600</v>
      </c>
      <c r="CZ42" s="53"/>
      <c r="DA42" s="119">
        <v>-0.05180508232293324</v>
      </c>
      <c r="DB42" s="119">
        <v>0.005756120258103625</v>
      </c>
      <c r="DC42" s="119">
        <v>-0.017268360774311042</v>
      </c>
      <c r="DD42" s="119">
        <v>0.0460489620648295</v>
      </c>
      <c r="DE42" s="119">
        <v>0.040292841806725765</v>
      </c>
      <c r="DF42" s="119">
        <v>0.036839169651863735</v>
      </c>
      <c r="DG42" s="119">
        <v>0.005180508232293324</v>
      </c>
      <c r="DH42" s="119">
        <v>0.034536721548622196</v>
      </c>
      <c r="DI42" s="119">
        <v>0.08403935576831378</v>
      </c>
      <c r="DJ42" s="119">
        <v>0.10791960937056255</v>
      </c>
      <c r="DK42" s="119">
        <v>0.2374426797443968</v>
      </c>
      <c r="DL42" s="119">
        <v>0.29395491443342836</v>
      </c>
      <c r="DM42" s="119">
        <v>0.4571132131159308</v>
      </c>
      <c r="DN42" s="119">
        <v>0.4214483529771844</v>
      </c>
      <c r="DO42" s="119">
        <v>0.5570378226023798</v>
      </c>
      <c r="DP42" s="119">
        <v>0.609278300413246</v>
      </c>
      <c r="DQ42" s="119">
        <v>0.6550247125779833</v>
      </c>
      <c r="DR42" s="119">
        <v>0.7430610353515172</v>
      </c>
      <c r="DS42" s="119">
        <v>0.5169476011522702</v>
      </c>
      <c r="DT42" s="119">
        <v>0.7118215365241332</v>
      </c>
      <c r="DU42" s="119">
        <v>0.32974954490638275</v>
      </c>
      <c r="DV42" s="119">
        <v>0.35028257050069733</v>
      </c>
      <c r="DW42" s="119">
        <v>0.18492336816979282</v>
      </c>
      <c r="DX42" s="120">
        <v>0.18492336816979282</v>
      </c>
    </row>
    <row r="43" spans="34:128" ht="12.75">
      <c r="AH43" s="41"/>
      <c r="AI43" s="41"/>
      <c r="AJ43" s="41"/>
      <c r="BB43" s="43">
        <v>1.725948966590631</v>
      </c>
      <c r="BL43" s="57">
        <v>4952.62</v>
      </c>
      <c r="CO43" s="6">
        <v>1</v>
      </c>
      <c r="CP43" s="6">
        <v>1800</v>
      </c>
      <c r="CQ43" s="87">
        <f t="shared" si="47"/>
        <v>4.173151309883188</v>
      </c>
      <c r="CR43" s="86">
        <v>9.7</v>
      </c>
      <c r="CS43" s="87">
        <f t="shared" si="48"/>
        <v>13.873151309883188</v>
      </c>
      <c r="CT43" s="96"/>
      <c r="CU43" s="96"/>
      <c r="CV43" s="96"/>
      <c r="CX43" s="115">
        <v>4</v>
      </c>
      <c r="CY43" s="53">
        <v>600</v>
      </c>
      <c r="CZ43" s="53"/>
      <c r="DA43" s="119">
        <v>-0.18734710584229752</v>
      </c>
      <c r="DB43" s="119">
        <v>0.02081634509358854</v>
      </c>
      <c r="DC43" s="119">
        <v>-0.06244903528076606</v>
      </c>
      <c r="DD43" s="119">
        <v>0.16653076074870876</v>
      </c>
      <c r="DE43" s="119">
        <v>0.14571441565512044</v>
      </c>
      <c r="DF43" s="119">
        <v>0.1332246085989668</v>
      </c>
      <c r="DG43" s="119">
        <v>0.01873471058422993</v>
      </c>
      <c r="DH43" s="119">
        <v>0.12489807056153168</v>
      </c>
      <c r="DI43" s="119">
        <v>0.30391863836639343</v>
      </c>
      <c r="DJ43" s="119">
        <v>0.37971820086039587</v>
      </c>
      <c r="DK43" s="119">
        <v>0.3707886536127605</v>
      </c>
      <c r="DL43" s="119">
        <v>0.16735876750936152</v>
      </c>
      <c r="DM43" s="119">
        <v>0.22360366973285473</v>
      </c>
      <c r="DN43" s="119">
        <v>0.09588123258363446</v>
      </c>
      <c r="DO43" s="121">
        <v>0.30614119654875704</v>
      </c>
      <c r="DP43" s="121">
        <v>0.3180261199750305</v>
      </c>
      <c r="DQ43" s="121">
        <v>0.3483683725865889</v>
      </c>
      <c r="DR43" s="121">
        <v>0.3883317536860815</v>
      </c>
      <c r="DS43" s="121">
        <v>0.13754245988688307</v>
      </c>
      <c r="DT43" s="121">
        <v>0.3014856160495132</v>
      </c>
      <c r="DU43" s="121">
        <v>0.05508462102508105</v>
      </c>
      <c r="DV43" s="121">
        <v>0.19929925943135096</v>
      </c>
      <c r="DW43" s="121">
        <v>0.16167936122429438</v>
      </c>
      <c r="DX43" s="122">
        <v>0.16167936122429438</v>
      </c>
    </row>
    <row r="44" spans="54:128" ht="12.75">
      <c r="BB44" s="43">
        <v>2.4622830107274836</v>
      </c>
      <c r="BL44" s="57">
        <v>5823.465</v>
      </c>
      <c r="CO44" s="6">
        <v>2</v>
      </c>
      <c r="CP44" s="6">
        <v>600</v>
      </c>
      <c r="CQ44" s="87">
        <f t="shared" si="47"/>
        <v>5.020028014848669</v>
      </c>
      <c r="CR44" s="86">
        <v>9.5</v>
      </c>
      <c r="CS44" s="87">
        <f t="shared" si="48"/>
        <v>14.52002801484867</v>
      </c>
      <c r="CT44" s="96"/>
      <c r="CU44" s="96"/>
      <c r="CV44" s="96"/>
      <c r="CX44" s="115">
        <v>5</v>
      </c>
      <c r="CY44" s="53">
        <v>600</v>
      </c>
      <c r="CZ44" s="53"/>
      <c r="DA44" s="119">
        <v>-0.3181295728301272</v>
      </c>
      <c r="DB44" s="119">
        <v>0.03534773031445848</v>
      </c>
      <c r="DC44" s="119">
        <v>-0.106043190943375</v>
      </c>
      <c r="DD44" s="119">
        <v>0.28278184251566785</v>
      </c>
      <c r="DE44" s="119">
        <v>0.24743411220120937</v>
      </c>
      <c r="DF44" s="119">
        <v>0.2262254740125349</v>
      </c>
      <c r="DG44" s="119">
        <v>0.03181295728301281</v>
      </c>
      <c r="DH44" s="119">
        <v>0.21208638188675089</v>
      </c>
      <c r="DI44" s="119">
        <v>0.516076862591095</v>
      </c>
      <c r="DJ44" s="119">
        <v>0.6651071990679922</v>
      </c>
      <c r="DK44" s="119">
        <v>0.626881042460413</v>
      </c>
      <c r="DL44" s="119">
        <v>0.2579625375032828</v>
      </c>
      <c r="DM44" s="119">
        <v>0.30567619654075884</v>
      </c>
      <c r="DN44" s="119">
        <v>0.08637860640183437</v>
      </c>
      <c r="DO44" s="119">
        <v>0.432150322648873</v>
      </c>
      <c r="DP44" s="119">
        <v>0.44285735149165273</v>
      </c>
      <c r="DQ44" s="119">
        <v>0.48756468610930526</v>
      </c>
      <c r="DR44" s="119">
        <v>0.5409396155044455</v>
      </c>
      <c r="DS44" s="119">
        <v>0.14128311134594362</v>
      </c>
      <c r="DT44" s="119">
        <v>0.39321164652952945</v>
      </c>
      <c r="DU44" s="119">
        <v>0.032253026603839885</v>
      </c>
      <c r="DV44" s="119">
        <v>0.2837805550821333</v>
      </c>
      <c r="DW44" s="119">
        <v>0.2498891011182902</v>
      </c>
      <c r="DX44" s="120">
        <v>0.249889101118292</v>
      </c>
    </row>
    <row r="45" spans="54:128" ht="12.75">
      <c r="BB45" s="43">
        <v>19.528767434826445</v>
      </c>
      <c r="BL45" s="57">
        <v>10867.925</v>
      </c>
      <c r="CO45" s="6">
        <v>2</v>
      </c>
      <c r="CP45" s="6">
        <v>1200</v>
      </c>
      <c r="CQ45" s="87">
        <f t="shared" si="47"/>
        <v>5.902725717598101</v>
      </c>
      <c r="CR45" s="86">
        <v>9.5</v>
      </c>
      <c r="CS45" s="87">
        <f t="shared" si="48"/>
        <v>15.402725717598102</v>
      </c>
      <c r="CT45" s="96"/>
      <c r="CU45" s="96"/>
      <c r="CV45" s="96"/>
      <c r="CX45" s="115">
        <v>1</v>
      </c>
      <c r="CY45" s="53">
        <v>1200</v>
      </c>
      <c r="CZ45" s="53"/>
      <c r="DA45" s="119">
        <v>-0.29320190307680916</v>
      </c>
      <c r="DB45" s="119">
        <v>0.03257798923075672</v>
      </c>
      <c r="DC45" s="119">
        <v>-0.09773396769226972</v>
      </c>
      <c r="DD45" s="119">
        <v>0.26062391384605244</v>
      </c>
      <c r="DE45" s="119">
        <v>0.22804592461529571</v>
      </c>
      <c r="DF45" s="119">
        <v>0.20849913107684204</v>
      </c>
      <c r="DG45" s="119">
        <v>0.029320190307680516</v>
      </c>
      <c r="DH45" s="119">
        <v>0.19546793538453944</v>
      </c>
      <c r="DI45" s="119">
        <v>0.47563864276904555</v>
      </c>
      <c r="DJ45" s="119">
        <v>0.5373745556713541</v>
      </c>
      <c r="DK45" s="119">
        <v>0.43812057506755764</v>
      </c>
      <c r="DL45" s="119">
        <v>0.056864408100304686</v>
      </c>
      <c r="DM45" s="119">
        <v>0.1076332396526869</v>
      </c>
      <c r="DN45" s="119">
        <v>-0.0854917387689671</v>
      </c>
      <c r="DO45" s="119">
        <v>0.18754314709846032</v>
      </c>
      <c r="DP45" s="119">
        <v>0.1769460496116082</v>
      </c>
      <c r="DQ45" s="119">
        <v>0.20105956697761584</v>
      </c>
      <c r="DR45" s="119">
        <v>0.2165944816161698</v>
      </c>
      <c r="DS45" s="119">
        <v>-0.07147069519996307</v>
      </c>
      <c r="DT45" s="119">
        <v>0.0893583670712843</v>
      </c>
      <c r="DU45" s="119">
        <v>-0.100283710092957</v>
      </c>
      <c r="DV45" s="119">
        <v>0.1293040738758231</v>
      </c>
      <c r="DW45" s="119">
        <v>0.16284755703064846</v>
      </c>
      <c r="DX45" s="120">
        <v>0.16284755703064757</v>
      </c>
    </row>
    <row r="46" spans="54:128" ht="12.75">
      <c r="BB46" s="43">
        <v>0.9000432603686636</v>
      </c>
      <c r="BL46" s="57">
        <v>6793.37</v>
      </c>
      <c r="CO46" s="6">
        <v>2</v>
      </c>
      <c r="CP46" s="6">
        <v>1800</v>
      </c>
      <c r="CQ46" s="87">
        <f t="shared" si="47"/>
        <v>11.015843727819663</v>
      </c>
      <c r="CR46" s="86">
        <v>9.5</v>
      </c>
      <c r="CS46" s="87">
        <f t="shared" si="48"/>
        <v>20.515843727819664</v>
      </c>
      <c r="CT46" s="96"/>
      <c r="CU46" s="96"/>
      <c r="CV46" s="96"/>
      <c r="CX46" s="115">
        <v>2</v>
      </c>
      <c r="CY46" s="53">
        <v>1200</v>
      </c>
      <c r="CZ46" s="53"/>
      <c r="DA46" s="119">
        <v>-0.1422065774498007</v>
      </c>
      <c r="DB46" s="119">
        <v>0.015800730827755682</v>
      </c>
      <c r="DC46" s="119">
        <v>-0.04740219248326705</v>
      </c>
      <c r="DD46" s="119">
        <v>0.12640584662204501</v>
      </c>
      <c r="DE46" s="119">
        <v>0.11060511579428933</v>
      </c>
      <c r="DF46" s="119">
        <v>0.10112467729763619</v>
      </c>
      <c r="DG46" s="119">
        <v>0.014220657744980159</v>
      </c>
      <c r="DH46" s="119">
        <v>0.09480438496653343</v>
      </c>
      <c r="DI46" s="119">
        <v>0.23069067008523225</v>
      </c>
      <c r="DJ46" s="119">
        <v>0.29345471704836634</v>
      </c>
      <c r="DK46" s="119">
        <v>0.32040654864408946</v>
      </c>
      <c r="DL46" s="119">
        <v>0.19399607124771912</v>
      </c>
      <c r="DM46" s="119">
        <v>0.26967379101928834</v>
      </c>
      <c r="DN46" s="119">
        <v>0.17210405957811714</v>
      </c>
      <c r="DO46" s="119">
        <v>0.3519820938051472</v>
      </c>
      <c r="DP46" s="119">
        <v>0.37331519011941294</v>
      </c>
      <c r="DQ46" s="119">
        <v>0.40583059969428614</v>
      </c>
      <c r="DR46" s="119">
        <v>0.45561565866642173</v>
      </c>
      <c r="DS46" s="119">
        <v>0.22493670373800523</v>
      </c>
      <c r="DT46" s="119">
        <v>0.3875215858512222</v>
      </c>
      <c r="DU46" s="119">
        <v>0.12082337585539893</v>
      </c>
      <c r="DV46" s="119">
        <v>0.22604807234809243</v>
      </c>
      <c r="DW46" s="119">
        <v>0.15852143519621542</v>
      </c>
      <c r="DX46" s="120">
        <v>0.15852143519621453</v>
      </c>
    </row>
    <row r="47" spans="54:128" ht="12.75">
      <c r="BB47" s="43">
        <v>3.9895234275457847</v>
      </c>
      <c r="BL47" s="57">
        <v>8516.31</v>
      </c>
      <c r="CO47" s="6">
        <v>3</v>
      </c>
      <c r="CP47" s="6">
        <v>600</v>
      </c>
      <c r="CQ47" s="87">
        <f t="shared" si="47"/>
        <v>6.885831684084889</v>
      </c>
      <c r="CR47" s="86">
        <v>17.4</v>
      </c>
      <c r="CS47" s="87">
        <f t="shared" si="48"/>
        <v>24.285831684084886</v>
      </c>
      <c r="CT47" s="96"/>
      <c r="CU47" s="96"/>
      <c r="CV47" s="96"/>
      <c r="CX47" s="115">
        <v>3</v>
      </c>
      <c r="CY47" s="53">
        <v>1200</v>
      </c>
      <c r="CZ47" s="53"/>
      <c r="DA47" s="119">
        <v>-0.2316114764409738</v>
      </c>
      <c r="DB47" s="119">
        <v>0.025734608493441335</v>
      </c>
      <c r="DC47" s="119">
        <v>-0.0772038254803249</v>
      </c>
      <c r="DD47" s="119">
        <v>0.20587686794753202</v>
      </c>
      <c r="DE47" s="119">
        <v>0.18014225945409157</v>
      </c>
      <c r="DF47" s="119">
        <v>0.16470149435802606</v>
      </c>
      <c r="DG47" s="119">
        <v>0.023161147644096935</v>
      </c>
      <c r="DH47" s="119">
        <v>0.1544076509606498</v>
      </c>
      <c r="DI47" s="119">
        <v>0.37572528400424643</v>
      </c>
      <c r="DJ47" s="119">
        <v>0.4710187887999773</v>
      </c>
      <c r="DK47" s="119">
        <v>0.4900568968294605</v>
      </c>
      <c r="DL47" s="119">
        <v>0.26409205201186126</v>
      </c>
      <c r="DM47" s="119">
        <v>0.36628985241189493</v>
      </c>
      <c r="DN47" s="119">
        <v>0.20820212337830224</v>
      </c>
      <c r="DO47" s="119">
        <v>0.48588854635594636</v>
      </c>
      <c r="DP47" s="119">
        <v>0.5116961650823821</v>
      </c>
      <c r="DQ47" s="119">
        <v>0.5577070675224078</v>
      </c>
      <c r="DR47" s="119">
        <v>0.6246098517885956</v>
      </c>
      <c r="DS47" s="119">
        <v>0.2787917103196973</v>
      </c>
      <c r="DT47" s="119">
        <v>0.5155312297576629</v>
      </c>
      <c r="DU47" s="119">
        <v>0.13949001369810698</v>
      </c>
      <c r="DV47" s="119">
        <v>0.31351383258114573</v>
      </c>
      <c r="DW47" s="119">
        <v>0.23182378253769365</v>
      </c>
      <c r="DX47" s="120">
        <v>0.23182378253769542</v>
      </c>
    </row>
    <row r="48" spans="54:132" ht="12.75">
      <c r="BB48" s="43">
        <v>7.305574112578182</v>
      </c>
      <c r="BL48" s="57">
        <v>14133.225</v>
      </c>
      <c r="CO48" s="6">
        <v>3</v>
      </c>
      <c r="CP48" s="6">
        <v>1200</v>
      </c>
      <c r="CQ48" s="87">
        <f t="shared" si="47"/>
        <v>8.632221891268836</v>
      </c>
      <c r="CR48" s="86">
        <v>17.4</v>
      </c>
      <c r="CS48" s="87">
        <f t="shared" si="48"/>
        <v>26.032221891268833</v>
      </c>
      <c r="CT48" s="96"/>
      <c r="CU48" s="96"/>
      <c r="CV48" s="96"/>
      <c r="CX48" s="115">
        <v>4</v>
      </c>
      <c r="CY48" s="53">
        <v>1200</v>
      </c>
      <c r="CZ48" s="53"/>
      <c r="DA48" s="119">
        <v>-0.44349127363958285</v>
      </c>
      <c r="DB48" s="119">
        <v>0.04927680818217528</v>
      </c>
      <c r="DC48" s="119">
        <v>-0.14783042454652762</v>
      </c>
      <c r="DD48" s="119">
        <v>0.3942144654574067</v>
      </c>
      <c r="DE48" s="119">
        <v>0.3449376572752314</v>
      </c>
      <c r="DF48" s="119">
        <v>0.31537157236592606</v>
      </c>
      <c r="DG48" s="119">
        <v>0.04434912736395802</v>
      </c>
      <c r="DH48" s="119">
        <v>0.29566084909305523</v>
      </c>
      <c r="DI48" s="119">
        <v>0.7194413994597681</v>
      </c>
      <c r="DJ48" s="119">
        <v>1.0289971568634728</v>
      </c>
      <c r="DK48" s="119">
        <v>0.8603364503070416</v>
      </c>
      <c r="DL48" s="119">
        <v>0.22856008622463797</v>
      </c>
      <c r="DM48" s="119">
        <v>0.05581384001039247</v>
      </c>
      <c r="DN48" s="119">
        <v>-0.26200139956319735</v>
      </c>
      <c r="DO48" s="121">
        <v>0.16368729215000766</v>
      </c>
      <c r="DP48" s="121">
        <v>0.1312110036472518</v>
      </c>
      <c r="DQ48" s="121">
        <v>0.15943637138360955</v>
      </c>
      <c r="DR48" s="121">
        <v>0.16137141033202695</v>
      </c>
      <c r="DS48" s="121">
        <v>-0.26470583040089046</v>
      </c>
      <c r="DT48" s="121">
        <v>-0.04586594626426077</v>
      </c>
      <c r="DU48" s="121">
        <v>-0.26165958473585427</v>
      </c>
      <c r="DV48" s="121">
        <v>0.12222714471001517</v>
      </c>
      <c r="DW48" s="121">
        <v>0.22502584385144075</v>
      </c>
      <c r="DX48" s="122">
        <v>0.22502584385143898</v>
      </c>
      <c r="DY48" s="37"/>
      <c r="DZ48" s="37"/>
      <c r="EA48" s="37"/>
      <c r="EB48" s="37"/>
    </row>
    <row r="49" spans="54:132" ht="12.75">
      <c r="BB49" s="43">
        <v>3.223220792309481</v>
      </c>
      <c r="BL49" s="57">
        <v>5939.475</v>
      </c>
      <c r="CO49" s="6">
        <v>3</v>
      </c>
      <c r="CP49" s="6">
        <v>1800</v>
      </c>
      <c r="CQ49" s="87">
        <f t="shared" si="47"/>
        <v>14.325586344229839</v>
      </c>
      <c r="CR49" s="86">
        <v>17.4</v>
      </c>
      <c r="CS49" s="87">
        <f t="shared" si="48"/>
        <v>31.72558634422984</v>
      </c>
      <c r="CT49" s="96"/>
      <c r="CU49" s="96"/>
      <c r="CV49" s="96"/>
      <c r="CX49" s="115">
        <v>5</v>
      </c>
      <c r="CY49" s="53">
        <v>1200</v>
      </c>
      <c r="CZ49" s="53"/>
      <c r="DA49" s="119">
        <v>-0.1923672678819579</v>
      </c>
      <c r="DB49" s="119">
        <v>0.021374140875773273</v>
      </c>
      <c r="DC49" s="119">
        <v>-0.06412242262731982</v>
      </c>
      <c r="DD49" s="119">
        <v>0.17099312700618507</v>
      </c>
      <c r="DE49" s="119">
        <v>0.14961898613041158</v>
      </c>
      <c r="DF49" s="119">
        <v>0.13679450160494744</v>
      </c>
      <c r="DG49" s="119">
        <v>0.0192367267881961</v>
      </c>
      <c r="DH49" s="119">
        <v>0.1282448452546383</v>
      </c>
      <c r="DI49" s="119">
        <v>0.31206245678628663</v>
      </c>
      <c r="DJ49" s="119">
        <v>0.40023907855231267</v>
      </c>
      <c r="DK49" s="119">
        <v>0.37762178303254856</v>
      </c>
      <c r="DL49" s="119">
        <v>0.15532185687538114</v>
      </c>
      <c r="DM49" s="119">
        <v>0.18679015977136304</v>
      </c>
      <c r="DN49" s="119">
        <v>0.05441537129604823</v>
      </c>
      <c r="DO49" s="119">
        <v>0.26357689884433766</v>
      </c>
      <c r="DP49" s="119">
        <v>0.27032193646681346</v>
      </c>
      <c r="DQ49" s="119">
        <v>0.29752347749649033</v>
      </c>
      <c r="DR49" s="119">
        <v>0.33018528707769335</v>
      </c>
      <c r="DS49" s="119">
        <v>0.08804075768046271</v>
      </c>
      <c r="DT49" s="119">
        <v>0.24097185129093823</v>
      </c>
      <c r="DU49" s="119">
        <v>0.0212806793416922</v>
      </c>
      <c r="DV49" s="119">
        <v>0.17299670431558045</v>
      </c>
      <c r="DW49" s="119">
        <v>0.15164632453952986</v>
      </c>
      <c r="DX49" s="120">
        <v>0.15164632453952986</v>
      </c>
      <c r="DY49" s="37"/>
      <c r="DZ49" s="37"/>
      <c r="EA49" s="37"/>
      <c r="EB49" s="37"/>
    </row>
    <row r="50" spans="54:132" ht="12.75">
      <c r="BB50" s="43">
        <v>8.020428604173945</v>
      </c>
      <c r="BL50" s="57">
        <v>8266.58</v>
      </c>
      <c r="CO50" s="6">
        <v>4</v>
      </c>
      <c r="CP50" s="6">
        <v>600</v>
      </c>
      <c r="CQ50" s="87">
        <f t="shared" si="47"/>
        <v>6.020314680612141</v>
      </c>
      <c r="CR50" s="86">
        <v>33.4</v>
      </c>
      <c r="CS50" s="87">
        <f t="shared" si="48"/>
        <v>39.42031468061214</v>
      </c>
      <c r="CT50" s="96"/>
      <c r="CU50" s="96"/>
      <c r="CV50" s="96"/>
      <c r="CX50" s="115">
        <v>1</v>
      </c>
      <c r="CY50" s="53">
        <v>1800</v>
      </c>
      <c r="CZ50" s="53"/>
      <c r="DA50" s="119">
        <v>-0.11645797159833005</v>
      </c>
      <c r="DB50" s="119">
        <v>0.01293977462203677</v>
      </c>
      <c r="DC50" s="119">
        <v>-0.03881932386611009</v>
      </c>
      <c r="DD50" s="119">
        <v>0.10351819697629328</v>
      </c>
      <c r="DE50" s="119">
        <v>0.0905784223542565</v>
      </c>
      <c r="DF50" s="119">
        <v>0.08281455758103462</v>
      </c>
      <c r="DG50" s="119">
        <v>0.01164579715983316</v>
      </c>
      <c r="DH50" s="119">
        <v>0.07763864773221996</v>
      </c>
      <c r="DI50" s="119">
        <v>0.18892070948173512</v>
      </c>
      <c r="DJ50" s="119">
        <v>0.21598886786922744</v>
      </c>
      <c r="DK50" s="119">
        <v>0.22118783856067337</v>
      </c>
      <c r="DL50" s="119">
        <v>0.10759428125809789</v>
      </c>
      <c r="DM50" s="119">
        <v>0.176011786551467</v>
      </c>
      <c r="DN50" s="119">
        <v>0.09900096213228649</v>
      </c>
      <c r="DO50" s="119">
        <v>0.23380118620202106</v>
      </c>
      <c r="DP50" s="119">
        <v>0.2460728145735427</v>
      </c>
      <c r="DQ50" s="119">
        <v>0.26825776406932844</v>
      </c>
      <c r="DR50" s="119">
        <v>0.30037688891348857</v>
      </c>
      <c r="DS50" s="119">
        <v>0.13287317674380716</v>
      </c>
      <c r="DT50" s="119">
        <v>0.24728324953334146</v>
      </c>
      <c r="DU50" s="119">
        <v>0.06602149564563708</v>
      </c>
      <c r="DV50" s="119">
        <v>0.15091657303501638</v>
      </c>
      <c r="DW50" s="119">
        <v>0.11207261976638616</v>
      </c>
      <c r="DX50" s="120">
        <v>0.11207261976638705</v>
      </c>
      <c r="DY50" s="37"/>
      <c r="DZ50" s="37"/>
      <c r="EA50" s="37"/>
      <c r="EB50" s="37"/>
    </row>
    <row r="51" spans="54:128" ht="12.75">
      <c r="BB51" s="43">
        <v>7.471227972240185</v>
      </c>
      <c r="BL51" s="57">
        <v>8108.78</v>
      </c>
      <c r="CO51" s="6">
        <v>4</v>
      </c>
      <c r="CP51" s="6">
        <v>1200</v>
      </c>
      <c r="CQ51" s="87">
        <f t="shared" si="47"/>
        <v>8.37909292192571</v>
      </c>
      <c r="CR51" s="86">
        <v>33.4</v>
      </c>
      <c r="CS51" s="87">
        <f t="shared" si="48"/>
        <v>41.77909292192571</v>
      </c>
      <c r="CT51" s="96"/>
      <c r="CU51" s="96"/>
      <c r="CV51" s="96"/>
      <c r="CX51" s="115">
        <v>2</v>
      </c>
      <c r="CY51" s="53">
        <v>1800</v>
      </c>
      <c r="CZ51" s="53"/>
      <c r="DA51" s="119">
        <v>-1.1272869748623897</v>
      </c>
      <c r="DB51" s="119">
        <v>0.1252541083180443</v>
      </c>
      <c r="DC51" s="119">
        <v>-0.3757623249541311</v>
      </c>
      <c r="DD51" s="119">
        <v>1.0020328665443472</v>
      </c>
      <c r="DE51" s="119">
        <v>0.8767787582263029</v>
      </c>
      <c r="DF51" s="119">
        <v>0.8016262932354774</v>
      </c>
      <c r="DG51" s="119">
        <v>0.11272869748624004</v>
      </c>
      <c r="DH51" s="119">
        <v>0.7515246499082568</v>
      </c>
      <c r="DI51" s="119">
        <v>1.828709981443433</v>
      </c>
      <c r="DJ51" s="119">
        <v>2.3295749766432383</v>
      </c>
      <c r="DK51" s="119">
        <v>1.6389586215882375</v>
      </c>
      <c r="DL51" s="119">
        <v>-0.13988006020486665</v>
      </c>
      <c r="DM51" s="119">
        <v>-0.5758570832139895</v>
      </c>
      <c r="DN51" s="119">
        <v>-1.3496985083027155</v>
      </c>
      <c r="DO51" s="119">
        <v>-0.45183855386678573</v>
      </c>
      <c r="DP51" s="119">
        <v>-0.6191399431740621</v>
      </c>
      <c r="DQ51" s="119">
        <v>-0.6176340975124415</v>
      </c>
      <c r="DR51" s="119">
        <v>-0.7515627098614779</v>
      </c>
      <c r="DS51" s="119">
        <v>-1.5075273191242164</v>
      </c>
      <c r="DT51" s="119">
        <v>-1.2435567947814885</v>
      </c>
      <c r="DU51" s="119">
        <v>-1.2040406985146959</v>
      </c>
      <c r="DV51" s="119">
        <v>-0.23372937536977823</v>
      </c>
      <c r="DW51" s="119">
        <v>0.29583745563934905</v>
      </c>
      <c r="DX51" s="120">
        <v>0.2958374556393508</v>
      </c>
    </row>
    <row r="52" spans="54:128" ht="12.75">
      <c r="BB52" s="43">
        <v>5.534223806059372</v>
      </c>
      <c r="BL52" s="57">
        <v>9179.96</v>
      </c>
      <c r="CO52" s="6">
        <v>4</v>
      </c>
      <c r="CP52" s="6">
        <v>1800</v>
      </c>
      <c r="CQ52" s="87">
        <f t="shared" si="47"/>
        <v>8.219145172907389</v>
      </c>
      <c r="CR52" s="86">
        <v>33.4</v>
      </c>
      <c r="CS52" s="87">
        <f t="shared" si="48"/>
        <v>41.61914517290739</v>
      </c>
      <c r="CT52" s="96"/>
      <c r="CU52" s="96"/>
      <c r="CV52" s="96"/>
      <c r="CX52" s="115">
        <v>3</v>
      </c>
      <c r="CY52" s="53">
        <v>1800</v>
      </c>
      <c r="CZ52" s="53"/>
      <c r="DA52" s="119">
        <v>-0.4320184185618907</v>
      </c>
      <c r="DB52" s="119">
        <v>0.04800204650687645</v>
      </c>
      <c r="DC52" s="119">
        <v>-0.14400613952063024</v>
      </c>
      <c r="DD52" s="119">
        <v>0.3840163720550138</v>
      </c>
      <c r="DE52" s="119">
        <v>0.33601432554813826</v>
      </c>
      <c r="DF52" s="119">
        <v>0.30721309764401017</v>
      </c>
      <c r="DG52" s="119">
        <v>0.04320184185618903</v>
      </c>
      <c r="DH52" s="119">
        <v>0.2880122790412605</v>
      </c>
      <c r="DI52" s="119">
        <v>0.7008298790003993</v>
      </c>
      <c r="DJ52" s="119">
        <v>0.8332540196580887</v>
      </c>
      <c r="DK52" s="119">
        <v>0.823560799710231</v>
      </c>
      <c r="DL52" s="119">
        <v>0.37149092592510335</v>
      </c>
      <c r="DM52" s="119">
        <v>0.5583928356645655</v>
      </c>
      <c r="DN52" s="119">
        <v>0.26890421836008116</v>
      </c>
      <c r="DO52" s="121">
        <v>0.7555158834521833</v>
      </c>
      <c r="DP52" s="121">
        <v>0.7888478083565111</v>
      </c>
      <c r="DQ52" s="121">
        <v>0.8624916635486528</v>
      </c>
      <c r="DR52" s="121">
        <v>0.9631185055681044</v>
      </c>
      <c r="DS52" s="121">
        <v>0.3742927639372944</v>
      </c>
      <c r="DT52" s="121">
        <v>0.7653643904740193</v>
      </c>
      <c r="DU52" s="121">
        <v>0.16594053544622334</v>
      </c>
      <c r="DV52" s="121">
        <v>0.49022977310560556</v>
      </c>
      <c r="DW52" s="121">
        <v>0.38472268845970703</v>
      </c>
      <c r="DX52" s="122">
        <v>0.3847226884597106</v>
      </c>
    </row>
    <row r="53" spans="54:128" ht="12.75">
      <c r="BB53" s="43">
        <v>3.340628163027565</v>
      </c>
      <c r="BL53" s="57">
        <v>5570.9</v>
      </c>
      <c r="CO53" s="6">
        <v>5</v>
      </c>
      <c r="CP53" s="6">
        <v>600</v>
      </c>
      <c r="CQ53" s="87">
        <f t="shared" si="47"/>
        <v>9.304904550559135</v>
      </c>
      <c r="CR53" s="86">
        <v>22.3</v>
      </c>
      <c r="CS53" s="87">
        <f t="shared" si="48"/>
        <v>31.604904550559134</v>
      </c>
      <c r="CT53" s="96"/>
      <c r="CU53" s="96"/>
      <c r="CV53" s="96"/>
      <c r="CX53" s="115">
        <v>4</v>
      </c>
      <c r="CY53" s="53">
        <v>1800</v>
      </c>
      <c r="CZ53" s="53"/>
      <c r="DA53" s="119">
        <v>-0.42008008632406657</v>
      </c>
      <c r="DB53" s="119">
        <v>0.04667556514711846</v>
      </c>
      <c r="DC53" s="119">
        <v>-0.14002669544135582</v>
      </c>
      <c r="DD53" s="119">
        <v>0.3734045211769481</v>
      </c>
      <c r="DE53" s="119">
        <v>0.32672895602982877</v>
      </c>
      <c r="DF53" s="119">
        <v>0.29872361694155813</v>
      </c>
      <c r="DG53" s="119">
        <v>0.04200800863240772</v>
      </c>
      <c r="DH53" s="119">
        <v>0.28005339088270986</v>
      </c>
      <c r="DI53" s="119">
        <v>0.681463251147929</v>
      </c>
      <c r="DJ53" s="119">
        <v>0.9327396695813244</v>
      </c>
      <c r="DK53" s="119">
        <v>0.7798265548434449</v>
      </c>
      <c r="DL53" s="119">
        <v>0.1948782677416574</v>
      </c>
      <c r="DM53" s="119">
        <v>0.08337134809990498</v>
      </c>
      <c r="DN53" s="119">
        <v>-0.212681422280812</v>
      </c>
      <c r="DO53" s="119">
        <v>0.18997039977900698</v>
      </c>
      <c r="DP53" s="119">
        <v>0.16360755118093362</v>
      </c>
      <c r="DQ53" s="119">
        <v>0.19286369969347472</v>
      </c>
      <c r="DR53" s="119">
        <v>0.2007784945790032</v>
      </c>
      <c r="DS53" s="119">
        <v>-0.2085327486235773</v>
      </c>
      <c r="DT53" s="119">
        <v>0.007176102220158853</v>
      </c>
      <c r="DU53" s="119">
        <v>-0.218747965591497</v>
      </c>
      <c r="DV53" s="119">
        <v>0.13728280096020473</v>
      </c>
      <c r="DW53" s="119">
        <v>0.220730345814796</v>
      </c>
      <c r="DX53" s="120">
        <v>0.22073034581479511</v>
      </c>
    </row>
    <row r="54" spans="54:128" ht="13.5" thickBot="1">
      <c r="BB54" s="43">
        <v>5.139514422790306</v>
      </c>
      <c r="BL54" s="57">
        <v>6242.905</v>
      </c>
      <c r="CO54" s="6">
        <v>5</v>
      </c>
      <c r="CP54" s="6">
        <v>1200</v>
      </c>
      <c r="CQ54" s="87">
        <f t="shared" si="47"/>
        <v>5.646723162269758</v>
      </c>
      <c r="CR54" s="86">
        <v>22.3</v>
      </c>
      <c r="CS54" s="87">
        <f t="shared" si="48"/>
        <v>27.94672316226976</v>
      </c>
      <c r="CT54" s="96"/>
      <c r="CU54" s="96"/>
      <c r="CV54" s="96"/>
      <c r="CX54" s="117">
        <v>5</v>
      </c>
      <c r="CY54" s="118">
        <v>1800</v>
      </c>
      <c r="CZ54" s="118"/>
      <c r="DA54" s="123">
        <v>-0.2974894418346521</v>
      </c>
      <c r="DB54" s="123">
        <v>0.033054382426072504</v>
      </c>
      <c r="DC54" s="123">
        <v>-0.09916314727821707</v>
      </c>
      <c r="DD54" s="123">
        <v>0.2644350594085787</v>
      </c>
      <c r="DE54" s="123">
        <v>0.23138067698250708</v>
      </c>
      <c r="DF54" s="123">
        <v>0.2115480475268634</v>
      </c>
      <c r="DG54" s="123">
        <v>0.029748944183464854</v>
      </c>
      <c r="DH54" s="123">
        <v>0.19832629455643414</v>
      </c>
      <c r="DI54" s="123">
        <v>0.4825939834206574</v>
      </c>
      <c r="DJ54" s="123">
        <v>0.6100716341007519</v>
      </c>
      <c r="DK54" s="123">
        <v>0.5142526703252663</v>
      </c>
      <c r="DL54" s="123">
        <v>0.11986099752691182</v>
      </c>
      <c r="DM54" s="123">
        <v>0.10845070652654165</v>
      </c>
      <c r="DN54" s="123">
        <v>-0.09520624102373976</v>
      </c>
      <c r="DO54" s="123">
        <v>0.19173435087113688</v>
      </c>
      <c r="DP54" s="123">
        <v>0.17993309577897154</v>
      </c>
      <c r="DQ54" s="123">
        <v>0.20488448791951264</v>
      </c>
      <c r="DR54" s="123">
        <v>0.22028248308067866</v>
      </c>
      <c r="DS54" s="123">
        <v>-0.08149413944716688</v>
      </c>
      <c r="DT54" s="123">
        <v>0.0861970782984196</v>
      </c>
      <c r="DU54" s="123">
        <v>-0.10977687156123572</v>
      </c>
      <c r="DV54" s="123">
        <v>0.13258401690181731</v>
      </c>
      <c r="DW54" s="123">
        <v>0.16993907585837942</v>
      </c>
      <c r="DX54" s="124">
        <v>0.1699390758583803</v>
      </c>
    </row>
    <row r="55" spans="54:100" ht="12.75">
      <c r="BB55" s="43"/>
      <c r="BL55" s="43"/>
      <c r="CO55" s="6">
        <v>5</v>
      </c>
      <c r="CP55" s="6">
        <v>1800</v>
      </c>
      <c r="CQ55" s="97">
        <f t="shared" si="47"/>
        <v>6.3278745379291825</v>
      </c>
      <c r="CR55" s="98">
        <v>22.3</v>
      </c>
      <c r="CS55" s="97">
        <f t="shared" si="48"/>
        <v>28.627874537929184</v>
      </c>
      <c r="CT55" s="96"/>
      <c r="CU55" s="96"/>
      <c r="CV55" s="96"/>
    </row>
    <row r="56" spans="54:64" ht="12.75">
      <c r="BB56" s="43">
        <v>5.01738733312178</v>
      </c>
      <c r="BL56" s="57">
        <v>7343.42</v>
      </c>
    </row>
    <row r="57" ht="12.75">
      <c r="BB57" s="63" t="s">
        <v>37</v>
      </c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53"/>
  <sheetViews>
    <sheetView workbookViewId="0" topLeftCell="A10">
      <selection activeCell="G52" sqref="G52"/>
    </sheetView>
  </sheetViews>
  <sheetFormatPr defaultColWidth="11.421875" defaultRowHeight="12.75"/>
  <cols>
    <col min="1" max="1" width="14.7109375" style="0" customWidth="1"/>
    <col min="3" max="3" width="15.8515625" style="0" customWidth="1"/>
    <col min="4" max="4" width="14.28125" style="0" customWidth="1"/>
  </cols>
  <sheetData>
    <row r="1" spans="2:65" ht="12.75">
      <c r="B1" s="27">
        <v>85</v>
      </c>
      <c r="C1" s="27">
        <v>86</v>
      </c>
      <c r="D1" s="27">
        <v>87</v>
      </c>
      <c r="E1" s="27">
        <v>88</v>
      </c>
      <c r="F1" s="27">
        <v>89</v>
      </c>
      <c r="G1" s="27">
        <v>90</v>
      </c>
      <c r="H1" s="27">
        <v>91</v>
      </c>
      <c r="I1" s="27">
        <v>92</v>
      </c>
      <c r="J1" s="27">
        <v>93</v>
      </c>
      <c r="K1" s="27">
        <v>94</v>
      </c>
      <c r="L1" s="27">
        <v>95</v>
      </c>
      <c r="M1" s="27">
        <v>96</v>
      </c>
      <c r="N1" s="27">
        <v>97</v>
      </c>
      <c r="O1" s="27">
        <v>98</v>
      </c>
      <c r="P1" s="90">
        <v>99</v>
      </c>
      <c r="Q1" s="90" t="s">
        <v>10</v>
      </c>
      <c r="R1" s="90" t="s">
        <v>11</v>
      </c>
      <c r="S1" s="90" t="s">
        <v>12</v>
      </c>
      <c r="T1" s="90" t="s">
        <v>13</v>
      </c>
      <c r="U1" s="90" t="s">
        <v>14</v>
      </c>
      <c r="V1" s="90" t="s">
        <v>15</v>
      </c>
      <c r="W1" s="90" t="s">
        <v>16</v>
      </c>
      <c r="X1" s="90" t="s">
        <v>17</v>
      </c>
      <c r="Y1" s="90" t="s">
        <v>18</v>
      </c>
      <c r="Z1" s="27">
        <v>2009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</row>
    <row r="2" spans="1:26" ht="12.75">
      <c r="A2" t="s">
        <v>100</v>
      </c>
      <c r="B2">
        <f>'yearly dead wood stock'!AR34</f>
        <v>2.964391704170541</v>
      </c>
      <c r="C2">
        <f>'yearly dead wood stock'!AS34</f>
        <v>2.3807020389615263</v>
      </c>
      <c r="D2">
        <f>'yearly dead wood stock'!AT34</f>
        <v>2.7698284824342028</v>
      </c>
      <c r="E2">
        <f>'yearly dead wood stock'!AU34</f>
        <v>2.6725468715660337</v>
      </c>
      <c r="F2">
        <f>'yearly dead wood stock'!AV34</f>
        <v>3.158954925906879</v>
      </c>
      <c r="G2">
        <f>'yearly dead wood stock'!AW34</f>
        <v>3.4507997585113865</v>
      </c>
      <c r="H2">
        <f>'yearly dead wood stock'!AX34</f>
        <v>3.2951491811223157</v>
      </c>
      <c r="I2">
        <f>'yearly dead wood stock'!AY34</f>
        <v>3.246508375688231</v>
      </c>
      <c r="J2">
        <f>'yearly dead wood stock'!AZ34</f>
        <v>4.034489423720401</v>
      </c>
      <c r="K2">
        <f>'yearly dead wood stock'!BA34</f>
        <v>4.715460699797584</v>
      </c>
      <c r="L2">
        <f>'yearly dead wood stock'!BB34</f>
        <v>5.01738733312178</v>
      </c>
      <c r="M2">
        <f>'yearly dead wood stock'!BC34</f>
        <v>5.644299316256427</v>
      </c>
      <c r="N2">
        <f>'yearly dead wood stock'!BD34</f>
        <v>5.244506701634106</v>
      </c>
      <c r="O2">
        <f>'yearly dead wood stock'!BE34</f>
        <v>5.644299316256427</v>
      </c>
      <c r="P2">
        <f>'yearly dead wood stock'!BF34</f>
        <v>5.644299316256427</v>
      </c>
      <c r="Q2">
        <f>'yearly dead wood stock'!BG34</f>
        <v>6.144040084534327</v>
      </c>
      <c r="R2">
        <f>'yearly dead wood stock'!BH34</f>
        <v>6.5438326991566464</v>
      </c>
      <c r="S2">
        <f>'yearly dead wood stock'!BI34</f>
        <v>6.643780852812227</v>
      </c>
      <c r="T2">
        <f>'yearly dead wood stock'!BJ34</f>
        <v>7.243469774745706</v>
      </c>
      <c r="U2">
        <f>'yearly dead wood stock'!BK34</f>
        <v>6.643780852812227</v>
      </c>
      <c r="V2">
        <f>'yearly dead wood stock'!BL34</f>
        <v>7.343417928401286</v>
      </c>
      <c r="W2">
        <f>'yearly dead wood stock'!BM34</f>
        <v>7.143521621090127</v>
      </c>
      <c r="X2">
        <f>'yearly dead wood stock'!BN34</f>
        <v>7.243469774745706</v>
      </c>
      <c r="Y2">
        <f>'yearly dead wood stock'!BO34</f>
        <v>7.943106850334765</v>
      </c>
      <c r="Z2">
        <f>'yearly dead wood stock'!BP34</f>
        <v>7.743210543023606</v>
      </c>
    </row>
    <row r="3" spans="1:26" ht="12.75">
      <c r="A3" t="s">
        <v>101</v>
      </c>
      <c r="B3">
        <f>'yearly dead wood stock'!BU34</f>
        <v>2.964391704170541</v>
      </c>
      <c r="C3">
        <f>'yearly dead wood stock'!BV34</f>
        <v>2.6725468715660337</v>
      </c>
      <c r="D3">
        <f>'yearly dead wood stock'!BW34</f>
        <v>2.7049740751887565</v>
      </c>
      <c r="E3">
        <f>'yearly dead wood stock'!BX34</f>
        <v>2.6076924643205874</v>
      </c>
      <c r="F3">
        <f>'yearly dead wood stock'!BY34</f>
        <v>2.867110093302372</v>
      </c>
      <c r="G3">
        <f>'yearly dead wood stock'!BZ34</f>
        <v>3.094100518661433</v>
      </c>
      <c r="H3">
        <f>'yearly dead wood stock'!CA34</f>
        <v>3.3016346218468606</v>
      </c>
      <c r="I3">
        <f>'yearly dead wood stock'!CB34</f>
        <v>3.3308191051073113</v>
      </c>
      <c r="J3">
        <f>'yearly dead wood stock'!CC34</f>
        <v>3.525382326843649</v>
      </c>
      <c r="K3">
        <f>'yearly dead wood stock'!CD34</f>
        <v>3.9988194997354056</v>
      </c>
      <c r="L3">
        <f>'yearly dead wood stock'!CE34</f>
        <v>4.589112485546588</v>
      </c>
      <c r="M3">
        <f>'yearly dead wood stock'!CF34</f>
        <v>5.125715783058596</v>
      </c>
      <c r="N3">
        <f>'yearly dead wood stock'!CG34</f>
        <v>5.302064450337437</v>
      </c>
      <c r="O3">
        <f>'yearly dead wood stock'!CH34</f>
        <v>5.51103511138232</v>
      </c>
      <c r="P3">
        <f>'yearly dead wood stock'!CI34</f>
        <v>5.51103511138232</v>
      </c>
      <c r="Q3">
        <f>'yearly dead wood stock'!CJ34</f>
        <v>5.81087957234906</v>
      </c>
      <c r="R3">
        <f>'yearly dead wood stock'!CK34</f>
        <v>6.1107240333158</v>
      </c>
      <c r="S3">
        <f>'yearly dead wood stock'!CL34</f>
        <v>6.443884545501067</v>
      </c>
      <c r="T3">
        <f>'yearly dead wood stock'!CM34</f>
        <v>6.81036110890486</v>
      </c>
      <c r="U3">
        <f>'yearly dead wood stock'!CN34</f>
        <v>6.843677160123387</v>
      </c>
      <c r="V3">
        <f>'yearly dead wood stock'!CO34</f>
        <v>7.076889518653073</v>
      </c>
      <c r="W3">
        <f>'yearly dead wood stock'!CP34</f>
        <v>7.043573467434546</v>
      </c>
      <c r="X3">
        <f>'yearly dead wood stock'!CQ34</f>
        <v>7.243469774745706</v>
      </c>
      <c r="Y3">
        <f>'yearly dead wood stock'!CR34</f>
        <v>7.4433660820568655</v>
      </c>
      <c r="Z3">
        <f>'yearly dead wood stock'!CS34</f>
        <v>7.643262389368026</v>
      </c>
    </row>
    <row r="27" spans="2:6" ht="12.75">
      <c r="B27" s="3" t="s">
        <v>58</v>
      </c>
      <c r="C27" s="3"/>
      <c r="D27" s="3"/>
      <c r="E27" s="3"/>
      <c r="F27" s="3"/>
    </row>
    <row r="28" spans="2:5" ht="12.75">
      <c r="B28" t="s">
        <v>3</v>
      </c>
      <c r="C28" t="s">
        <v>55</v>
      </c>
      <c r="D28" t="s">
        <v>56</v>
      </c>
      <c r="E28" t="s">
        <v>57</v>
      </c>
    </row>
    <row r="29" spans="2:5" ht="12.75">
      <c r="B29">
        <v>1985</v>
      </c>
      <c r="C29">
        <v>2.1</v>
      </c>
      <c r="D29" s="85">
        <v>2.964391704170541</v>
      </c>
      <c r="E29" s="85">
        <v>2.964391704170541</v>
      </c>
    </row>
    <row r="30" spans="2:5" ht="12.75">
      <c r="B30">
        <v>1986</v>
      </c>
      <c r="C30">
        <v>1.5</v>
      </c>
      <c r="D30" s="85">
        <v>2.3807020389615263</v>
      </c>
      <c r="E30" s="85">
        <v>2.6725468715660337</v>
      </c>
    </row>
    <row r="31" spans="2:5" ht="12.75">
      <c r="B31">
        <v>1987</v>
      </c>
      <c r="C31">
        <v>1.9</v>
      </c>
      <c r="D31" s="85">
        <v>2.7698284824342028</v>
      </c>
      <c r="E31" s="85">
        <v>2.7049740751887565</v>
      </c>
    </row>
    <row r="32" spans="2:5" ht="12.75">
      <c r="B32">
        <v>1988</v>
      </c>
      <c r="C32">
        <v>1.8</v>
      </c>
      <c r="D32" s="85">
        <v>2.6725468715660337</v>
      </c>
      <c r="E32" s="85">
        <v>2.6076924643205874</v>
      </c>
    </row>
    <row r="33" spans="2:5" ht="12.75">
      <c r="B33">
        <v>1989</v>
      </c>
      <c r="C33">
        <v>2.3</v>
      </c>
      <c r="D33" s="85">
        <v>3.158954925906879</v>
      </c>
      <c r="E33" s="85">
        <v>2.867110093302372</v>
      </c>
    </row>
    <row r="34" spans="2:5" ht="12.75">
      <c r="B34">
        <v>1990</v>
      </c>
      <c r="C34">
        <v>2.6</v>
      </c>
      <c r="D34" s="85">
        <v>3.4507997585113865</v>
      </c>
      <c r="E34" s="85">
        <v>3.094100518661433</v>
      </c>
    </row>
    <row r="35" spans="2:5" ht="12.75">
      <c r="B35">
        <v>1991</v>
      </c>
      <c r="C35">
        <v>2.44</v>
      </c>
      <c r="D35" s="85">
        <v>3.2951491811223157</v>
      </c>
      <c r="E35" s="85">
        <v>3.3016346218468606</v>
      </c>
    </row>
    <row r="36" spans="2:5" ht="12.75">
      <c r="B36">
        <v>1992</v>
      </c>
      <c r="C36">
        <v>2.39</v>
      </c>
      <c r="D36" s="85">
        <v>3.246508375688231</v>
      </c>
      <c r="E36" s="85">
        <v>3.3308191051073113</v>
      </c>
    </row>
    <row r="37" spans="2:5" ht="12.75">
      <c r="B37">
        <v>1993</v>
      </c>
      <c r="C37">
        <v>3.2</v>
      </c>
      <c r="D37" s="85">
        <v>4.034489423720401</v>
      </c>
      <c r="E37" s="85">
        <v>3.525382326843649</v>
      </c>
    </row>
    <row r="38" spans="2:5" ht="12.75">
      <c r="B38">
        <v>1994</v>
      </c>
      <c r="C38">
        <v>3.9</v>
      </c>
      <c r="D38" s="85">
        <v>4.715460699797584</v>
      </c>
      <c r="E38" s="85">
        <v>3.9988194997354056</v>
      </c>
    </row>
    <row r="39" spans="2:5" ht="12.75">
      <c r="B39">
        <v>1995</v>
      </c>
      <c r="C39">
        <v>4.1</v>
      </c>
      <c r="D39" s="85">
        <v>5.01738733312178</v>
      </c>
      <c r="E39" s="85">
        <v>4.589112485546588</v>
      </c>
    </row>
    <row r="40" spans="2:5" ht="12.75">
      <c r="B40">
        <v>1996</v>
      </c>
      <c r="C40">
        <v>4.7</v>
      </c>
      <c r="D40" s="85">
        <v>5.644299316256427</v>
      </c>
      <c r="E40" s="85">
        <v>5.125715783058596</v>
      </c>
    </row>
    <row r="41" spans="2:5" ht="12.75">
      <c r="B41">
        <v>1997</v>
      </c>
      <c r="C41">
        <v>4.3</v>
      </c>
      <c r="D41" s="85">
        <v>5.244506701634106</v>
      </c>
      <c r="E41" s="85">
        <v>5.302064450337437</v>
      </c>
    </row>
    <row r="42" spans="2:5" ht="12.75">
      <c r="B42">
        <v>1998</v>
      </c>
      <c r="C42">
        <v>4.7</v>
      </c>
      <c r="D42" s="85">
        <v>5.644299316256427</v>
      </c>
      <c r="E42" s="85">
        <v>5.51103511138232</v>
      </c>
    </row>
    <row r="43" spans="2:5" ht="12.75">
      <c r="B43">
        <v>1999</v>
      </c>
      <c r="C43">
        <v>4.7</v>
      </c>
      <c r="D43" s="85">
        <v>5.644299316256427</v>
      </c>
      <c r="E43" s="85">
        <v>5.51103511138232</v>
      </c>
    </row>
    <row r="44" spans="2:5" ht="12.75">
      <c r="B44">
        <v>2000</v>
      </c>
      <c r="C44">
        <v>5.2</v>
      </c>
      <c r="D44" s="85">
        <v>6.144040084534327</v>
      </c>
      <c r="E44" s="85">
        <v>5.81087957234906</v>
      </c>
    </row>
    <row r="45" spans="2:5" ht="12.75">
      <c r="B45">
        <v>2001</v>
      </c>
      <c r="C45">
        <v>5.6</v>
      </c>
      <c r="D45" s="85">
        <v>6.5438326991566464</v>
      </c>
      <c r="E45" s="85">
        <v>6.1107240333158</v>
      </c>
    </row>
    <row r="46" spans="2:5" ht="12.75">
      <c r="B46">
        <v>2002</v>
      </c>
      <c r="C46">
        <v>5.7</v>
      </c>
      <c r="D46" s="85">
        <v>6.643780852812227</v>
      </c>
      <c r="E46" s="85">
        <v>6.443884545501067</v>
      </c>
    </row>
    <row r="47" spans="2:5" ht="12.75">
      <c r="B47">
        <v>2003</v>
      </c>
      <c r="C47">
        <v>6.3</v>
      </c>
      <c r="D47" s="85">
        <v>7.243469774745706</v>
      </c>
      <c r="E47" s="85">
        <v>6.81036110890486</v>
      </c>
    </row>
    <row r="48" spans="2:5" ht="12.75">
      <c r="B48">
        <v>2004</v>
      </c>
      <c r="C48">
        <v>5.7</v>
      </c>
      <c r="D48" s="85">
        <v>6.643780852812227</v>
      </c>
      <c r="E48" s="85">
        <v>6.843677160123387</v>
      </c>
    </row>
    <row r="49" spans="2:5" ht="12.75">
      <c r="B49">
        <v>2005</v>
      </c>
      <c r="C49">
        <v>6.4</v>
      </c>
      <c r="D49" s="41">
        <v>7.343417928401286</v>
      </c>
      <c r="E49" s="41">
        <v>7.076889518653073</v>
      </c>
    </row>
    <row r="50" spans="2:5" ht="12.75">
      <c r="B50">
        <v>2006</v>
      </c>
      <c r="C50">
        <v>6.2</v>
      </c>
      <c r="D50" s="41">
        <v>7.143521621090127</v>
      </c>
      <c r="E50" s="41">
        <v>7.043573467434546</v>
      </c>
    </row>
    <row r="51" spans="2:5" ht="12.75">
      <c r="B51">
        <v>2007</v>
      </c>
      <c r="C51">
        <v>6.3</v>
      </c>
      <c r="D51" s="41">
        <v>7.243469774745706</v>
      </c>
      <c r="E51" s="41">
        <v>7.243469774745706</v>
      </c>
    </row>
    <row r="52" spans="2:5" ht="12.75">
      <c r="B52">
        <v>2008</v>
      </c>
      <c r="C52">
        <v>7</v>
      </c>
      <c r="D52" s="41">
        <v>7.943106850334765</v>
      </c>
      <c r="E52" s="41">
        <v>7.4433660820568655</v>
      </c>
    </row>
    <row r="53" spans="2:5" ht="12.75">
      <c r="B53">
        <v>2009</v>
      </c>
      <c r="C53">
        <v>6.8</v>
      </c>
      <c r="D53" s="41">
        <v>7.743210543023606</v>
      </c>
      <c r="E53" s="41">
        <v>7.643262389368026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1">
      <selection activeCell="H14" sqref="H14"/>
    </sheetView>
  </sheetViews>
  <sheetFormatPr defaultColWidth="11.421875" defaultRowHeight="12.75"/>
  <sheetData>
    <row r="1" spans="1:26" ht="12.75">
      <c r="A1" s="115" t="s">
        <v>130</v>
      </c>
      <c r="B1" s="53" t="s">
        <v>104</v>
      </c>
      <c r="C1" s="53" t="s">
        <v>105</v>
      </c>
      <c r="D1" s="53" t="s">
        <v>107</v>
      </c>
      <c r="E1" s="53" t="s">
        <v>108</v>
      </c>
      <c r="F1" s="53" t="s">
        <v>109</v>
      </c>
      <c r="G1" s="53" t="s">
        <v>110</v>
      </c>
      <c r="H1" s="53" t="s">
        <v>111</v>
      </c>
      <c r="I1" s="53" t="s">
        <v>112</v>
      </c>
      <c r="J1" s="53" t="s">
        <v>113</v>
      </c>
      <c r="K1" s="53" t="s">
        <v>114</v>
      </c>
      <c r="L1" s="53" t="s">
        <v>115</v>
      </c>
      <c r="M1" s="53" t="s">
        <v>116</v>
      </c>
      <c r="N1" s="53" t="s">
        <v>117</v>
      </c>
      <c r="O1" s="53" t="s">
        <v>118</v>
      </c>
      <c r="P1" s="53" t="s">
        <v>119</v>
      </c>
      <c r="Q1" s="53" t="s">
        <v>120</v>
      </c>
      <c r="R1" s="53" t="s">
        <v>121</v>
      </c>
      <c r="S1" s="53" t="s">
        <v>122</v>
      </c>
      <c r="T1" s="53" t="s">
        <v>123</v>
      </c>
      <c r="U1" s="53" t="s">
        <v>124</v>
      </c>
      <c r="V1" s="53" t="s">
        <v>125</v>
      </c>
      <c r="W1" s="53" t="s">
        <v>126</v>
      </c>
      <c r="X1" s="53" t="s">
        <v>127</v>
      </c>
      <c r="Y1" s="53" t="s">
        <v>128</v>
      </c>
      <c r="Z1" s="53" t="s">
        <v>129</v>
      </c>
    </row>
    <row r="2" spans="1:26" ht="12.75">
      <c r="A2" s="115">
        <v>1</v>
      </c>
      <c r="B2" s="53" t="s">
        <v>131</v>
      </c>
      <c r="C2" s="119">
        <v>-0.2902653423412902</v>
      </c>
      <c r="D2" s="119">
        <v>0.03225170470458805</v>
      </c>
      <c r="E2" s="119">
        <v>-0.0967551141137637</v>
      </c>
      <c r="F2" s="119">
        <v>0.2580136376367026</v>
      </c>
      <c r="G2" s="119">
        <v>0.22576193293211455</v>
      </c>
      <c r="H2" s="119">
        <v>0.20641091010936208</v>
      </c>
      <c r="I2" s="119">
        <v>0.029026534234129375</v>
      </c>
      <c r="J2" s="119">
        <v>0.1935102282275265</v>
      </c>
      <c r="K2" s="119">
        <v>0.47087488868698246</v>
      </c>
      <c r="L2" s="119">
        <v>0.5320724933479175</v>
      </c>
      <c r="M2" s="119">
        <v>0.43303444899866506</v>
      </c>
      <c r="N2" s="119">
        <v>0.05491433737089846</v>
      </c>
      <c r="O2" s="119">
        <v>0.1042017949690548</v>
      </c>
      <c r="P2" s="119">
        <v>-0.08699845318327792</v>
      </c>
      <c r="Q2" s="119">
        <v>0.18285585061885978</v>
      </c>
      <c r="R2" s="119">
        <v>0.17207198889299136</v>
      </c>
      <c r="S2" s="119">
        <v>0.19572242131771844</v>
      </c>
      <c r="T2" s="119">
        <v>0.210643060916742</v>
      </c>
      <c r="U2" s="119">
        <v>-0.07361836525937537</v>
      </c>
      <c r="V2" s="119">
        <v>0.08471678049031084</v>
      </c>
      <c r="W2" s="119">
        <v>-0.10116305576515039</v>
      </c>
      <c r="X2" s="119">
        <v>0.12625455800501495</v>
      </c>
      <c r="Y2" s="119">
        <v>0.16038921464985378</v>
      </c>
      <c r="Z2" s="120">
        <v>0.16038921464985378</v>
      </c>
    </row>
    <row r="3" spans="1:26" ht="12.75">
      <c r="A3" s="115">
        <v>2</v>
      </c>
      <c r="B3" s="53" t="s">
        <v>131</v>
      </c>
      <c r="C3" s="119">
        <v>-0.1014382203874401</v>
      </c>
      <c r="D3" s="119">
        <v>0.011270913376382197</v>
      </c>
      <c r="E3" s="119">
        <v>-0.03381274012914659</v>
      </c>
      <c r="F3" s="119">
        <v>0.09016730701105768</v>
      </c>
      <c r="G3" s="119">
        <v>0.0788963936346756</v>
      </c>
      <c r="H3" s="119">
        <v>0.07213384560884628</v>
      </c>
      <c r="I3" s="119">
        <v>0.010143822038743977</v>
      </c>
      <c r="J3" s="119">
        <v>0.0676254802582934</v>
      </c>
      <c r="K3" s="119">
        <v>0.16455533529518007</v>
      </c>
      <c r="L3" s="119">
        <v>0.1991803356365014</v>
      </c>
      <c r="M3" s="119">
        <v>0.2387965331589197</v>
      </c>
      <c r="N3" s="119">
        <v>0.1679675828221674</v>
      </c>
      <c r="O3" s="119">
        <v>0.2559478546391545</v>
      </c>
      <c r="P3" s="119">
        <v>0.18755588815206137</v>
      </c>
      <c r="Q3" s="119">
        <v>0.3266770726483421</v>
      </c>
      <c r="R3" s="119">
        <v>0.3499254947719317</v>
      </c>
      <c r="S3" s="119">
        <v>0.37903723937584877</v>
      </c>
      <c r="T3" s="119">
        <v>0.4269691352226719</v>
      </c>
      <c r="U3" s="119">
        <v>0.23880898715939658</v>
      </c>
      <c r="V3" s="119">
        <v>0.37805328773742986</v>
      </c>
      <c r="W3" s="119">
        <v>0.13799408753061826</v>
      </c>
      <c r="X3" s="119">
        <v>0.20840533628307867</v>
      </c>
      <c r="Y3" s="119">
        <v>0.13481602969735018</v>
      </c>
      <c r="Z3" s="120">
        <v>0.1348160296973493</v>
      </c>
    </row>
    <row r="4" spans="1:26" ht="12.75">
      <c r="A4" s="115">
        <v>3</v>
      </c>
      <c r="B4" s="53" t="s">
        <v>131</v>
      </c>
      <c r="C4" s="119">
        <v>-0.05180508232293324</v>
      </c>
      <c r="D4" s="119">
        <v>0.005756120258103625</v>
      </c>
      <c r="E4" s="119">
        <v>-0.017268360774311042</v>
      </c>
      <c r="F4" s="119">
        <v>0.0460489620648295</v>
      </c>
      <c r="G4" s="119">
        <v>0.040292841806725765</v>
      </c>
      <c r="H4" s="119">
        <v>0.036839169651863735</v>
      </c>
      <c r="I4" s="119">
        <v>0.005180508232293324</v>
      </c>
      <c r="J4" s="119">
        <v>0.034536721548622196</v>
      </c>
      <c r="K4" s="119">
        <v>0.08403935576831378</v>
      </c>
      <c r="L4" s="119">
        <v>0.10791960937056255</v>
      </c>
      <c r="M4" s="119">
        <v>0.2374426797443968</v>
      </c>
      <c r="N4" s="119">
        <v>0.29395491443342836</v>
      </c>
      <c r="O4" s="119">
        <v>0.4571132131159308</v>
      </c>
      <c r="P4" s="119">
        <v>0.4214483529771844</v>
      </c>
      <c r="Q4" s="119">
        <v>0.5570378226023798</v>
      </c>
      <c r="R4" s="119">
        <v>0.609278300413246</v>
      </c>
      <c r="S4" s="119">
        <v>0.6550247125779833</v>
      </c>
      <c r="T4" s="119">
        <v>0.7430610353515172</v>
      </c>
      <c r="U4" s="119">
        <v>0.5169476011522702</v>
      </c>
      <c r="V4" s="119">
        <v>0.7118215365241332</v>
      </c>
      <c r="W4" s="119">
        <v>0.32974954490638275</v>
      </c>
      <c r="X4" s="119">
        <v>0.35028257050069733</v>
      </c>
      <c r="Y4" s="119">
        <v>0.18492336816979282</v>
      </c>
      <c r="Z4" s="120">
        <v>0.18492336816979282</v>
      </c>
    </row>
    <row r="5" spans="1:26" ht="12.75">
      <c r="A5" s="115">
        <v>4</v>
      </c>
      <c r="B5" s="53" t="s">
        <v>131</v>
      </c>
      <c r="C5" s="119">
        <v>-0.18734710584229752</v>
      </c>
      <c r="D5" s="119">
        <v>0.02081634509358854</v>
      </c>
      <c r="E5" s="119">
        <v>-0.06244903528076606</v>
      </c>
      <c r="F5" s="119">
        <v>0.16653076074870876</v>
      </c>
      <c r="G5" s="119">
        <v>0.14571441565512044</v>
      </c>
      <c r="H5" s="119">
        <v>0.1332246085989668</v>
      </c>
      <c r="I5" s="119">
        <v>0.01873471058422993</v>
      </c>
      <c r="J5" s="119">
        <v>0.12489807056153168</v>
      </c>
      <c r="K5" s="119">
        <v>0.30391863836639343</v>
      </c>
      <c r="L5" s="119">
        <v>0.37971820086039587</v>
      </c>
      <c r="M5" s="119">
        <v>0.3707886536127605</v>
      </c>
      <c r="N5" s="119">
        <v>0.16735876750936152</v>
      </c>
      <c r="O5" s="119">
        <v>0.22360366973285473</v>
      </c>
      <c r="P5" s="119">
        <v>0.09588123258363446</v>
      </c>
      <c r="Q5" s="121">
        <v>0.30614119654875704</v>
      </c>
      <c r="R5" s="121">
        <v>0.3180261199750305</v>
      </c>
      <c r="S5" s="121">
        <v>0.3483683725865889</v>
      </c>
      <c r="T5" s="121">
        <v>0.3883317536860815</v>
      </c>
      <c r="U5" s="121">
        <v>0.13754245988688307</v>
      </c>
      <c r="V5" s="121">
        <v>0.3014856160495132</v>
      </c>
      <c r="W5" s="121">
        <v>0.05508462102508105</v>
      </c>
      <c r="X5" s="121">
        <v>0.19929925943135096</v>
      </c>
      <c r="Y5" s="121">
        <v>0.16167936122429438</v>
      </c>
      <c r="Z5" s="122">
        <v>0.16167936122429438</v>
      </c>
    </row>
    <row r="6" spans="1:26" ht="12.75">
      <c r="A6" s="115">
        <v>5</v>
      </c>
      <c r="B6" s="53" t="s">
        <v>131</v>
      </c>
      <c r="C6" s="119">
        <v>-0.3181295728301272</v>
      </c>
      <c r="D6" s="119">
        <v>0.03534773031445848</v>
      </c>
      <c r="E6" s="119">
        <v>-0.106043190943375</v>
      </c>
      <c r="F6" s="119">
        <v>0.28278184251566785</v>
      </c>
      <c r="G6" s="119">
        <v>0.24743411220120937</v>
      </c>
      <c r="H6" s="119">
        <v>0.2262254740125349</v>
      </c>
      <c r="I6" s="119">
        <v>0.03181295728301281</v>
      </c>
      <c r="J6" s="119">
        <v>0.21208638188675089</v>
      </c>
      <c r="K6" s="119">
        <v>0.516076862591095</v>
      </c>
      <c r="L6" s="119">
        <v>0.6651071990679922</v>
      </c>
      <c r="M6" s="119">
        <v>0.626881042460413</v>
      </c>
      <c r="N6" s="119">
        <v>0.2579625375032828</v>
      </c>
      <c r="O6" s="119">
        <v>0.30567619654075884</v>
      </c>
      <c r="P6" s="119">
        <v>0.08637860640183437</v>
      </c>
      <c r="Q6" s="119">
        <v>0.432150322648873</v>
      </c>
      <c r="R6" s="119">
        <v>0.44285735149165273</v>
      </c>
      <c r="S6" s="119">
        <v>0.48756468610930526</v>
      </c>
      <c r="T6" s="119">
        <v>0.5409396155044455</v>
      </c>
      <c r="U6" s="119">
        <v>0.14128311134594362</v>
      </c>
      <c r="V6" s="119">
        <v>0.39321164652952945</v>
      </c>
      <c r="W6" s="119">
        <v>0.032253026603839885</v>
      </c>
      <c r="X6" s="119">
        <v>0.2837805550821333</v>
      </c>
      <c r="Y6" s="119">
        <v>0.2498891011182902</v>
      </c>
      <c r="Z6" s="120">
        <v>0.249889101118292</v>
      </c>
    </row>
    <row r="7" spans="1:26" ht="12.75">
      <c r="A7" s="115">
        <v>1</v>
      </c>
      <c r="B7" s="53" t="s">
        <v>132</v>
      </c>
      <c r="C7" s="119">
        <v>-0.29320190307680916</v>
      </c>
      <c r="D7" s="119">
        <v>0.03257798923075672</v>
      </c>
      <c r="E7" s="119">
        <v>-0.09773396769226972</v>
      </c>
      <c r="F7" s="119">
        <v>0.26062391384605244</v>
      </c>
      <c r="G7" s="119">
        <v>0.22804592461529571</v>
      </c>
      <c r="H7" s="119">
        <v>0.20849913107684204</v>
      </c>
      <c r="I7" s="119">
        <v>0.029320190307680516</v>
      </c>
      <c r="J7" s="119">
        <v>0.19546793538453944</v>
      </c>
      <c r="K7" s="119">
        <v>0.47563864276904555</v>
      </c>
      <c r="L7" s="119">
        <v>0.5373745556713541</v>
      </c>
      <c r="M7" s="119">
        <v>0.43812057506755764</v>
      </c>
      <c r="N7" s="119">
        <v>0.056864408100304686</v>
      </c>
      <c r="O7" s="119">
        <v>0.1076332396526869</v>
      </c>
      <c r="P7" s="119">
        <v>-0.0854917387689671</v>
      </c>
      <c r="Q7" s="119">
        <v>0.18754314709846032</v>
      </c>
      <c r="R7" s="119">
        <v>0.1769460496116082</v>
      </c>
      <c r="S7" s="119">
        <v>0.20105956697761584</v>
      </c>
      <c r="T7" s="119">
        <v>0.2165944816161698</v>
      </c>
      <c r="U7" s="119">
        <v>-0.07147069519996307</v>
      </c>
      <c r="V7" s="119">
        <v>0.0893583670712843</v>
      </c>
      <c r="W7" s="119">
        <v>-0.100283710092957</v>
      </c>
      <c r="X7" s="119">
        <v>0.1293040738758231</v>
      </c>
      <c r="Y7" s="119">
        <v>0.16284755703064846</v>
      </c>
      <c r="Z7" s="120">
        <v>0.16284755703064757</v>
      </c>
    </row>
    <row r="8" spans="1:26" ht="12.75">
      <c r="A8" s="115">
        <v>2</v>
      </c>
      <c r="B8" s="53" t="s">
        <v>132</v>
      </c>
      <c r="C8" s="119">
        <v>-0.1422065774498007</v>
      </c>
      <c r="D8" s="119">
        <v>0.015800730827755682</v>
      </c>
      <c r="E8" s="119">
        <v>-0.04740219248326705</v>
      </c>
      <c r="F8" s="119">
        <v>0.12640584662204501</v>
      </c>
      <c r="G8" s="119">
        <v>0.11060511579428933</v>
      </c>
      <c r="H8" s="119">
        <v>0.10112467729763619</v>
      </c>
      <c r="I8" s="119">
        <v>0.014220657744980159</v>
      </c>
      <c r="J8" s="119">
        <v>0.09480438496653343</v>
      </c>
      <c r="K8" s="119">
        <v>0.23069067008523225</v>
      </c>
      <c r="L8" s="119">
        <v>0.29345471704836634</v>
      </c>
      <c r="M8" s="119">
        <v>0.32040654864408946</v>
      </c>
      <c r="N8" s="119">
        <v>0.19399607124771912</v>
      </c>
      <c r="O8" s="119">
        <v>0.26967379101928834</v>
      </c>
      <c r="P8" s="119">
        <v>0.17210405957811714</v>
      </c>
      <c r="Q8" s="119">
        <v>0.3519820938051472</v>
      </c>
      <c r="R8" s="119">
        <v>0.37331519011941294</v>
      </c>
      <c r="S8" s="119">
        <v>0.40583059969428614</v>
      </c>
      <c r="T8" s="119">
        <v>0.45561565866642173</v>
      </c>
      <c r="U8" s="119">
        <v>0.22493670373800523</v>
      </c>
      <c r="V8" s="119">
        <v>0.3875215858512222</v>
      </c>
      <c r="W8" s="119">
        <v>0.12082337585539893</v>
      </c>
      <c r="X8" s="119">
        <v>0.22604807234809243</v>
      </c>
      <c r="Y8" s="119">
        <v>0.15852143519621542</v>
      </c>
      <c r="Z8" s="120">
        <v>0.15852143519621453</v>
      </c>
    </row>
    <row r="9" spans="1:26" ht="12.75">
      <c r="A9" s="115">
        <v>3</v>
      </c>
      <c r="B9" s="53" t="s">
        <v>132</v>
      </c>
      <c r="C9" s="119">
        <v>-0.2316114764409738</v>
      </c>
      <c r="D9" s="119">
        <v>0.025734608493441335</v>
      </c>
      <c r="E9" s="119">
        <v>-0.0772038254803249</v>
      </c>
      <c r="F9" s="119">
        <v>0.20587686794753202</v>
      </c>
      <c r="G9" s="119">
        <v>0.18014225945409157</v>
      </c>
      <c r="H9" s="119">
        <v>0.16470149435802606</v>
      </c>
      <c r="I9" s="119">
        <v>0.023161147644096935</v>
      </c>
      <c r="J9" s="119">
        <v>0.1544076509606498</v>
      </c>
      <c r="K9" s="119">
        <v>0.37572528400424643</v>
      </c>
      <c r="L9" s="119">
        <v>0.4710187887999773</v>
      </c>
      <c r="M9" s="119">
        <v>0.4900568968294605</v>
      </c>
      <c r="N9" s="119">
        <v>0.26409205201186126</v>
      </c>
      <c r="O9" s="119">
        <v>0.36628985241189493</v>
      </c>
      <c r="P9" s="119">
        <v>0.20820212337830224</v>
      </c>
      <c r="Q9" s="119">
        <v>0.48588854635594636</v>
      </c>
      <c r="R9" s="119">
        <v>0.5116961650823821</v>
      </c>
      <c r="S9" s="119">
        <v>0.5577070675224078</v>
      </c>
      <c r="T9" s="119">
        <v>0.6246098517885956</v>
      </c>
      <c r="U9" s="119">
        <v>0.2787917103196973</v>
      </c>
      <c r="V9" s="119">
        <v>0.5155312297576629</v>
      </c>
      <c r="W9" s="119">
        <v>0.13949001369810698</v>
      </c>
      <c r="X9" s="119">
        <v>0.31351383258114573</v>
      </c>
      <c r="Y9" s="119">
        <v>0.23182378253769365</v>
      </c>
      <c r="Z9" s="120">
        <v>0.23182378253769542</v>
      </c>
    </row>
    <row r="10" spans="1:26" ht="12.75">
      <c r="A10" s="115">
        <v>4</v>
      </c>
      <c r="B10" s="53" t="s">
        <v>132</v>
      </c>
      <c r="C10" s="119">
        <v>-0.44349127363958285</v>
      </c>
      <c r="D10" s="119">
        <v>0.04927680818217528</v>
      </c>
      <c r="E10" s="119">
        <v>-0.14783042454652762</v>
      </c>
      <c r="F10" s="119">
        <v>0.3942144654574067</v>
      </c>
      <c r="G10" s="119">
        <v>0.3449376572752314</v>
      </c>
      <c r="H10" s="119">
        <v>0.31537157236592606</v>
      </c>
      <c r="I10" s="119">
        <v>0.04434912736395802</v>
      </c>
      <c r="J10" s="119">
        <v>0.29566084909305523</v>
      </c>
      <c r="K10" s="119">
        <v>0.7194413994597681</v>
      </c>
      <c r="L10" s="119">
        <v>1.0289971568634728</v>
      </c>
      <c r="M10" s="119">
        <v>0.8603364503070416</v>
      </c>
      <c r="N10" s="119">
        <v>0.22856008622463797</v>
      </c>
      <c r="O10" s="119">
        <v>0.05581384001039247</v>
      </c>
      <c r="P10" s="119">
        <v>-0.26200139956319735</v>
      </c>
      <c r="Q10" s="121">
        <v>0.16368729215000766</v>
      </c>
      <c r="R10" s="121">
        <v>0.1312110036472518</v>
      </c>
      <c r="S10" s="121">
        <v>0.15943637138360955</v>
      </c>
      <c r="T10" s="121">
        <v>0.16137141033202695</v>
      </c>
      <c r="U10" s="121">
        <v>-0.26470583040089046</v>
      </c>
      <c r="V10" s="121">
        <v>-0.04586594626426077</v>
      </c>
      <c r="W10" s="121">
        <v>-0.26165958473585427</v>
      </c>
      <c r="X10" s="121">
        <v>0.12222714471001517</v>
      </c>
      <c r="Y10" s="121">
        <v>0.22502584385144075</v>
      </c>
      <c r="Z10" s="122">
        <v>0.22502584385143898</v>
      </c>
    </row>
    <row r="11" spans="1:26" ht="12.75">
      <c r="A11" s="115">
        <v>5</v>
      </c>
      <c r="B11" s="53" t="s">
        <v>132</v>
      </c>
      <c r="C11" s="119">
        <v>-0.1923672678819579</v>
      </c>
      <c r="D11" s="119">
        <v>0.021374140875773273</v>
      </c>
      <c r="E11" s="119">
        <v>-0.06412242262731982</v>
      </c>
      <c r="F11" s="119">
        <v>0.17099312700618507</v>
      </c>
      <c r="G11" s="119">
        <v>0.14961898613041158</v>
      </c>
      <c r="H11" s="119">
        <v>0.13679450160494744</v>
      </c>
      <c r="I11" s="119">
        <v>0.0192367267881961</v>
      </c>
      <c r="J11" s="119">
        <v>0.1282448452546383</v>
      </c>
      <c r="K11" s="119">
        <v>0.31206245678628663</v>
      </c>
      <c r="L11" s="119">
        <v>0.40023907855231267</v>
      </c>
      <c r="M11" s="119">
        <v>0.37762178303254856</v>
      </c>
      <c r="N11" s="119">
        <v>0.15532185687538114</v>
      </c>
      <c r="O11" s="119">
        <v>0.18679015977136304</v>
      </c>
      <c r="P11" s="119">
        <v>0.05441537129604823</v>
      </c>
      <c r="Q11" s="119">
        <v>0.26357689884433766</v>
      </c>
      <c r="R11" s="119">
        <v>0.27032193646681346</v>
      </c>
      <c r="S11" s="119">
        <v>0.29752347749649033</v>
      </c>
      <c r="T11" s="119">
        <v>0.33018528707769335</v>
      </c>
      <c r="U11" s="119">
        <v>0.08804075768046271</v>
      </c>
      <c r="V11" s="119">
        <v>0.24097185129093823</v>
      </c>
      <c r="W11" s="119">
        <v>0.0212806793416922</v>
      </c>
      <c r="X11" s="119">
        <v>0.17299670431558045</v>
      </c>
      <c r="Y11" s="119">
        <v>0.15164632453952986</v>
      </c>
      <c r="Z11" s="120">
        <v>0.15164632453952986</v>
      </c>
    </row>
    <row r="12" spans="1:26" ht="12.75">
      <c r="A12" s="115">
        <v>1</v>
      </c>
      <c r="B12" s="53" t="s">
        <v>133</v>
      </c>
      <c r="C12" s="119">
        <v>-0.11645797159833005</v>
      </c>
      <c r="D12" s="119">
        <v>0.01293977462203677</v>
      </c>
      <c r="E12" s="119">
        <v>-0.03881932386611009</v>
      </c>
      <c r="F12" s="119">
        <v>0.10351819697629328</v>
      </c>
      <c r="G12" s="119">
        <v>0.0905784223542565</v>
      </c>
      <c r="H12" s="119">
        <v>0.08281455758103462</v>
      </c>
      <c r="I12" s="119">
        <v>0.01164579715983316</v>
      </c>
      <c r="J12" s="119">
        <v>0.07763864773221996</v>
      </c>
      <c r="K12" s="119">
        <v>0.18892070948173512</v>
      </c>
      <c r="L12" s="119">
        <v>0.21598886786922744</v>
      </c>
      <c r="M12" s="119">
        <v>0.22118783856067337</v>
      </c>
      <c r="N12" s="119">
        <v>0.10759428125809789</v>
      </c>
      <c r="O12" s="119">
        <v>0.176011786551467</v>
      </c>
      <c r="P12" s="119">
        <v>0.09900096213228649</v>
      </c>
      <c r="Q12" s="119">
        <v>0.23380118620202106</v>
      </c>
      <c r="R12" s="119">
        <v>0.2460728145735427</v>
      </c>
      <c r="S12" s="119">
        <v>0.26825776406932844</v>
      </c>
      <c r="T12" s="119">
        <v>0.30037688891348857</v>
      </c>
      <c r="U12" s="119">
        <v>0.13287317674380716</v>
      </c>
      <c r="V12" s="119">
        <v>0.24728324953334146</v>
      </c>
      <c r="W12" s="119">
        <v>0.06602149564563708</v>
      </c>
      <c r="X12" s="119">
        <v>0.15091657303501638</v>
      </c>
      <c r="Y12" s="119">
        <v>0.11207261976638616</v>
      </c>
      <c r="Z12" s="120">
        <v>0.11207261976638705</v>
      </c>
    </row>
    <row r="13" spans="1:26" ht="12.75">
      <c r="A13" s="115">
        <v>2</v>
      </c>
      <c r="B13" s="53" t="s">
        <v>133</v>
      </c>
      <c r="C13" s="119">
        <v>-1.1272869748623897</v>
      </c>
      <c r="D13" s="119">
        <v>0.1252541083180443</v>
      </c>
      <c r="E13" s="119">
        <v>-0.3757623249541311</v>
      </c>
      <c r="F13" s="119">
        <v>1.0020328665443472</v>
      </c>
      <c r="G13" s="119">
        <v>0.8767787582263029</v>
      </c>
      <c r="H13" s="119">
        <v>0.8016262932354774</v>
      </c>
      <c r="I13" s="119">
        <v>0.11272869748624004</v>
      </c>
      <c r="J13" s="119">
        <v>0.7515246499082568</v>
      </c>
      <c r="K13" s="119">
        <v>1.828709981443433</v>
      </c>
      <c r="L13" s="119">
        <v>2.3295749766432383</v>
      </c>
      <c r="M13" s="119">
        <v>1.6389586215882375</v>
      </c>
      <c r="N13" s="119">
        <v>-0.13988006020486665</v>
      </c>
      <c r="O13" s="119">
        <v>-0.5758570832139895</v>
      </c>
      <c r="P13" s="119">
        <v>-1.3496985083027155</v>
      </c>
      <c r="Q13" s="119">
        <v>-0.45183855386678573</v>
      </c>
      <c r="R13" s="119">
        <v>-0.6191399431740621</v>
      </c>
      <c r="S13" s="119">
        <v>-0.6176340975124415</v>
      </c>
      <c r="T13" s="119">
        <v>-0.7515627098614779</v>
      </c>
      <c r="U13" s="119">
        <v>-1.5075273191242164</v>
      </c>
      <c r="V13" s="119">
        <v>-1.2435567947814885</v>
      </c>
      <c r="W13" s="119">
        <v>-1.2040406985146959</v>
      </c>
      <c r="X13" s="119">
        <v>-0.23372937536977823</v>
      </c>
      <c r="Y13" s="119">
        <v>0.29583745563934905</v>
      </c>
      <c r="Z13" s="120">
        <v>0.2958374556393508</v>
      </c>
    </row>
    <row r="14" spans="1:26" ht="12.75">
      <c r="A14" s="115">
        <v>3</v>
      </c>
      <c r="B14" s="53" t="s">
        <v>133</v>
      </c>
      <c r="C14" s="119">
        <v>-0.4320184185618907</v>
      </c>
      <c r="D14" s="119">
        <v>0.04800204650687645</v>
      </c>
      <c r="E14" s="119">
        <v>-0.14400613952063024</v>
      </c>
      <c r="F14" s="119">
        <v>0.3840163720550138</v>
      </c>
      <c r="G14" s="119">
        <v>0.33601432554813826</v>
      </c>
      <c r="H14" s="119">
        <v>0.30721309764401017</v>
      </c>
      <c r="I14" s="119">
        <v>0.04320184185618903</v>
      </c>
      <c r="J14" s="119">
        <v>0.2880122790412605</v>
      </c>
      <c r="K14" s="119">
        <v>0.7008298790003993</v>
      </c>
      <c r="L14" s="119">
        <v>0.8332540196580887</v>
      </c>
      <c r="M14" s="119">
        <v>0.823560799710231</v>
      </c>
      <c r="N14" s="119">
        <v>0.37149092592510335</v>
      </c>
      <c r="O14" s="119">
        <v>0.5583928356645655</v>
      </c>
      <c r="P14" s="119">
        <v>0.26890421836008116</v>
      </c>
      <c r="Q14" s="121">
        <v>0.7555158834521833</v>
      </c>
      <c r="R14" s="121">
        <v>0.7888478083565111</v>
      </c>
      <c r="S14" s="121">
        <v>0.8624916635486528</v>
      </c>
      <c r="T14" s="121">
        <v>0.9631185055681044</v>
      </c>
      <c r="U14" s="121">
        <v>0.3742927639372944</v>
      </c>
      <c r="V14" s="121">
        <v>0.7653643904740193</v>
      </c>
      <c r="W14" s="121">
        <v>0.16594053544622334</v>
      </c>
      <c r="X14" s="121">
        <v>0.49022977310560556</v>
      </c>
      <c r="Y14" s="121">
        <v>0.38472268845970703</v>
      </c>
      <c r="Z14" s="122">
        <v>0.3847226884597106</v>
      </c>
    </row>
    <row r="15" spans="1:26" ht="12.75">
      <c r="A15" s="115">
        <v>4</v>
      </c>
      <c r="B15" s="53" t="s">
        <v>133</v>
      </c>
      <c r="C15" s="119">
        <v>-0.42008008632406657</v>
      </c>
      <c r="D15" s="119">
        <v>0.04667556514711846</v>
      </c>
      <c r="E15" s="119">
        <v>-0.14002669544135582</v>
      </c>
      <c r="F15" s="119">
        <v>0.3734045211769481</v>
      </c>
      <c r="G15" s="119">
        <v>0.32672895602982877</v>
      </c>
      <c r="H15" s="119">
        <v>0.29872361694155813</v>
      </c>
      <c r="I15" s="119">
        <v>0.04200800863240772</v>
      </c>
      <c r="J15" s="119">
        <v>0.28005339088270986</v>
      </c>
      <c r="K15" s="119">
        <v>0.681463251147929</v>
      </c>
      <c r="L15" s="119">
        <v>0.9327396695813244</v>
      </c>
      <c r="M15" s="119">
        <v>0.7798265548434449</v>
      </c>
      <c r="N15" s="119">
        <v>0.1948782677416574</v>
      </c>
      <c r="O15" s="119">
        <v>0.08337134809990498</v>
      </c>
      <c r="P15" s="119">
        <v>-0.212681422280812</v>
      </c>
      <c r="Q15" s="119">
        <v>0.18997039977900698</v>
      </c>
      <c r="R15" s="119">
        <v>0.16360755118093362</v>
      </c>
      <c r="S15" s="119">
        <v>0.19286369969347472</v>
      </c>
      <c r="T15" s="119">
        <v>0.2007784945790032</v>
      </c>
      <c r="U15" s="119">
        <v>-0.2085327486235773</v>
      </c>
      <c r="V15" s="119">
        <v>0.007176102220158853</v>
      </c>
      <c r="W15" s="119">
        <v>-0.218747965591497</v>
      </c>
      <c r="X15" s="119">
        <v>0.13728280096020473</v>
      </c>
      <c r="Y15" s="119">
        <v>0.220730345814796</v>
      </c>
      <c r="Z15" s="120">
        <v>0.22073034581479511</v>
      </c>
    </row>
    <row r="16" spans="1:26" ht="13.5" thickBot="1">
      <c r="A16" s="117">
        <v>5</v>
      </c>
      <c r="B16" s="53" t="s">
        <v>133</v>
      </c>
      <c r="C16" s="123">
        <v>-0.2974894418346521</v>
      </c>
      <c r="D16" s="123">
        <v>0.033054382426072504</v>
      </c>
      <c r="E16" s="123">
        <v>-0.09916314727821707</v>
      </c>
      <c r="F16" s="123">
        <v>0.2644350594085787</v>
      </c>
      <c r="G16" s="123">
        <v>0.23138067698250708</v>
      </c>
      <c r="H16" s="123">
        <v>0.2115480475268634</v>
      </c>
      <c r="I16" s="123">
        <v>0.029748944183464854</v>
      </c>
      <c r="J16" s="123">
        <v>0.19832629455643414</v>
      </c>
      <c r="K16" s="123">
        <v>0.4825939834206574</v>
      </c>
      <c r="L16" s="123">
        <v>0.6100716341007519</v>
      </c>
      <c r="M16" s="123">
        <v>0.5142526703252663</v>
      </c>
      <c r="N16" s="123">
        <v>0.11986099752691182</v>
      </c>
      <c r="O16" s="123">
        <v>0.10845070652654165</v>
      </c>
      <c r="P16" s="123">
        <v>-0.09520624102373976</v>
      </c>
      <c r="Q16" s="123">
        <v>0.19173435087113688</v>
      </c>
      <c r="R16" s="123">
        <v>0.17993309577897154</v>
      </c>
      <c r="S16" s="123">
        <v>0.20488448791951264</v>
      </c>
      <c r="T16" s="123">
        <v>0.22028248308067866</v>
      </c>
      <c r="U16" s="123">
        <v>-0.08149413944716688</v>
      </c>
      <c r="V16" s="123">
        <v>0.0861970782984196</v>
      </c>
      <c r="W16" s="123">
        <v>-0.10977687156123572</v>
      </c>
      <c r="X16" s="123">
        <v>0.13258401690181731</v>
      </c>
      <c r="Y16" s="123">
        <v>0.16993907585837942</v>
      </c>
      <c r="Z16" s="124">
        <v>0.1699390758583803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zonneke</dc:creator>
  <cp:keywords/>
  <dc:description/>
  <cp:lastModifiedBy>Rogiers Nele</cp:lastModifiedBy>
  <cp:lastPrinted>2009-11-02T16:05:00Z</cp:lastPrinted>
  <dcterms:created xsi:type="dcterms:W3CDTF">2008-11-22T20:42:29Z</dcterms:created>
  <dcterms:modified xsi:type="dcterms:W3CDTF">2010-03-10T15:34:57Z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COO.2002.100.7.3714363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