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10" yWindow="15" windowWidth="9150" windowHeight="11865" activeTab="0"/>
  </bookViews>
  <sheets>
    <sheet name="Charges acoustiques" sheetId="1" r:id="rId1"/>
    <sheet name="Coûts" sheetId="2" r:id="rId2"/>
    <sheet name="Rapport" sheetId="3" r:id="rId3"/>
    <sheet name="Détails WTI" sheetId="4" r:id="rId4"/>
    <sheet name="Détails WI" sheetId="5" r:id="rId5"/>
    <sheet name="Grundlagen" sheetId="6" state="hidden" r:id="rId6"/>
  </sheets>
  <definedNames>
    <definedName name="_xlnm.Print_Area" localSheetId="0">'Charges acoustiques'!$A$1:$L$40</definedName>
    <definedName name="_xlnm.Print_Area" localSheetId="1">'Coûts'!$A$1:$P$23</definedName>
    <definedName name="_xlnm.Print_Area" localSheetId="2">'Rapport'!$A$1:$I$83</definedName>
  </definedNames>
  <calcPr fullCalcOnLoad="1"/>
</workbook>
</file>

<file path=xl/sharedStrings.xml><?xml version="1.0" encoding="utf-8"?>
<sst xmlns="http://schemas.openxmlformats.org/spreadsheetml/2006/main" count="344" uniqueCount="178">
  <si>
    <t>ES</t>
  </si>
  <si>
    <t>Tag</t>
  </si>
  <si>
    <t>Nacht</t>
  </si>
  <si>
    <t>Etage</t>
  </si>
  <si>
    <t>III</t>
  </si>
  <si>
    <t>WTI</t>
  </si>
  <si>
    <t>Effizienz</t>
  </si>
  <si>
    <t>Effektivtät</t>
  </si>
  <si>
    <t>WE</t>
  </si>
  <si>
    <t>Grenzwerte</t>
  </si>
  <si>
    <t>PW</t>
  </si>
  <si>
    <t>IGW</t>
  </si>
  <si>
    <t>AW</t>
  </si>
  <si>
    <t>II</t>
  </si>
  <si>
    <t>IIB</t>
  </si>
  <si>
    <t>IIIB</t>
  </si>
  <si>
    <t>IV</t>
  </si>
  <si>
    <t>Gewichtung WTI</t>
  </si>
  <si>
    <t>x3</t>
  </si>
  <si>
    <t>WohnenTag</t>
  </si>
  <si>
    <t>Wohnen Nacht</t>
  </si>
  <si>
    <t>Gewerbe Tag</t>
  </si>
  <si>
    <t>Gewerbe Nacht</t>
  </si>
  <si>
    <t>Lr</t>
  </si>
  <si>
    <t>BGF</t>
  </si>
  <si>
    <t>LK1</t>
  </si>
  <si>
    <t>LK2</t>
  </si>
  <si>
    <t>LK3</t>
  </si>
  <si>
    <t>Ausblenden!</t>
  </si>
  <si>
    <t>Kapitalverzins. + Amortisation [%]</t>
  </si>
  <si>
    <t>Amortisation [%]</t>
  </si>
  <si>
    <r>
      <t>GF</t>
    </r>
    <r>
      <rPr>
        <vertAlign val="subscript"/>
        <sz val="9"/>
        <rFont val="Arial"/>
        <family val="2"/>
      </rPr>
      <t>lärm</t>
    </r>
  </si>
  <si>
    <t>Ausbaugrad mit Zusatznutzen</t>
  </si>
  <si>
    <t>aktueller Ausbaugrad</t>
  </si>
  <si>
    <t>Anz. Gebäude mit</t>
  </si>
  <si>
    <t>ausblenden!</t>
  </si>
  <si>
    <t>gesenkt. Lärmbel.</t>
  </si>
  <si>
    <t>max. IGW-Ü in dBA</t>
  </si>
  <si>
    <t>max. AW-Überschreitung in dBA</t>
  </si>
  <si>
    <t>ohne Massnahme</t>
  </si>
  <si>
    <t>mit Massnahme</t>
  </si>
  <si>
    <t>Mesures:</t>
  </si>
  <si>
    <t xml:space="preserve">Remarques: </t>
  </si>
  <si>
    <t>Lieu / Situation:</t>
  </si>
  <si>
    <t>Désignation du projet:</t>
  </si>
  <si>
    <t>Règles pour la saisie:</t>
  </si>
  <si>
    <t>N° objet</t>
  </si>
  <si>
    <t>N° point</t>
  </si>
  <si>
    <t>DS</t>
  </si>
  <si>
    <t>Parc.</t>
  </si>
  <si>
    <t>Lr sans mesures</t>
  </si>
  <si>
    <t>Lr avec mesures</t>
  </si>
  <si>
    <t>Jour</t>
  </si>
  <si>
    <t>Nuit</t>
  </si>
  <si>
    <t>Efficacité</t>
  </si>
  <si>
    <t>2. Charges acoustiques</t>
  </si>
  <si>
    <t>Revêtement-référence</t>
  </si>
  <si>
    <t>Coûts d'investissement</t>
  </si>
  <si>
    <t>Coûts annuels</t>
  </si>
  <si>
    <t>3. Coûts des mesures de protection contre le bruit</t>
  </si>
  <si>
    <t>Coûts d'investis. Total [CHF]</t>
  </si>
  <si>
    <t>Somme</t>
  </si>
  <si>
    <t>Intérêts capital [%]</t>
  </si>
  <si>
    <t>Entretien et exploitation [%]</t>
  </si>
  <si>
    <t>Durée de vie
[années]</t>
  </si>
  <si>
    <t>Type de revêtement</t>
  </si>
  <si>
    <t>Coûts finan-ciers [CHF]</t>
  </si>
  <si>
    <t>Coûts d'amortis-sement [CHF]</t>
  </si>
  <si>
    <t>Coûts entretien + exploit. [CHF]</t>
  </si>
  <si>
    <t>Coûts annuels [CHF]</t>
  </si>
  <si>
    <t>Total</t>
  </si>
  <si>
    <t>Différence</t>
  </si>
  <si>
    <t>TOTAL coûts annuels</t>
  </si>
  <si>
    <r>
      <t>Coûts revête-ment [CHF/m</t>
    </r>
    <r>
      <rPr>
        <vertAlign val="superscript"/>
        <sz val="9"/>
        <rFont val="Arial"/>
        <family val="2"/>
      </rPr>
      <t>2</t>
    </r>
    <r>
      <rPr>
        <sz val="9"/>
        <rFont val="Arial"/>
        <family val="2"/>
      </rPr>
      <t>]</t>
    </r>
  </si>
  <si>
    <t>TOTAL coûts d'investissement</t>
  </si>
  <si>
    <t>Coûts suppl. dus au bruit (diff. par rapport au revêtement-réf.)</t>
  </si>
  <si>
    <t>Description des coûts</t>
  </si>
  <si>
    <t xml:space="preserve">
Rapport</t>
  </si>
  <si>
    <t>Enoncé du projet</t>
  </si>
  <si>
    <t>N° objet.</t>
  </si>
  <si>
    <t xml:space="preserve">Mesures: </t>
  </si>
  <si>
    <t>&gt; 4e étage</t>
  </si>
  <si>
    <t>2e étage</t>
  </si>
  <si>
    <t>3e étage</t>
  </si>
  <si>
    <t>1er étage</t>
  </si>
  <si>
    <t>RC</t>
  </si>
  <si>
    <t>sans mesures</t>
  </si>
  <si>
    <t>avec mesures</t>
  </si>
  <si>
    <t>Nbre personnes avec dépassement VLI</t>
  </si>
  <si>
    <t>Coûts des mesures de protection contre le bruit</t>
  </si>
  <si>
    <t>TOTAL coûts</t>
  </si>
  <si>
    <t>pas de remplacement du revêtement</t>
  </si>
  <si>
    <t>Coûts supplémentaires dus au bruit (diff. par rapport au revêtement de référence)</t>
  </si>
  <si>
    <t>Coûts d'investissement [CHF]</t>
  </si>
  <si>
    <t>Coûts annuels [CHF/a]</t>
  </si>
  <si>
    <t>Caractère économiquement supportable</t>
  </si>
  <si>
    <t>Efficience</t>
  </si>
  <si>
    <t>densité de constr. actuelle</t>
  </si>
  <si>
    <t>densité de constr. 100%</t>
  </si>
  <si>
    <t>Préjudice / Utilité</t>
  </si>
  <si>
    <t>Préjudice dû au bruit dans l'état…</t>
  </si>
  <si>
    <t>… sans mesures [CHF/a]</t>
  </si>
  <si>
    <t>… avec mesures [CHF/a]</t>
  </si>
  <si>
    <t>Utilité des mesures [CHF/a]</t>
  </si>
  <si>
    <t>Enquête conformément à l'art. 20 OPB (Etat de l'assainissement du bruit routier)</t>
  </si>
  <si>
    <t>Nombre de bâtiments avec réduction du bruit*</t>
  </si>
  <si>
    <t>Situation</t>
  </si>
  <si>
    <t>avant l'assainissement</t>
  </si>
  <si>
    <t>après l'assainissement</t>
  </si>
  <si>
    <t>Nombre de bâtiments &gt; VLI</t>
  </si>
  <si>
    <t>Nombre de bâtiments &gt; VA</t>
  </si>
  <si>
    <t>Nombre de personnes &gt; VLI</t>
  </si>
  <si>
    <t>Nombre de personnes &gt; VA</t>
  </si>
  <si>
    <t>densité de construction actuelle</t>
  </si>
  <si>
    <t>Détails du calcul de l'indice WTI</t>
  </si>
  <si>
    <t>Objet</t>
  </si>
  <si>
    <t>Point</t>
  </si>
  <si>
    <t>actuel oui/non</t>
  </si>
  <si>
    <t>VLI</t>
  </si>
  <si>
    <t>&gt; VLI</t>
  </si>
  <si>
    <t>oui/non</t>
  </si>
  <si>
    <t>VA</t>
  </si>
  <si>
    <t>&gt; VA</t>
  </si>
  <si>
    <t>Nbre pers.</t>
  </si>
  <si>
    <t>&gt; VLI - 5</t>
  </si>
  <si>
    <t>BGF*dépassement</t>
  </si>
  <si>
    <t>Préjudice avec &gt; VLI</t>
  </si>
  <si>
    <t>BGF* (&gt;VLI)</t>
  </si>
  <si>
    <t>Préjudice: actuel [Fr]</t>
  </si>
  <si>
    <t>Préjudice avec &gt;VLI</t>
  </si>
  <si>
    <t>BGF*(&gt;VLI)</t>
  </si>
  <si>
    <t>Préjudice &lt; VLI</t>
  </si>
  <si>
    <t>Préjudice total</t>
  </si>
  <si>
    <t>Utilité</t>
  </si>
  <si>
    <t>Utilité sans &gt;VLI</t>
  </si>
  <si>
    <t>Coûts</t>
  </si>
  <si>
    <t>actuel</t>
  </si>
  <si>
    <t>avec utilité suppl.</t>
  </si>
  <si>
    <t>Utilité non pondérée</t>
  </si>
  <si>
    <t>Utilité pondérée</t>
  </si>
  <si>
    <t>WIstr non pondéré</t>
  </si>
  <si>
    <t>WIstr pondéré</t>
  </si>
  <si>
    <t>Hypothèse: 3 personnes par unité d'habitation (WE)</t>
  </si>
  <si>
    <t>&gt;VLI</t>
  </si>
  <si>
    <t>Période critique</t>
  </si>
  <si>
    <t>Affectation</t>
  </si>
  <si>
    <t>Facteur</t>
  </si>
  <si>
    <t>Limite</t>
  </si>
  <si>
    <t>inférieure</t>
  </si>
  <si>
    <t>partielle</t>
  </si>
  <si>
    <t>Efficac. part. pondérée</t>
  </si>
  <si>
    <t>Efficacité résiduelle</t>
  </si>
  <si>
    <t xml:space="preserve">Facteur </t>
  </si>
  <si>
    <t xml:space="preserve">Limite </t>
  </si>
  <si>
    <t>Densité constr. actuelle</t>
  </si>
  <si>
    <t>Avec utilité supplém.</t>
  </si>
  <si>
    <t>*) La charge acoustique doit être diminuée de 1.0 dBA à un étage (avec utilisation sensible au bruit) du bâtiment au moins et la charge acoustique doit être supérieure aux valeurs limites d'immission (VLI) dans l'état sans assainissement.
**) L'indice Wistr est calculé pour les mesures de protection dans le champs de propagation du bruit lors de l'enquête selon l'art. 20 OPB. L'indice WIstr ne peut pas être utilisé pour l'enquête lorsque celui-ci inclut les coûts et l'efficacité de l'assainissement du revêtement.</t>
  </si>
  <si>
    <t>Préjudice: avec utilité suppl. [Fr]</t>
  </si>
  <si>
    <t>Détails du calcul de l'indice WIStr</t>
  </si>
  <si>
    <t>Efficacité [%]</t>
  </si>
  <si>
    <t xml:space="preserve">Caractère économiquement supportable des mesures de protection contre le bruit </t>
  </si>
  <si>
    <t>sans pondération [CHF/dBA*pers*an]</t>
  </si>
  <si>
    <t>avec pondération [CHF/dBA*pers*an]</t>
  </si>
  <si>
    <t xml:space="preserve">Loyer [CHF/m2*an] </t>
  </si>
  <si>
    <t>Coefficient de loyer</t>
  </si>
  <si>
    <t>Facteurs de pondération:</t>
  </si>
  <si>
    <t>Dépassement VLI max. en dBA</t>
  </si>
  <si>
    <t>Indice d'efficacité-route (WIstr)</t>
  </si>
  <si>
    <t>densité de construction 100% (avec utilité supplémentaire)</t>
  </si>
  <si>
    <t>sans mesures d'assainissement</t>
  </si>
  <si>
    <t>avec mesures d'assainissement</t>
  </si>
  <si>
    <t>Caractère économiquement supportable et proportionnalité des mesures de protection contre le bruit (installations existantes)</t>
  </si>
  <si>
    <t>1. Enoncé du projet</t>
  </si>
  <si>
    <t>Efficacité acoustique des mesures de protection contre le bruit</t>
  </si>
  <si>
    <t>Efficacité acoustique des mesures de protection contre le bruit en dBA*</t>
  </si>
  <si>
    <t>*) Pour chaque bâtiment, indiquer l'efficacité acoustique de la mesure au point le plus exposé de l'étage correspondant. Si le bâtiment comprend plus de 4 étages, indiquer dans la colonne "&gt; 4e étage" l'efficacité maximale constatée à partir du 4e étage.</t>
  </si>
  <si>
    <t>Part de l'utilité attribuée aux objets avec charge acoustique entre VLI-5dBA et VLI dans l'état initial</t>
  </si>
  <si>
    <t>Version 1.1</t>
  </si>
</sst>
</file>

<file path=xl/styles.xml><?xml version="1.0" encoding="utf-8"?>
<styleSheet xmlns="http://schemas.openxmlformats.org/spreadsheetml/2006/main">
  <numFmts count="3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Fr.&quot;;\-#,##0\ &quot;Fr.&quot;"/>
    <numFmt numFmtId="165" formatCode="#,##0\ &quot;Fr.&quot;;[Red]\-#,##0\ &quot;Fr.&quot;"/>
    <numFmt numFmtId="166" formatCode="#,##0.00\ &quot;Fr.&quot;;\-#,##0.00\ &quot;Fr.&quot;"/>
    <numFmt numFmtId="167" formatCode="#,##0.00\ &quot;Fr.&quot;;[Red]\-#,##0.00\ &quot;Fr.&quot;"/>
    <numFmt numFmtId="168" formatCode="_-* #,##0\ &quot;Fr.&quot;_-;\-* #,##0\ &quot;Fr.&quot;_-;_-* &quot;-&quot;\ &quot;Fr.&quot;_-;_-@_-"/>
    <numFmt numFmtId="169" formatCode="_-* #,##0\ _F_r_._-;\-* #,##0\ _F_r_._-;_-* &quot;-&quot;\ _F_r_._-;_-@_-"/>
    <numFmt numFmtId="170" formatCode="_-* #,##0.00\ &quot;Fr.&quot;_-;\-* #,##0.00\ &quot;Fr.&quot;_-;_-* &quot;-&quot;??\ &quot;Fr.&quot;_-;_-@_-"/>
    <numFmt numFmtId="171" formatCode="_-* #,##0.00\ _F_r_._-;\-* #,##0.00\ _F_r_._-;_-* &quot;-&quot;??\ _F_r_._-;_-@_-"/>
    <numFmt numFmtId="172" formatCode="0.0%"/>
    <numFmt numFmtId="173" formatCode="0.0000000"/>
    <numFmt numFmtId="174" formatCode="0.000000"/>
    <numFmt numFmtId="175" formatCode="0.00000"/>
    <numFmt numFmtId="176" formatCode="0.0000"/>
    <numFmt numFmtId="177" formatCode="0.000"/>
    <numFmt numFmtId="178" formatCode="0.0"/>
    <numFmt numFmtId="179" formatCode="0.00000000"/>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00"/>
    <numFmt numFmtId="186" formatCode="0.000000000"/>
    <numFmt numFmtId="187" formatCode="&quot;+&quot;#;&quot;-&quot;#;&quot;&quot;"/>
    <numFmt numFmtId="188" formatCode="&quot;+&quot;#;&quot;-&quot;#;&quot;&quot;0"/>
    <numFmt numFmtId="189" formatCode="&quot;+&quot;#.0;&quot;-&quot;#.0;&quot;&quot;0.0"/>
  </numFmts>
  <fonts count="20">
    <font>
      <sz val="10"/>
      <name val="Arial"/>
      <family val="0"/>
    </font>
    <font>
      <sz val="8"/>
      <name val="Arial"/>
      <family val="0"/>
    </font>
    <font>
      <b/>
      <sz val="10"/>
      <name val="Arial"/>
      <family val="2"/>
    </font>
    <font>
      <b/>
      <sz val="12"/>
      <name val="Arial"/>
      <family val="2"/>
    </font>
    <font>
      <i/>
      <sz val="8"/>
      <name val="Arial"/>
      <family val="2"/>
    </font>
    <font>
      <u val="single"/>
      <sz val="10"/>
      <color indexed="36"/>
      <name val="Arial"/>
      <family val="0"/>
    </font>
    <font>
      <u val="single"/>
      <sz val="10"/>
      <color indexed="12"/>
      <name val="Arial"/>
      <family val="0"/>
    </font>
    <font>
      <b/>
      <sz val="8"/>
      <name val="Arial"/>
      <family val="2"/>
    </font>
    <font>
      <b/>
      <vertAlign val="subscript"/>
      <sz val="8"/>
      <name val="Arial"/>
      <family val="2"/>
    </font>
    <font>
      <vertAlign val="subscript"/>
      <sz val="8"/>
      <name val="Arial"/>
      <family val="2"/>
    </font>
    <font>
      <vertAlign val="superscript"/>
      <sz val="8"/>
      <name val="Arial"/>
      <family val="2"/>
    </font>
    <font>
      <b/>
      <sz val="9"/>
      <name val="Arial"/>
      <family val="2"/>
    </font>
    <font>
      <sz val="9"/>
      <name val="Arial"/>
      <family val="2"/>
    </font>
    <font>
      <i/>
      <sz val="9"/>
      <name val="Arial"/>
      <family val="2"/>
    </font>
    <font>
      <b/>
      <sz val="11"/>
      <name val="Arial"/>
      <family val="2"/>
    </font>
    <font>
      <sz val="11"/>
      <name val="Arial"/>
      <family val="2"/>
    </font>
    <font>
      <vertAlign val="subscript"/>
      <sz val="9"/>
      <name val="Arial"/>
      <family val="2"/>
    </font>
    <font>
      <vertAlign val="superscript"/>
      <sz val="9"/>
      <name val="Arial"/>
      <family val="2"/>
    </font>
    <font>
      <b/>
      <sz val="14"/>
      <name val="Arial"/>
      <family val="2"/>
    </font>
    <font>
      <sz val="12"/>
      <name val="Arial"/>
      <family val="2"/>
    </font>
  </fonts>
  <fills count="9">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s>
  <borders count="3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3" fillId="0" borderId="0" xfId="0" applyFont="1" applyAlignment="1">
      <alignment/>
    </xf>
    <xf numFmtId="0" fontId="0" fillId="0" borderId="0" xfId="0" applyFill="1" applyBorder="1" applyAlignment="1">
      <alignment/>
    </xf>
    <xf numFmtId="0" fontId="0" fillId="0" borderId="5" xfId="0" applyFill="1" applyBorder="1" applyAlignment="1">
      <alignment/>
    </xf>
    <xf numFmtId="0" fontId="2" fillId="0" borderId="0" xfId="0" applyFont="1" applyAlignment="1">
      <alignment/>
    </xf>
    <xf numFmtId="0" fontId="0" fillId="2" borderId="0" xfId="0" applyFill="1" applyAlignment="1">
      <alignment/>
    </xf>
    <xf numFmtId="0" fontId="0" fillId="2" borderId="0" xfId="0" applyFill="1" applyBorder="1" applyAlignment="1">
      <alignment vertical="top" wrapText="1"/>
    </xf>
    <xf numFmtId="0" fontId="0" fillId="3" borderId="0" xfId="0" applyFill="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Alignment="1">
      <alignment/>
    </xf>
    <xf numFmtId="0" fontId="2" fillId="0" borderId="0" xfId="0" applyFont="1" applyFill="1" applyAlignment="1">
      <alignment/>
    </xf>
    <xf numFmtId="0" fontId="0" fillId="2" borderId="5" xfId="0" applyFill="1" applyBorder="1" applyAlignment="1">
      <alignment/>
    </xf>
    <xf numFmtId="0" fontId="0" fillId="4" borderId="5" xfId="0" applyFill="1" applyBorder="1" applyAlignment="1">
      <alignment/>
    </xf>
    <xf numFmtId="0" fontId="0" fillId="5" borderId="5" xfId="0" applyFill="1" applyBorder="1" applyAlignment="1">
      <alignment/>
    </xf>
    <xf numFmtId="0" fontId="0" fillId="6" borderId="5" xfId="0" applyFill="1" applyBorder="1" applyAlignment="1">
      <alignment/>
    </xf>
    <xf numFmtId="0" fontId="0" fillId="3" borderId="5" xfId="0" applyFill="1" applyBorder="1" applyAlignment="1">
      <alignment/>
    </xf>
    <xf numFmtId="0" fontId="0" fillId="0" borderId="13" xfId="0" applyFill="1" applyBorder="1" applyAlignment="1">
      <alignment/>
    </xf>
    <xf numFmtId="0" fontId="0" fillId="0" borderId="12" xfId="0" applyFill="1" applyBorder="1" applyAlignment="1">
      <alignment/>
    </xf>
    <xf numFmtId="0" fontId="0" fillId="2" borderId="3" xfId="0" applyFill="1" applyBorder="1" applyAlignment="1">
      <alignment/>
    </xf>
    <xf numFmtId="0" fontId="0" fillId="4" borderId="4" xfId="0" applyFill="1" applyBorder="1" applyAlignment="1">
      <alignment/>
    </xf>
    <xf numFmtId="0" fontId="0" fillId="5" borderId="4" xfId="0" applyFill="1" applyBorder="1" applyAlignment="1">
      <alignment/>
    </xf>
    <xf numFmtId="0" fontId="0" fillId="6" borderId="4" xfId="0" applyFill="1" applyBorder="1" applyAlignment="1">
      <alignment/>
    </xf>
    <xf numFmtId="0" fontId="0" fillId="3" borderId="4" xfId="0" applyFill="1" applyBorder="1" applyAlignment="1">
      <alignment/>
    </xf>
    <xf numFmtId="0" fontId="0" fillId="3" borderId="9" xfId="0" applyFill="1" applyBorder="1" applyAlignment="1">
      <alignment/>
    </xf>
    <xf numFmtId="0" fontId="0" fillId="4" borderId="13" xfId="0" applyFill="1" applyBorder="1" applyAlignment="1">
      <alignment/>
    </xf>
    <xf numFmtId="0" fontId="0" fillId="6" borderId="13" xfId="0" applyFill="1" applyBorder="1" applyAlignment="1">
      <alignment/>
    </xf>
    <xf numFmtId="0" fontId="0" fillId="0" borderId="0" xfId="0" applyAlignment="1">
      <alignment horizontal="left"/>
    </xf>
    <xf numFmtId="1" fontId="0" fillId="0" borderId="0" xfId="0" applyNumberFormat="1" applyAlignment="1">
      <alignment/>
    </xf>
    <xf numFmtId="1" fontId="0" fillId="0" borderId="15" xfId="0" applyNumberFormat="1" applyBorder="1" applyAlignment="1">
      <alignment/>
    </xf>
    <xf numFmtId="1" fontId="0" fillId="0" borderId="16" xfId="0" applyNumberFormat="1" applyBorder="1" applyAlignment="1">
      <alignment/>
    </xf>
    <xf numFmtId="1" fontId="0" fillId="0" borderId="10" xfId="0" applyNumberFormat="1" applyBorder="1" applyAlignment="1">
      <alignment/>
    </xf>
    <xf numFmtId="1" fontId="0" fillId="0" borderId="11" xfId="0" applyNumberFormat="1" applyBorder="1" applyAlignment="1">
      <alignment/>
    </xf>
    <xf numFmtId="0" fontId="0" fillId="0" borderId="17" xfId="0" applyBorder="1" applyAlignment="1">
      <alignment/>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12" fillId="7" borderId="12" xfId="0" applyFont="1" applyFill="1" applyBorder="1" applyAlignment="1" applyProtection="1">
      <alignment/>
      <protection locked="0"/>
    </xf>
    <xf numFmtId="0" fontId="11" fillId="8" borderId="0" xfId="0" applyFont="1" applyFill="1" applyAlignment="1" applyProtection="1">
      <alignment/>
      <protection/>
    </xf>
    <xf numFmtId="0" fontId="12" fillId="8" borderId="0" xfId="0" applyFont="1" applyFill="1" applyAlignment="1" applyProtection="1">
      <alignment/>
      <protection/>
    </xf>
    <xf numFmtId="0" fontId="12" fillId="0" borderId="0" xfId="0" applyFont="1" applyAlignment="1" applyProtection="1">
      <alignment/>
      <protection/>
    </xf>
    <xf numFmtId="0" fontId="12" fillId="0" borderId="18" xfId="0" applyFont="1" applyBorder="1" applyAlignment="1" applyProtection="1">
      <alignment/>
      <protection/>
    </xf>
    <xf numFmtId="0" fontId="12" fillId="0" borderId="19" xfId="0" applyFont="1" applyBorder="1" applyAlignment="1" applyProtection="1">
      <alignment/>
      <protection/>
    </xf>
    <xf numFmtId="0" fontId="12" fillId="0" borderId="1" xfId="0" applyFont="1" applyBorder="1" applyAlignment="1" applyProtection="1">
      <alignment/>
      <protection/>
    </xf>
    <xf numFmtId="0" fontId="12" fillId="0" borderId="2" xfId="0" applyFont="1" applyBorder="1" applyAlignment="1" applyProtection="1">
      <alignment/>
      <protection/>
    </xf>
    <xf numFmtId="0" fontId="12" fillId="0" borderId="3" xfId="0" applyFont="1" applyBorder="1" applyAlignment="1" applyProtection="1">
      <alignment/>
      <protection/>
    </xf>
    <xf numFmtId="0" fontId="12" fillId="0" borderId="4" xfId="0" applyFont="1" applyBorder="1" applyAlignment="1" applyProtection="1">
      <alignment/>
      <protection/>
    </xf>
    <xf numFmtId="0" fontId="12" fillId="0" borderId="12" xfId="0" applyFont="1" applyBorder="1" applyAlignment="1" applyProtection="1">
      <alignment/>
      <protection/>
    </xf>
    <xf numFmtId="0" fontId="12" fillId="0" borderId="12" xfId="0" applyFont="1" applyBorder="1" applyAlignment="1" applyProtection="1">
      <alignment horizontal="center"/>
      <protection/>
    </xf>
    <xf numFmtId="0" fontId="12" fillId="0" borderId="6" xfId="0" applyFont="1" applyBorder="1" applyAlignment="1" applyProtection="1">
      <alignment/>
      <protection/>
    </xf>
    <xf numFmtId="0" fontId="12" fillId="0" borderId="6" xfId="0" applyFont="1" applyFill="1" applyBorder="1" applyAlignment="1" applyProtection="1">
      <alignment/>
      <protection/>
    </xf>
    <xf numFmtId="0" fontId="12" fillId="0" borderId="13" xfId="0" applyFont="1" applyBorder="1" applyAlignment="1" applyProtection="1">
      <alignment/>
      <protection/>
    </xf>
    <xf numFmtId="0" fontId="12" fillId="0" borderId="13" xfId="0" applyFont="1" applyBorder="1" applyAlignment="1" applyProtection="1">
      <alignment horizontal="center"/>
      <protection/>
    </xf>
    <xf numFmtId="0" fontId="12" fillId="0" borderId="9" xfId="0" applyFont="1" applyBorder="1" applyAlignment="1" applyProtection="1">
      <alignment/>
      <protection/>
    </xf>
    <xf numFmtId="0" fontId="12" fillId="7" borderId="5" xfId="0" applyFont="1" applyFill="1" applyBorder="1" applyAlignment="1" applyProtection="1">
      <alignment vertical="center"/>
      <protection locked="0"/>
    </xf>
    <xf numFmtId="0" fontId="12" fillId="7" borderId="5" xfId="0" applyFont="1" applyFill="1" applyBorder="1" applyAlignment="1" applyProtection="1">
      <alignment horizontal="center" vertical="center"/>
      <protection locked="0"/>
    </xf>
    <xf numFmtId="0" fontId="12" fillId="0" borderId="0" xfId="0" applyFont="1" applyAlignment="1" applyProtection="1">
      <alignment vertical="center"/>
      <protection/>
    </xf>
    <xf numFmtId="0" fontId="14" fillId="0" borderId="0" xfId="0" applyFont="1" applyAlignment="1" applyProtection="1">
      <alignment/>
      <protection/>
    </xf>
    <xf numFmtId="0" fontId="11" fillId="0" borderId="0" xfId="0" applyFont="1" applyAlignment="1" applyProtection="1">
      <alignment/>
      <protection/>
    </xf>
    <xf numFmtId="0" fontId="12" fillId="0" borderId="0" xfId="0" applyFont="1" applyFill="1" applyBorder="1" applyAlignment="1" applyProtection="1">
      <alignment/>
      <protection/>
    </xf>
    <xf numFmtId="0" fontId="11" fillId="8" borderId="0" xfId="0" applyFont="1" applyFill="1" applyAlignment="1" applyProtection="1">
      <alignment/>
      <protection/>
    </xf>
    <xf numFmtId="0" fontId="12" fillId="8" borderId="0" xfId="0" applyFont="1" applyFill="1" applyAlignment="1" applyProtection="1">
      <alignment/>
      <protection/>
    </xf>
    <xf numFmtId="0" fontId="12" fillId="0" borderId="0" xfId="0" applyFont="1" applyAlignment="1" applyProtection="1">
      <alignment/>
      <protection/>
    </xf>
    <xf numFmtId="0" fontId="12" fillId="0" borderId="18" xfId="0" applyFont="1" applyBorder="1" applyAlignment="1" applyProtection="1">
      <alignment/>
      <protection/>
    </xf>
    <xf numFmtId="0" fontId="12" fillId="0" borderId="0" xfId="0" applyFont="1" applyFill="1" applyBorder="1" applyAlignment="1" applyProtection="1">
      <alignment/>
      <protection/>
    </xf>
    <xf numFmtId="0" fontId="12" fillId="0" borderId="1" xfId="0" applyFont="1" applyBorder="1" applyAlignment="1" applyProtection="1">
      <alignment/>
      <protection/>
    </xf>
    <xf numFmtId="0" fontId="12" fillId="0" borderId="3" xfId="0" applyFont="1" applyBorder="1" applyAlignment="1" applyProtection="1">
      <alignment/>
      <protection/>
    </xf>
    <xf numFmtId="0" fontId="11" fillId="0" borderId="0" xfId="0" applyFont="1" applyFill="1" applyBorder="1" applyAlignment="1" applyProtection="1">
      <alignment/>
      <protection/>
    </xf>
    <xf numFmtId="0" fontId="12" fillId="0" borderId="0" xfId="0" applyFont="1" applyAlignment="1" applyProtection="1">
      <alignment horizontal="left"/>
      <protection/>
    </xf>
    <xf numFmtId="0" fontId="12" fillId="0" borderId="0" xfId="0" applyFont="1" applyFill="1" applyBorder="1" applyAlignment="1" applyProtection="1">
      <alignment horizontal="center"/>
      <protection/>
    </xf>
    <xf numFmtId="9" fontId="12" fillId="0" borderId="0" xfId="0" applyNumberFormat="1" applyFont="1" applyAlignment="1" applyProtection="1">
      <alignment horizontal="left"/>
      <protection/>
    </xf>
    <xf numFmtId="0" fontId="11"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5" xfId="0" applyFont="1" applyFill="1" applyBorder="1" applyAlignment="1" applyProtection="1">
      <alignment vertical="center"/>
      <protection/>
    </xf>
    <xf numFmtId="0" fontId="12" fillId="0" borderId="12" xfId="0" applyFont="1" applyFill="1" applyBorder="1" applyAlignment="1" applyProtection="1">
      <alignment/>
      <protection/>
    </xf>
    <xf numFmtId="0" fontId="12" fillId="0" borderId="20" xfId="0" applyFont="1" applyFill="1" applyBorder="1" applyAlignment="1" applyProtection="1">
      <alignment/>
      <protection/>
    </xf>
    <xf numFmtId="0" fontId="12" fillId="0" borderId="13" xfId="0" applyFont="1" applyFill="1" applyBorder="1" applyAlignment="1" applyProtection="1">
      <alignment/>
      <protection/>
    </xf>
    <xf numFmtId="0" fontId="12" fillId="0" borderId="5" xfId="0" applyFont="1" applyFill="1" applyBorder="1" applyAlignment="1" applyProtection="1">
      <alignment/>
      <protection/>
    </xf>
    <xf numFmtId="0" fontId="11" fillId="0" borderId="5" xfId="0" applyFont="1" applyFill="1" applyBorder="1" applyAlignment="1" applyProtection="1">
      <alignment/>
      <protection/>
    </xf>
    <xf numFmtId="0" fontId="12" fillId="0" borderId="0" xfId="0" applyFont="1" applyFill="1" applyBorder="1" applyAlignment="1" applyProtection="1">
      <alignment horizontal="right"/>
      <protection/>
    </xf>
    <xf numFmtId="1" fontId="12" fillId="7" borderId="5" xfId="0" applyNumberFormat="1" applyFont="1" applyFill="1" applyBorder="1" applyAlignment="1" applyProtection="1">
      <alignment vertical="center"/>
      <protection locked="0"/>
    </xf>
    <xf numFmtId="0" fontId="12" fillId="0" borderId="0" xfId="0" applyFont="1" applyBorder="1" applyAlignment="1" applyProtection="1">
      <alignment/>
      <protection/>
    </xf>
    <xf numFmtId="1" fontId="12" fillId="0" borderId="0" xfId="0" applyNumberFormat="1" applyFont="1" applyBorder="1" applyAlignment="1" applyProtection="1">
      <alignment/>
      <protection/>
    </xf>
    <xf numFmtId="0" fontId="19" fillId="0" borderId="0" xfId="0" applyFont="1" applyAlignment="1" applyProtection="1">
      <alignment/>
      <protection/>
    </xf>
    <xf numFmtId="0" fontId="12" fillId="0" borderId="0" xfId="0" applyFont="1" applyAlignment="1" applyProtection="1">
      <alignment horizontal="center"/>
      <protection/>
    </xf>
    <xf numFmtId="0" fontId="12" fillId="0" borderId="0" xfId="0" applyFont="1" applyAlignment="1" applyProtection="1">
      <alignment vertical="center"/>
      <protection/>
    </xf>
    <xf numFmtId="9" fontId="12" fillId="0" borderId="0" xfId="0" applyNumberFormat="1" applyFont="1" applyFill="1" applyBorder="1" applyAlignment="1" applyProtection="1">
      <alignment/>
      <protection/>
    </xf>
    <xf numFmtId="1" fontId="12" fillId="0" borderId="0" xfId="0" applyNumberFormat="1" applyFont="1" applyFill="1" applyBorder="1" applyAlignment="1" applyProtection="1">
      <alignment/>
      <protection/>
    </xf>
    <xf numFmtId="9" fontId="12" fillId="0" borderId="0" xfId="0" applyNumberFormat="1" applyFont="1" applyBorder="1" applyAlignment="1" applyProtection="1">
      <alignment vertical="center"/>
      <protection/>
    </xf>
    <xf numFmtId="0" fontId="11" fillId="0" borderId="1" xfId="0" applyFont="1" applyFill="1" applyBorder="1" applyAlignment="1" applyProtection="1">
      <alignment/>
      <protection/>
    </xf>
    <xf numFmtId="0" fontId="12" fillId="0" borderId="2" xfId="0" applyFont="1" applyFill="1" applyBorder="1" applyAlignment="1" applyProtection="1">
      <alignment/>
      <protection/>
    </xf>
    <xf numFmtId="0" fontId="12" fillId="0" borderId="6" xfId="0" applyFont="1" applyFill="1" applyBorder="1" applyAlignment="1" applyProtection="1">
      <alignment/>
      <protection/>
    </xf>
    <xf numFmtId="0" fontId="12" fillId="0" borderId="7" xfId="0" applyFont="1" applyFill="1" applyBorder="1" applyAlignment="1" applyProtection="1">
      <alignment/>
      <protection/>
    </xf>
    <xf numFmtId="0" fontId="12" fillId="0" borderId="8" xfId="0" applyFont="1" applyFill="1" applyBorder="1" applyAlignment="1" applyProtection="1">
      <alignment/>
      <protection/>
    </xf>
    <xf numFmtId="9" fontId="12" fillId="0" borderId="9" xfId="19" applyFont="1" applyBorder="1" applyAlignment="1" applyProtection="1">
      <alignment/>
      <protection/>
    </xf>
    <xf numFmtId="0" fontId="11" fillId="0" borderId="1" xfId="0" applyFont="1" applyBorder="1" applyAlignment="1" applyProtection="1">
      <alignment/>
      <protection/>
    </xf>
    <xf numFmtId="0" fontId="12" fillId="0" borderId="7" xfId="0" applyFont="1" applyBorder="1" applyAlignment="1" applyProtection="1">
      <alignment/>
      <protection/>
    </xf>
    <xf numFmtId="0" fontId="12" fillId="0" borderId="3" xfId="0" applyFont="1" applyBorder="1" applyAlignment="1" applyProtection="1">
      <alignment/>
      <protection/>
    </xf>
    <xf numFmtId="0" fontId="12" fillId="0" borderId="12" xfId="0" applyFont="1" applyFill="1" applyBorder="1" applyAlignment="1" applyProtection="1">
      <alignment/>
      <protection/>
    </xf>
    <xf numFmtId="0" fontId="12" fillId="0" borderId="20" xfId="0" applyFont="1" applyFill="1" applyBorder="1" applyAlignment="1" applyProtection="1">
      <alignment/>
      <protection/>
    </xf>
    <xf numFmtId="9" fontId="12" fillId="0" borderId="13" xfId="19" applyFont="1" applyBorder="1" applyAlignment="1" applyProtection="1">
      <alignment/>
      <protection/>
    </xf>
    <xf numFmtId="0" fontId="12" fillId="0" borderId="12" xfId="0" applyFont="1" applyBorder="1" applyAlignment="1" applyProtection="1">
      <alignment/>
      <protection/>
    </xf>
    <xf numFmtId="1" fontId="12" fillId="0" borderId="20" xfId="0" applyNumberFormat="1" applyFont="1" applyBorder="1" applyAlignment="1" applyProtection="1">
      <alignment/>
      <protection/>
    </xf>
    <xf numFmtId="2" fontId="12" fillId="0" borderId="20" xfId="0" applyNumberFormat="1" applyFont="1" applyBorder="1" applyAlignment="1" applyProtection="1">
      <alignment/>
      <protection/>
    </xf>
    <xf numFmtId="178" fontId="12" fillId="0" borderId="13" xfId="0" applyNumberFormat="1" applyFont="1" applyBorder="1" applyAlignment="1" applyProtection="1">
      <alignment/>
      <protection/>
    </xf>
    <xf numFmtId="0" fontId="12" fillId="0" borderId="4" xfId="0" applyFont="1" applyFill="1" applyBorder="1" applyAlignment="1" applyProtection="1">
      <alignment/>
      <protection/>
    </xf>
    <xf numFmtId="0" fontId="12" fillId="8" borderId="0" xfId="0" applyFont="1" applyFill="1" applyAlignment="1" applyProtection="1">
      <alignment horizontal="center"/>
      <protection/>
    </xf>
    <xf numFmtId="0" fontId="12"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protection/>
    </xf>
    <xf numFmtId="0" fontId="12" fillId="0" borderId="0" xfId="0" applyFont="1" applyAlignment="1" applyProtection="1">
      <alignment horizontal="center" vertical="center"/>
      <protection/>
    </xf>
    <xf numFmtId="1" fontId="12" fillId="0" borderId="0" xfId="0" applyNumberFormat="1" applyFont="1" applyAlignment="1" applyProtection="1">
      <alignment horizontal="center"/>
      <protection/>
    </xf>
    <xf numFmtId="0" fontId="0" fillId="0" borderId="0" xfId="0" applyFill="1" applyBorder="1" applyAlignment="1" applyProtection="1">
      <alignment horizontal="center"/>
      <protection/>
    </xf>
    <xf numFmtId="0" fontId="12" fillId="0" borderId="5" xfId="0" applyFont="1" applyBorder="1" applyAlignment="1" applyProtection="1">
      <alignment horizontal="left" vertical="center" wrapText="1"/>
      <protection/>
    </xf>
    <xf numFmtId="3" fontId="12" fillId="0" borderId="20" xfId="0" applyNumberFormat="1" applyFont="1" applyFill="1" applyBorder="1" applyAlignment="1" applyProtection="1">
      <alignment/>
      <protection/>
    </xf>
    <xf numFmtId="3" fontId="12" fillId="0" borderId="8" xfId="0" applyNumberFormat="1"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12" fillId="0" borderId="1" xfId="0" applyFont="1" applyFill="1" applyBorder="1" applyAlignment="1" applyProtection="1">
      <alignment/>
      <protection/>
    </xf>
    <xf numFmtId="0" fontId="12" fillId="0" borderId="3" xfId="0" applyFont="1" applyFill="1" applyBorder="1" applyAlignment="1" applyProtection="1">
      <alignment/>
      <protection/>
    </xf>
    <xf numFmtId="0" fontId="12" fillId="0" borderId="2" xfId="0" applyFont="1" applyFill="1" applyBorder="1" applyAlignment="1" applyProtection="1">
      <alignment horizontal="center"/>
      <protection/>
    </xf>
    <xf numFmtId="0" fontId="12" fillId="0" borderId="1" xfId="0" applyFont="1" applyBorder="1" applyAlignment="1" applyProtection="1">
      <alignment/>
      <protection/>
    </xf>
    <xf numFmtId="0" fontId="11" fillId="0" borderId="5" xfId="0" applyFont="1" applyFill="1" applyBorder="1" applyAlignment="1" applyProtection="1">
      <alignment/>
      <protection/>
    </xf>
    <xf numFmtId="0" fontId="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wrapText="1"/>
      <protection/>
    </xf>
    <xf numFmtId="0" fontId="18" fillId="0" borderId="0" xfId="0" applyFont="1" applyFill="1" applyBorder="1" applyAlignment="1" applyProtection="1">
      <alignment horizontal="left" wrapText="1"/>
      <protection/>
    </xf>
    <xf numFmtId="0" fontId="12" fillId="0" borderId="13" xfId="0" applyFont="1" applyFill="1" applyBorder="1" applyAlignment="1" applyProtection="1">
      <alignment horizontal="center"/>
      <protection/>
    </xf>
    <xf numFmtId="0" fontId="12" fillId="0" borderId="3" xfId="0" applyFont="1" applyFill="1" applyBorder="1" applyAlignment="1" applyProtection="1">
      <alignment horizontal="center"/>
      <protection/>
    </xf>
    <xf numFmtId="0" fontId="12" fillId="0" borderId="9" xfId="0" applyFont="1" applyFill="1" applyBorder="1" applyAlignment="1" applyProtection="1">
      <alignment horizontal="center"/>
      <protection/>
    </xf>
    <xf numFmtId="0" fontId="12" fillId="0" borderId="5"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0" xfId="0" applyFont="1" applyFill="1" applyAlignment="1" applyProtection="1">
      <alignment/>
      <protection/>
    </xf>
    <xf numFmtId="0" fontId="12" fillId="0" borderId="0" xfId="0" applyFont="1" applyFill="1" applyBorder="1" applyAlignment="1" applyProtection="1">
      <alignment horizontal="left" vertical="top"/>
      <protection/>
    </xf>
    <xf numFmtId="0" fontId="12" fillId="0" borderId="0" xfId="0" applyFont="1" applyFill="1" applyAlignment="1" applyProtection="1">
      <alignment vertical="center"/>
      <protection/>
    </xf>
    <xf numFmtId="3" fontId="12" fillId="7" borderId="12" xfId="0" applyNumberFormat="1" applyFont="1" applyFill="1" applyBorder="1" applyAlignment="1" applyProtection="1">
      <alignment/>
      <protection locked="0"/>
    </xf>
    <xf numFmtId="0" fontId="12" fillId="7" borderId="12" xfId="0" applyFont="1" applyFill="1" applyBorder="1" applyAlignment="1" applyProtection="1">
      <alignment horizontal="left"/>
      <protection locked="0"/>
    </xf>
    <xf numFmtId="0" fontId="12" fillId="7" borderId="12" xfId="0" applyFont="1" applyFill="1" applyBorder="1" applyAlignment="1" applyProtection="1">
      <alignment horizontal="right"/>
      <protection locked="0"/>
    </xf>
    <xf numFmtId="0" fontId="12" fillId="7" borderId="20" xfId="0" applyFont="1" applyFill="1" applyBorder="1" applyAlignment="1" applyProtection="1">
      <alignment horizontal="right"/>
      <protection locked="0"/>
    </xf>
    <xf numFmtId="0" fontId="15" fillId="0" borderId="0" xfId="0" applyFont="1" applyAlignment="1" applyProtection="1">
      <alignment/>
      <protection/>
    </xf>
    <xf numFmtId="0" fontId="12" fillId="0" borderId="0" xfId="0" applyFont="1" applyBorder="1" applyAlignment="1" applyProtection="1">
      <alignment/>
      <protection/>
    </xf>
    <xf numFmtId="0" fontId="11" fillId="8" borderId="0" xfId="0" applyFont="1" applyFill="1" applyBorder="1" applyAlignment="1" applyProtection="1">
      <alignment/>
      <protection/>
    </xf>
    <xf numFmtId="0" fontId="12" fillId="8" borderId="0" xfId="0" applyFont="1" applyFill="1" applyBorder="1" applyAlignment="1" applyProtection="1">
      <alignment/>
      <protection/>
    </xf>
    <xf numFmtId="0" fontId="12" fillId="0" borderId="18" xfId="0" applyFont="1" applyFill="1" applyBorder="1" applyAlignment="1" applyProtection="1">
      <alignment vertical="center" wrapText="1"/>
      <protection/>
    </xf>
    <xf numFmtId="0" fontId="12" fillId="0" borderId="21"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5" xfId="0" applyFont="1" applyFill="1" applyBorder="1" applyAlignment="1" applyProtection="1">
      <alignment horizontal="left" vertical="center" wrapText="1"/>
      <protection/>
    </xf>
    <xf numFmtId="0" fontId="13" fillId="0" borderId="0" xfId="0" applyFont="1" applyFill="1" applyBorder="1" applyAlignment="1" applyProtection="1">
      <alignment/>
      <protection/>
    </xf>
    <xf numFmtId="2" fontId="12" fillId="0" borderId="0" xfId="0" applyNumberFormat="1" applyFont="1" applyFill="1" applyBorder="1" applyAlignment="1" applyProtection="1">
      <alignment/>
      <protection/>
    </xf>
    <xf numFmtId="3" fontId="12" fillId="0" borderId="12" xfId="0" applyNumberFormat="1" applyFont="1" applyFill="1" applyBorder="1" applyAlignment="1" applyProtection="1">
      <alignment/>
      <protection/>
    </xf>
    <xf numFmtId="0" fontId="12" fillId="0" borderId="0" xfId="0" applyFont="1" applyFill="1" applyBorder="1" applyAlignment="1" applyProtection="1">
      <alignment/>
      <protection/>
    </xf>
    <xf numFmtId="3" fontId="12" fillId="0" borderId="20" xfId="0" applyNumberFormat="1" applyFont="1" applyFill="1" applyBorder="1" applyAlignment="1" applyProtection="1">
      <alignment/>
      <protection/>
    </xf>
    <xf numFmtId="0" fontId="12" fillId="0" borderId="18" xfId="0" applyFont="1" applyFill="1" applyBorder="1" applyAlignment="1" applyProtection="1">
      <alignment horizontal="right"/>
      <protection/>
    </xf>
    <xf numFmtId="0" fontId="12" fillId="0" borderId="21" xfId="0" applyFont="1" applyFill="1" applyBorder="1" applyAlignment="1" applyProtection="1">
      <alignment horizontal="right"/>
      <protection/>
    </xf>
    <xf numFmtId="3" fontId="12" fillId="0" borderId="21" xfId="0" applyNumberFormat="1" applyFont="1" applyFill="1" applyBorder="1" applyAlignment="1" applyProtection="1">
      <alignment/>
      <protection/>
    </xf>
    <xf numFmtId="3" fontId="12" fillId="0" borderId="5" xfId="0" applyNumberFormat="1" applyFont="1" applyFill="1" applyBorder="1" applyAlignment="1" applyProtection="1">
      <alignment/>
      <protection/>
    </xf>
    <xf numFmtId="0" fontId="12" fillId="0" borderId="5" xfId="0" applyFont="1" applyFill="1" applyBorder="1" applyAlignment="1" applyProtection="1">
      <alignment/>
      <protection/>
    </xf>
    <xf numFmtId="0" fontId="12" fillId="0" borderId="18" xfId="0" applyFont="1" applyFill="1" applyBorder="1" applyAlignment="1" applyProtection="1">
      <alignment/>
      <protection/>
    </xf>
    <xf numFmtId="0" fontId="11" fillId="0" borderId="19" xfId="0" applyFont="1" applyFill="1" applyBorder="1" applyAlignment="1" applyProtection="1">
      <alignment horizontal="right"/>
      <protection/>
    </xf>
    <xf numFmtId="3" fontId="11" fillId="0" borderId="21" xfId="0" applyNumberFormat="1" applyFont="1" applyFill="1" applyBorder="1" applyAlignment="1" applyProtection="1">
      <alignment/>
      <protection/>
    </xf>
    <xf numFmtId="0" fontId="11" fillId="0" borderId="0" xfId="0" applyFont="1" applyFill="1" applyBorder="1" applyAlignment="1" applyProtection="1">
      <alignment/>
      <protection/>
    </xf>
    <xf numFmtId="2" fontId="0" fillId="0" borderId="0" xfId="0" applyNumberForma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0" fillId="0" borderId="18" xfId="0" applyBorder="1" applyAlignment="1" applyProtection="1">
      <alignment/>
      <protection/>
    </xf>
    <xf numFmtId="0" fontId="0" fillId="0" borderId="21" xfId="0" applyBorder="1" applyAlignment="1" applyProtection="1">
      <alignment/>
      <protection/>
    </xf>
    <xf numFmtId="0" fontId="0" fillId="0" borderId="1" xfId="0" applyBorder="1" applyAlignment="1" applyProtection="1">
      <alignment/>
      <protection/>
    </xf>
    <xf numFmtId="0" fontId="0" fillId="0" borderId="12" xfId="0" applyBorder="1" applyAlignment="1" applyProtection="1">
      <alignment/>
      <protection/>
    </xf>
    <xf numFmtId="0" fontId="0" fillId="0" borderId="2" xfId="0" applyBorder="1" applyAlignment="1" applyProtection="1">
      <alignment/>
      <protection/>
    </xf>
    <xf numFmtId="0" fontId="0" fillId="0" borderId="10" xfId="0" applyBorder="1" applyAlignment="1" applyProtection="1">
      <alignment/>
      <protection/>
    </xf>
    <xf numFmtId="0" fontId="0" fillId="0" borderId="14" xfId="0" applyBorder="1" applyAlignment="1" applyProtection="1">
      <alignment/>
      <protection/>
    </xf>
    <xf numFmtId="0" fontId="0" fillId="0" borderId="22" xfId="0" applyBorder="1" applyAlignment="1" applyProtection="1">
      <alignment/>
      <protection/>
    </xf>
    <xf numFmtId="0" fontId="0" fillId="0" borderId="3" xfId="0" applyBorder="1" applyAlignment="1" applyProtection="1">
      <alignment/>
      <protection/>
    </xf>
    <xf numFmtId="0" fontId="0" fillId="0" borderId="13" xfId="0"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15" xfId="0" applyFill="1" applyBorder="1" applyAlignment="1" applyProtection="1">
      <alignment/>
      <protection/>
    </xf>
    <xf numFmtId="0" fontId="0" fillId="0" borderId="26" xfId="0" applyFill="1" applyBorder="1" applyAlignment="1" applyProtection="1">
      <alignment/>
      <protection/>
    </xf>
    <xf numFmtId="0" fontId="0" fillId="0" borderId="11" xfId="0" applyBorder="1" applyAlignment="1" applyProtection="1">
      <alignment/>
      <protection/>
    </xf>
    <xf numFmtId="0" fontId="0" fillId="0" borderId="17" xfId="0" applyBorder="1" applyAlignment="1" applyProtection="1">
      <alignment/>
      <protection/>
    </xf>
    <xf numFmtId="0" fontId="2" fillId="0" borderId="17" xfId="0" applyFont="1" applyBorder="1" applyAlignment="1" applyProtection="1">
      <alignment/>
      <protection/>
    </xf>
    <xf numFmtId="0" fontId="0" fillId="0" borderId="16" xfId="0" applyBorder="1" applyAlignment="1" applyProtection="1">
      <alignment/>
      <protection/>
    </xf>
    <xf numFmtId="0" fontId="2" fillId="0" borderId="0" xfId="0" applyFon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3" fontId="0" fillId="0" borderId="28" xfId="0" applyNumberFormat="1" applyBorder="1" applyAlignment="1" applyProtection="1">
      <alignment/>
      <protection/>
    </xf>
    <xf numFmtId="2" fontId="0" fillId="0" borderId="28" xfId="0" applyNumberFormat="1" applyBorder="1" applyAlignment="1" applyProtection="1">
      <alignment/>
      <protection/>
    </xf>
    <xf numFmtId="2" fontId="0" fillId="0" borderId="0" xfId="0" applyNumberFormat="1" applyBorder="1" applyAlignment="1" applyProtection="1">
      <alignment/>
      <protection/>
    </xf>
    <xf numFmtId="1" fontId="0" fillId="0" borderId="29" xfId="0" applyNumberFormat="1" applyBorder="1" applyAlignment="1" applyProtection="1">
      <alignment/>
      <protection/>
    </xf>
    <xf numFmtId="1" fontId="0" fillId="0" borderId="17" xfId="0" applyNumberFormat="1" applyBorder="1" applyAlignment="1" applyProtection="1">
      <alignment/>
      <protection/>
    </xf>
    <xf numFmtId="1" fontId="0" fillId="0" borderId="0" xfId="0" applyNumberFormat="1" applyBorder="1" applyAlignment="1" applyProtection="1">
      <alignment/>
      <protection/>
    </xf>
    <xf numFmtId="0" fontId="12" fillId="0" borderId="13" xfId="0" applyFont="1" applyFill="1" applyBorder="1" applyAlignment="1" applyProtection="1">
      <alignment horizontal="left"/>
      <protection/>
    </xf>
    <xf numFmtId="0" fontId="12" fillId="0" borderId="5" xfId="0" applyFont="1" applyFill="1" applyBorder="1" applyAlignment="1" applyProtection="1">
      <alignment horizontal="left"/>
      <protection/>
    </xf>
    <xf numFmtId="0" fontId="12" fillId="0" borderId="0" xfId="0" applyFont="1" applyFill="1" applyBorder="1" applyAlignment="1" applyProtection="1">
      <alignment horizontal="left"/>
      <protection/>
    </xf>
    <xf numFmtId="188" fontId="0" fillId="0" borderId="0" xfId="0" applyNumberFormat="1" applyBorder="1" applyAlignment="1" applyProtection="1">
      <alignment/>
      <protection/>
    </xf>
    <xf numFmtId="0" fontId="12" fillId="8" borderId="20" xfId="0" applyFont="1" applyFill="1" applyBorder="1" applyAlignment="1" applyProtection="1">
      <alignment horizontal="left"/>
      <protection locked="0"/>
    </xf>
    <xf numFmtId="0" fontId="12" fillId="8" borderId="20" xfId="0" applyFont="1" applyFill="1" applyBorder="1" applyAlignment="1" applyProtection="1">
      <alignment horizontal="right"/>
      <protection locked="0"/>
    </xf>
    <xf numFmtId="0" fontId="12" fillId="8" borderId="13" xfId="0" applyFont="1" applyFill="1" applyBorder="1" applyAlignment="1" applyProtection="1">
      <alignment/>
      <protection locked="0"/>
    </xf>
    <xf numFmtId="3" fontId="12" fillId="0" borderId="6" xfId="0" applyNumberFormat="1" applyFont="1" applyFill="1" applyBorder="1" applyAlignment="1" applyProtection="1">
      <alignment/>
      <protection/>
    </xf>
    <xf numFmtId="3" fontId="12" fillId="0" borderId="8" xfId="0" applyNumberFormat="1" applyFont="1" applyFill="1" applyBorder="1" applyAlignment="1" applyProtection="1">
      <alignment/>
      <protection/>
    </xf>
    <xf numFmtId="3" fontId="12" fillId="0" borderId="1" xfId="0" applyNumberFormat="1" applyFont="1" applyFill="1" applyBorder="1" applyAlignment="1" applyProtection="1">
      <alignment/>
      <protection/>
    </xf>
    <xf numFmtId="3" fontId="12" fillId="0" borderId="7" xfId="0" applyNumberFormat="1" applyFont="1" applyFill="1" applyBorder="1" applyAlignment="1" applyProtection="1">
      <alignment/>
      <protection/>
    </xf>
    <xf numFmtId="3" fontId="12" fillId="0" borderId="18" xfId="0" applyNumberFormat="1" applyFont="1" applyFill="1" applyBorder="1" applyAlignment="1" applyProtection="1">
      <alignment/>
      <protection/>
    </xf>
    <xf numFmtId="0" fontId="12" fillId="0" borderId="13" xfId="0" applyFont="1" applyFill="1" applyBorder="1" applyAlignment="1" applyProtection="1">
      <alignment horizontal="right" vertical="center" wrapText="1"/>
      <protection/>
    </xf>
    <xf numFmtId="0" fontId="12" fillId="0" borderId="5" xfId="0" applyFont="1" applyFill="1" applyBorder="1" applyAlignment="1" applyProtection="1">
      <alignment wrapText="1"/>
      <protection/>
    </xf>
    <xf numFmtId="0" fontId="12" fillId="7" borderId="13" xfId="0" applyFont="1" applyFill="1" applyBorder="1" applyAlignment="1" applyProtection="1">
      <alignment horizontal="right"/>
      <protection locked="0"/>
    </xf>
    <xf numFmtId="3" fontId="12" fillId="7" borderId="12" xfId="0" applyNumberFormat="1" applyFont="1" applyFill="1" applyBorder="1" applyAlignment="1" applyProtection="1">
      <alignment horizontal="right"/>
      <protection locked="0"/>
    </xf>
    <xf numFmtId="3" fontId="12" fillId="7" borderId="20" xfId="0" applyNumberFormat="1" applyFont="1" applyFill="1" applyBorder="1" applyAlignment="1" applyProtection="1">
      <alignment horizontal="right"/>
      <protection locked="0"/>
    </xf>
    <xf numFmtId="3" fontId="12" fillId="7" borderId="13" xfId="0" applyNumberFormat="1" applyFont="1" applyFill="1" applyBorder="1" applyAlignment="1" applyProtection="1">
      <alignment horizontal="right"/>
      <protection locked="0"/>
    </xf>
    <xf numFmtId="0" fontId="12" fillId="0" borderId="0" xfId="0" applyFont="1" applyFill="1" applyBorder="1" applyAlignment="1" applyProtection="1">
      <alignment horizontal="left" vertical="center" wrapText="1"/>
      <protection/>
    </xf>
    <xf numFmtId="2" fontId="12" fillId="0" borderId="0" xfId="0" applyNumberFormat="1" applyFont="1" applyFill="1" applyBorder="1" applyAlignment="1" applyProtection="1">
      <alignment horizontal="left" vertical="center" wrapText="1"/>
      <protection/>
    </xf>
    <xf numFmtId="3" fontId="12" fillId="8" borderId="20" xfId="0" applyNumberFormat="1" applyFont="1" applyFill="1" applyBorder="1" applyAlignment="1" applyProtection="1">
      <alignment/>
      <protection/>
    </xf>
    <xf numFmtId="3" fontId="12" fillId="0" borderId="21" xfId="0" applyNumberFormat="1" applyFont="1" applyFill="1" applyBorder="1" applyAlignment="1" applyProtection="1">
      <alignment/>
      <protection/>
    </xf>
    <xf numFmtId="3" fontId="12" fillId="0" borderId="5" xfId="0" applyNumberFormat="1" applyFont="1" applyFill="1" applyBorder="1" applyAlignment="1" applyProtection="1">
      <alignment/>
      <protection/>
    </xf>
    <xf numFmtId="0" fontId="12" fillId="0" borderId="5" xfId="0" applyFont="1" applyFill="1" applyBorder="1" applyAlignment="1" applyProtection="1">
      <alignment horizontal="right" vertical="center" wrapText="1"/>
      <protection/>
    </xf>
    <xf numFmtId="0" fontId="12" fillId="0" borderId="12" xfId="0" applyFont="1" applyFill="1" applyBorder="1" applyAlignment="1" applyProtection="1">
      <alignment horizontal="left" vertical="top"/>
      <protection/>
    </xf>
    <xf numFmtId="0" fontId="12" fillId="0" borderId="12" xfId="0" applyFont="1" applyFill="1" applyBorder="1" applyAlignment="1" applyProtection="1">
      <alignment horizontal="center" vertical="top" wrapText="1"/>
      <protection/>
    </xf>
    <xf numFmtId="0" fontId="2" fillId="2" borderId="5" xfId="0" applyFont="1" applyFill="1" applyBorder="1" applyAlignment="1" applyProtection="1">
      <alignment/>
      <protection locked="0"/>
    </xf>
    <xf numFmtId="0" fontId="2" fillId="2" borderId="6" xfId="0" applyFont="1" applyFill="1" applyBorder="1" applyAlignment="1" applyProtection="1">
      <alignment/>
      <protection locked="0"/>
    </xf>
    <xf numFmtId="0" fontId="0" fillId="0" borderId="5" xfId="0" applyFont="1" applyBorder="1" applyAlignment="1" applyProtection="1">
      <alignment horizontal="left"/>
      <protection/>
    </xf>
    <xf numFmtId="0" fontId="2" fillId="2" borderId="21" xfId="0" applyFont="1" applyFill="1" applyBorder="1" applyAlignment="1" applyProtection="1">
      <alignment/>
      <protection locked="0"/>
    </xf>
    <xf numFmtId="0" fontId="0" fillId="2" borderId="7" xfId="0" applyFill="1" applyBorder="1" applyAlignment="1">
      <alignment/>
    </xf>
    <xf numFmtId="0" fontId="0" fillId="4" borderId="0" xfId="0" applyFill="1" applyBorder="1" applyAlignment="1">
      <alignment vertical="top" wrapText="1"/>
    </xf>
    <xf numFmtId="0" fontId="0" fillId="4" borderId="20" xfId="0" applyFill="1" applyBorder="1" applyAlignment="1">
      <alignment/>
    </xf>
    <xf numFmtId="0" fontId="0" fillId="5" borderId="0" xfId="0" applyFill="1" applyBorder="1" applyAlignment="1">
      <alignment vertical="top" wrapText="1"/>
    </xf>
    <xf numFmtId="0" fontId="0" fillId="5" borderId="0" xfId="0" applyFill="1" applyBorder="1" applyAlignment="1">
      <alignment/>
    </xf>
    <xf numFmtId="0" fontId="0" fillId="6" borderId="0" xfId="0" applyFill="1" applyBorder="1" applyAlignment="1">
      <alignment vertical="top" wrapText="1"/>
    </xf>
    <xf numFmtId="0" fontId="0" fillId="6" borderId="20" xfId="0" applyFill="1" applyBorder="1" applyAlignment="1">
      <alignment/>
    </xf>
    <xf numFmtId="0" fontId="0" fillId="3" borderId="0" xfId="0" applyFill="1" applyBorder="1" applyAlignment="1">
      <alignment/>
    </xf>
    <xf numFmtId="0" fontId="0" fillId="3" borderId="0" xfId="0" applyFill="1" applyBorder="1" applyAlignment="1">
      <alignment vertical="top" wrapText="1"/>
    </xf>
    <xf numFmtId="0" fontId="0" fillId="3" borderId="8" xfId="0" applyFill="1" applyBorder="1" applyAlignment="1">
      <alignment/>
    </xf>
    <xf numFmtId="0" fontId="0" fillId="2" borderId="13" xfId="0" applyFill="1" applyBorder="1" applyAlignment="1">
      <alignment/>
    </xf>
    <xf numFmtId="0" fontId="0" fillId="5" borderId="13" xfId="0" applyFill="1" applyBorder="1" applyAlignment="1">
      <alignment/>
    </xf>
    <xf numFmtId="0" fontId="0" fillId="3" borderId="13" xfId="0" applyFill="1" applyBorder="1" applyAlignment="1">
      <alignment/>
    </xf>
    <xf numFmtId="3" fontId="12" fillId="0" borderId="5" xfId="0" applyNumberFormat="1" applyFont="1" applyFill="1" applyBorder="1" applyAlignment="1" applyProtection="1">
      <alignment horizontal="center"/>
      <protection/>
    </xf>
    <xf numFmtId="0" fontId="0" fillId="2" borderId="13" xfId="0" applyFill="1" applyBorder="1" applyAlignment="1" applyProtection="1">
      <alignment/>
      <protection locked="0"/>
    </xf>
    <xf numFmtId="0" fontId="0" fillId="4" borderId="13" xfId="0" applyFill="1" applyBorder="1" applyAlignment="1" applyProtection="1">
      <alignment/>
      <protection locked="0"/>
    </xf>
    <xf numFmtId="0" fontId="0" fillId="5" borderId="13" xfId="0" applyFill="1" applyBorder="1" applyAlignment="1" applyProtection="1">
      <alignment/>
      <protection locked="0"/>
    </xf>
    <xf numFmtId="0" fontId="0" fillId="6" borderId="13" xfId="0" applyFill="1" applyBorder="1" applyAlignment="1" applyProtection="1">
      <alignment/>
      <protection locked="0"/>
    </xf>
    <xf numFmtId="0" fontId="0" fillId="3" borderId="13" xfId="0" applyFill="1" applyBorder="1" applyAlignment="1" applyProtection="1">
      <alignment/>
      <protection locked="0"/>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13" xfId="0" applyFont="1" applyBorder="1" applyAlignment="1" applyProtection="1">
      <alignment horizontal="left"/>
      <protection/>
    </xf>
    <xf numFmtId="0" fontId="0" fillId="0" borderId="18" xfId="0" applyFont="1" applyBorder="1" applyAlignment="1">
      <alignment/>
    </xf>
    <xf numFmtId="0" fontId="0" fillId="0" borderId="21" xfId="0" applyFont="1" applyBorder="1" applyAlignment="1" applyProtection="1">
      <alignment/>
      <protection/>
    </xf>
    <xf numFmtId="0" fontId="0" fillId="0" borderId="1" xfId="0" applyFont="1" applyBorder="1" applyAlignment="1">
      <alignment/>
    </xf>
    <xf numFmtId="189" fontId="12" fillId="0" borderId="5" xfId="0" applyNumberFormat="1" applyFont="1" applyFill="1" applyBorder="1" applyAlignment="1" applyProtection="1">
      <alignment horizontal="center"/>
      <protection/>
    </xf>
    <xf numFmtId="0" fontId="11" fillId="0" borderId="5" xfId="0" applyFont="1" applyBorder="1" applyAlignment="1" applyProtection="1">
      <alignment vertical="top"/>
      <protection/>
    </xf>
    <xf numFmtId="0" fontId="12" fillId="0" borderId="3" xfId="0" applyFont="1" applyBorder="1" applyAlignment="1" applyProtection="1">
      <alignment vertical="top" wrapText="1"/>
      <protection/>
    </xf>
    <xf numFmtId="0" fontId="12" fillId="7" borderId="6" xfId="0" applyFont="1" applyFill="1" applyBorder="1" applyAlignment="1" applyProtection="1">
      <alignment horizontal="left"/>
      <protection locked="0"/>
    </xf>
    <xf numFmtId="0" fontId="12" fillId="7" borderId="8" xfId="0" applyFont="1" applyFill="1" applyBorder="1" applyAlignment="1" applyProtection="1">
      <alignment horizontal="left"/>
      <protection locked="0"/>
    </xf>
    <xf numFmtId="0" fontId="12" fillId="7" borderId="1" xfId="0" applyFont="1" applyFill="1" applyBorder="1" applyAlignment="1" applyProtection="1">
      <alignment horizontal="left"/>
      <protection locked="0"/>
    </xf>
    <xf numFmtId="189" fontId="12" fillId="0" borderId="5" xfId="0" applyNumberFormat="1" applyFont="1" applyBorder="1" applyAlignment="1" applyProtection="1">
      <alignment vertical="center"/>
      <protection/>
    </xf>
    <xf numFmtId="49" fontId="12" fillId="7" borderId="18" xfId="0" applyNumberFormat="1" applyFont="1" applyFill="1" applyBorder="1" applyAlignment="1" applyProtection="1">
      <alignment horizontal="left" vertical="top"/>
      <protection locked="0"/>
    </xf>
    <xf numFmtId="49" fontId="12" fillId="7" borderId="19" xfId="0" applyNumberFormat="1" applyFont="1" applyFill="1" applyBorder="1" applyAlignment="1" applyProtection="1">
      <alignment horizontal="left" vertical="top"/>
      <protection locked="0"/>
    </xf>
    <xf numFmtId="49" fontId="12" fillId="7" borderId="21" xfId="0" applyNumberFormat="1" applyFont="1" applyFill="1" applyBorder="1" applyAlignment="1" applyProtection="1">
      <alignment horizontal="left" vertical="top"/>
      <protection locked="0"/>
    </xf>
    <xf numFmtId="49" fontId="12" fillId="7" borderId="1" xfId="0" applyNumberFormat="1" applyFont="1" applyFill="1" applyBorder="1" applyAlignment="1" applyProtection="1">
      <alignment horizontal="left" vertical="top" wrapText="1"/>
      <protection locked="0"/>
    </xf>
    <xf numFmtId="49" fontId="12" fillId="7" borderId="2" xfId="0" applyNumberFormat="1" applyFont="1" applyFill="1" applyBorder="1" applyAlignment="1" applyProtection="1">
      <alignment horizontal="left" vertical="top"/>
      <protection locked="0"/>
    </xf>
    <xf numFmtId="49" fontId="12" fillId="7" borderId="6" xfId="0" applyNumberFormat="1" applyFont="1" applyFill="1" applyBorder="1" applyAlignment="1" applyProtection="1">
      <alignment horizontal="left" vertical="top"/>
      <protection locked="0"/>
    </xf>
    <xf numFmtId="49" fontId="12" fillId="7" borderId="3" xfId="0" applyNumberFormat="1" applyFont="1" applyFill="1" applyBorder="1" applyAlignment="1" applyProtection="1">
      <alignment horizontal="left" vertical="top"/>
      <protection locked="0"/>
    </xf>
    <xf numFmtId="49" fontId="12" fillId="7" borderId="4" xfId="0" applyNumberFormat="1" applyFont="1" applyFill="1" applyBorder="1" applyAlignment="1" applyProtection="1">
      <alignment horizontal="left" vertical="top"/>
      <protection locked="0"/>
    </xf>
    <xf numFmtId="49" fontId="12" fillId="7" borderId="9" xfId="0" applyNumberFormat="1" applyFont="1" applyFill="1" applyBorder="1" applyAlignment="1" applyProtection="1">
      <alignment horizontal="left" vertical="top"/>
      <protection locked="0"/>
    </xf>
    <xf numFmtId="0" fontId="12" fillId="7" borderId="7" xfId="0" applyFont="1" applyFill="1" applyBorder="1" applyAlignment="1" applyProtection="1">
      <alignment horizontal="left"/>
      <protection locked="0"/>
    </xf>
    <xf numFmtId="0" fontId="12" fillId="0" borderId="1" xfId="0" applyFont="1" applyFill="1" applyBorder="1" applyAlignment="1" applyProtection="1">
      <alignment horizontal="right" vertical="center" wrapText="1"/>
      <protection/>
    </xf>
    <xf numFmtId="0" fontId="12" fillId="0" borderId="6" xfId="0" applyFont="1" applyFill="1" applyBorder="1" applyAlignment="1" applyProtection="1">
      <alignment horizontal="right" vertical="center" wrapText="1"/>
      <protection/>
    </xf>
    <xf numFmtId="0" fontId="12" fillId="0" borderId="18" xfId="0" applyFont="1" applyFill="1" applyBorder="1" applyAlignment="1" applyProtection="1">
      <alignment horizontal="right" vertical="center" wrapText="1"/>
      <protection/>
    </xf>
    <xf numFmtId="0" fontId="12" fillId="0" borderId="21" xfId="0" applyFont="1" applyFill="1" applyBorder="1" applyAlignment="1" applyProtection="1">
      <alignment horizontal="right" vertical="center" wrapText="1"/>
      <protection/>
    </xf>
    <xf numFmtId="0" fontId="12" fillId="0" borderId="12"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12" fillId="0" borderId="18" xfId="0" applyFont="1" applyFill="1" applyBorder="1" applyAlignment="1" applyProtection="1">
      <alignment horizontal="right" wrapText="1"/>
      <protection/>
    </xf>
    <xf numFmtId="0" fontId="12" fillId="0" borderId="21" xfId="0" applyFont="1" applyFill="1" applyBorder="1" applyAlignment="1" applyProtection="1">
      <alignment horizontal="right" wrapText="1"/>
      <protection/>
    </xf>
    <xf numFmtId="0" fontId="12" fillId="0" borderId="12" xfId="0" applyFont="1" applyFill="1" applyBorder="1" applyAlignment="1" applyProtection="1">
      <alignment horizontal="right" vertical="center" wrapText="1"/>
      <protection/>
    </xf>
    <xf numFmtId="0" fontId="12" fillId="0" borderId="13" xfId="0" applyFont="1" applyFill="1" applyBorder="1" applyAlignment="1" applyProtection="1">
      <alignment horizontal="right" vertical="center" wrapText="1"/>
      <protection/>
    </xf>
    <xf numFmtId="0" fontId="12" fillId="0" borderId="1" xfId="0" applyFont="1" applyFill="1" applyBorder="1" applyAlignment="1" applyProtection="1">
      <alignment horizontal="center"/>
      <protection/>
    </xf>
    <xf numFmtId="0" fontId="12" fillId="0" borderId="6" xfId="0" applyFont="1" applyFill="1" applyBorder="1" applyAlignment="1" applyProtection="1">
      <alignment horizontal="center"/>
      <protection/>
    </xf>
    <xf numFmtId="0" fontId="12" fillId="0" borderId="1" xfId="0" applyFont="1" applyBorder="1" applyAlignment="1" applyProtection="1">
      <alignment horizontal="left" vertical="top" wrapText="1"/>
      <protection/>
    </xf>
    <xf numFmtId="0" fontId="12" fillId="0" borderId="2" xfId="0" applyFont="1" applyBorder="1" applyAlignment="1" applyProtection="1">
      <alignment horizontal="left" vertical="top" wrapText="1"/>
      <protection/>
    </xf>
    <xf numFmtId="0" fontId="12" fillId="0" borderId="6" xfId="0" applyFont="1" applyBorder="1" applyAlignment="1" applyProtection="1">
      <alignment horizontal="left" vertical="top" wrapText="1"/>
      <protection/>
    </xf>
    <xf numFmtId="0" fontId="12" fillId="0" borderId="3" xfId="0" applyFont="1" applyBorder="1" applyAlignment="1" applyProtection="1">
      <alignment horizontal="left" vertical="top" wrapText="1"/>
      <protection/>
    </xf>
    <xf numFmtId="0" fontId="12" fillId="0" borderId="4" xfId="0" applyFont="1" applyBorder="1" applyAlignment="1" applyProtection="1">
      <alignment horizontal="left" vertical="top" wrapText="1"/>
      <protection/>
    </xf>
    <xf numFmtId="0" fontId="12" fillId="0" borderId="9" xfId="0" applyFont="1" applyBorder="1" applyAlignment="1" applyProtection="1">
      <alignment horizontal="left" vertical="top" wrapText="1"/>
      <protection/>
    </xf>
    <xf numFmtId="3" fontId="12" fillId="0" borderId="7" xfId="0" applyNumberFormat="1" applyFont="1" applyFill="1" applyBorder="1" applyAlignment="1" applyProtection="1">
      <alignment horizontal="right"/>
      <protection/>
    </xf>
    <xf numFmtId="3" fontId="12" fillId="0" borderId="8" xfId="0" applyNumberFormat="1" applyFont="1" applyFill="1" applyBorder="1" applyAlignment="1" applyProtection="1">
      <alignment horizontal="right"/>
      <protection/>
    </xf>
    <xf numFmtId="0" fontId="3" fillId="0" borderId="0" xfId="0" applyFont="1" applyFill="1" applyBorder="1" applyAlignment="1" applyProtection="1">
      <alignment horizontal="left" wrapText="1"/>
      <protection/>
    </xf>
    <xf numFmtId="0" fontId="12" fillId="0" borderId="1" xfId="0" applyFont="1" applyFill="1" applyBorder="1" applyAlignment="1" applyProtection="1">
      <alignment horizontal="center" vertical="top"/>
      <protection/>
    </xf>
    <xf numFmtId="0" fontId="12" fillId="0" borderId="2" xfId="0" applyFont="1" applyFill="1" applyBorder="1" applyAlignment="1" applyProtection="1">
      <alignment horizontal="center" vertical="top"/>
      <protection/>
    </xf>
    <xf numFmtId="0" fontId="12" fillId="0" borderId="6" xfId="0" applyFont="1" applyFill="1" applyBorder="1" applyAlignment="1" applyProtection="1">
      <alignment horizontal="center" vertical="top"/>
      <protection/>
    </xf>
    <xf numFmtId="3" fontId="12" fillId="0" borderId="1" xfId="0" applyNumberFormat="1" applyFont="1" applyFill="1" applyBorder="1" applyAlignment="1" applyProtection="1">
      <alignment horizontal="right"/>
      <protection/>
    </xf>
    <xf numFmtId="3" fontId="12" fillId="0" borderId="6" xfId="0" applyNumberFormat="1" applyFont="1" applyFill="1" applyBorder="1" applyAlignment="1" applyProtection="1">
      <alignment horizontal="right"/>
      <protection/>
    </xf>
    <xf numFmtId="0" fontId="18" fillId="0" borderId="0" xfId="0" applyFont="1" applyFill="1" applyBorder="1" applyAlignment="1" applyProtection="1">
      <alignment horizontal="left" wrapText="1"/>
      <protection/>
    </xf>
    <xf numFmtId="0" fontId="12" fillId="0" borderId="18" xfId="0" applyFont="1" applyBorder="1" applyAlignment="1" applyProtection="1">
      <alignment horizontal="left" vertical="top"/>
      <protection/>
    </xf>
    <xf numFmtId="0" fontId="12" fillId="0" borderId="19" xfId="0" applyFont="1" applyBorder="1" applyAlignment="1" applyProtection="1">
      <alignment horizontal="left" vertical="top"/>
      <protection/>
    </xf>
    <xf numFmtId="0" fontId="12" fillId="0" borderId="21" xfId="0" applyFont="1" applyBorder="1" applyAlignment="1" applyProtection="1">
      <alignment horizontal="left" vertical="top"/>
      <protection/>
    </xf>
    <xf numFmtId="0" fontId="12" fillId="0" borderId="18" xfId="0" applyFont="1" applyFill="1" applyBorder="1" applyAlignment="1" applyProtection="1">
      <alignment horizontal="right" vertical="center"/>
      <protection/>
    </xf>
    <xf numFmtId="0" fontId="12" fillId="0" borderId="21" xfId="0" applyFont="1" applyFill="1" applyBorder="1" applyAlignment="1" applyProtection="1">
      <alignment horizontal="right" vertical="center"/>
      <protection/>
    </xf>
    <xf numFmtId="3" fontId="11" fillId="0" borderId="18" xfId="0" applyNumberFormat="1" applyFont="1" applyFill="1" applyBorder="1" applyAlignment="1" applyProtection="1">
      <alignment horizontal="right"/>
      <protection/>
    </xf>
    <xf numFmtId="3" fontId="11" fillId="0" borderId="21" xfId="0" applyNumberFormat="1" applyFont="1" applyFill="1" applyBorder="1" applyAlignment="1" applyProtection="1">
      <alignment horizontal="right"/>
      <protection/>
    </xf>
    <xf numFmtId="3" fontId="12" fillId="0" borderId="0" xfId="0" applyNumberFormat="1" applyFont="1" applyFill="1" applyBorder="1" applyAlignment="1" applyProtection="1">
      <alignment horizontal="right"/>
      <protection/>
    </xf>
    <xf numFmtId="3" fontId="12" fillId="0" borderId="18" xfId="0" applyNumberFormat="1" applyFont="1" applyFill="1" applyBorder="1" applyAlignment="1" applyProtection="1">
      <alignment horizontal="right"/>
      <protection/>
    </xf>
    <xf numFmtId="3" fontId="12" fillId="0" borderId="21" xfId="0" applyNumberFormat="1" applyFont="1" applyFill="1" applyBorder="1" applyAlignment="1" applyProtection="1">
      <alignment horizontal="right"/>
      <protection/>
    </xf>
    <xf numFmtId="0" fontId="12" fillId="0" borderId="1" xfId="0" applyFont="1" applyFill="1" applyBorder="1" applyAlignment="1" applyProtection="1">
      <alignment horizontal="center"/>
      <protection/>
    </xf>
    <xf numFmtId="0" fontId="12" fillId="0" borderId="6" xfId="0" applyFont="1" applyFill="1" applyBorder="1" applyAlignment="1" applyProtection="1">
      <alignment horizontal="center"/>
      <protection/>
    </xf>
    <xf numFmtId="3" fontId="12" fillId="0" borderId="4" xfId="0" applyNumberFormat="1" applyFont="1" applyFill="1" applyBorder="1" applyAlignment="1" applyProtection="1">
      <alignment horizontal="center"/>
      <protection/>
    </xf>
    <xf numFmtId="3" fontId="12" fillId="0" borderId="9" xfId="0" applyNumberFormat="1" applyFont="1" applyFill="1" applyBorder="1" applyAlignment="1" applyProtection="1">
      <alignment horizontal="center"/>
      <protection/>
    </xf>
    <xf numFmtId="3" fontId="12" fillId="0" borderId="2" xfId="0" applyNumberFormat="1" applyFont="1" applyFill="1" applyBorder="1" applyAlignment="1" applyProtection="1">
      <alignment horizontal="center"/>
      <protection/>
    </xf>
    <xf numFmtId="3" fontId="12" fillId="0" borderId="6" xfId="0" applyNumberFormat="1" applyFont="1" applyFill="1" applyBorder="1" applyAlignment="1" applyProtection="1">
      <alignment horizontal="center"/>
      <protection/>
    </xf>
    <xf numFmtId="3" fontId="12" fillId="0" borderId="3" xfId="0" applyNumberFormat="1" applyFont="1" applyFill="1" applyBorder="1" applyAlignment="1" applyProtection="1">
      <alignment horizontal="center"/>
      <protection/>
    </xf>
    <xf numFmtId="0" fontId="1" fillId="0" borderId="1" xfId="0" applyFont="1" applyFill="1" applyBorder="1" applyAlignment="1" applyProtection="1">
      <alignment horizontal="left" vertical="top" wrapText="1"/>
      <protection/>
    </xf>
    <xf numFmtId="0" fontId="1" fillId="0" borderId="2" xfId="0" applyFont="1" applyFill="1" applyBorder="1" applyAlignment="1" applyProtection="1">
      <alignment horizontal="left" vertical="top" wrapText="1"/>
      <protection/>
    </xf>
    <xf numFmtId="0" fontId="1" fillId="0" borderId="6" xfId="0" applyFont="1" applyFill="1" applyBorder="1" applyAlignment="1" applyProtection="1">
      <alignment horizontal="left" vertical="top" wrapText="1"/>
      <protection/>
    </xf>
    <xf numFmtId="0" fontId="1" fillId="0" borderId="7"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8" xfId="0" applyFont="1" applyFill="1" applyBorder="1" applyAlignment="1" applyProtection="1">
      <alignment horizontal="left" vertical="top" wrapText="1"/>
      <protection/>
    </xf>
    <xf numFmtId="0" fontId="1" fillId="0" borderId="3" xfId="0" applyFont="1" applyFill="1" applyBorder="1" applyAlignment="1" applyProtection="1">
      <alignment horizontal="left" vertical="top" wrapText="1"/>
      <protection/>
    </xf>
    <xf numFmtId="0" fontId="1" fillId="0" borderId="4" xfId="0" applyFont="1" applyFill="1" applyBorder="1" applyAlignment="1" applyProtection="1">
      <alignment horizontal="left" vertical="top" wrapText="1"/>
      <protection/>
    </xf>
    <xf numFmtId="0" fontId="1" fillId="0" borderId="9" xfId="0" applyFont="1" applyFill="1" applyBorder="1" applyAlignment="1" applyProtection="1">
      <alignment horizontal="left" vertical="top" wrapText="1"/>
      <protection/>
    </xf>
    <xf numFmtId="3" fontId="12" fillId="0" borderId="3" xfId="0" applyNumberFormat="1" applyFont="1" applyFill="1" applyBorder="1" applyAlignment="1" applyProtection="1">
      <alignment horizontal="right"/>
      <protection/>
    </xf>
    <xf numFmtId="3" fontId="12" fillId="0" borderId="9" xfId="0" applyNumberFormat="1" applyFont="1" applyFill="1" applyBorder="1" applyAlignment="1" applyProtection="1">
      <alignment horizontal="right"/>
      <protection/>
    </xf>
    <xf numFmtId="3" fontId="12" fillId="0" borderId="3" xfId="0" applyNumberFormat="1" applyFont="1" applyBorder="1" applyAlignment="1" applyProtection="1">
      <alignment horizontal="center"/>
      <protection/>
    </xf>
    <xf numFmtId="3" fontId="12" fillId="0" borderId="9" xfId="0" applyNumberFormat="1" applyFont="1" applyBorder="1" applyAlignment="1" applyProtection="1">
      <alignment horizontal="center"/>
      <protection/>
    </xf>
    <xf numFmtId="3" fontId="12" fillId="0" borderId="1" xfId="0" applyNumberFormat="1" applyFont="1" applyBorder="1" applyAlignment="1" applyProtection="1">
      <alignment horizontal="center"/>
      <protection/>
    </xf>
    <xf numFmtId="3" fontId="12" fillId="0" borderId="6" xfId="0" applyNumberFormat="1" applyFont="1" applyBorder="1" applyAlignment="1" applyProtection="1">
      <alignment horizontal="center"/>
      <protection/>
    </xf>
    <xf numFmtId="0" fontId="12" fillId="0" borderId="1" xfId="0" applyFont="1" applyBorder="1" applyAlignment="1" applyProtection="1">
      <alignment horizontal="center" vertical="top"/>
      <protection/>
    </xf>
    <xf numFmtId="0" fontId="12" fillId="0" borderId="6" xfId="0" applyFont="1" applyBorder="1" applyAlignment="1" applyProtection="1">
      <alignment horizontal="center" vertical="top"/>
      <protection/>
    </xf>
    <xf numFmtId="3" fontId="12" fillId="0" borderId="1" xfId="0" applyNumberFormat="1" applyFont="1" applyFill="1" applyBorder="1" applyAlignment="1" applyProtection="1">
      <alignment horizontal="center"/>
      <protection/>
    </xf>
    <xf numFmtId="0" fontId="12" fillId="0" borderId="1" xfId="0" applyFont="1" applyFill="1" applyBorder="1" applyAlignment="1" applyProtection="1">
      <alignment horizontal="left" wrapText="1"/>
      <protection/>
    </xf>
    <xf numFmtId="0" fontId="12" fillId="0" borderId="6" xfId="0" applyFont="1" applyFill="1" applyBorder="1" applyAlignment="1" applyProtection="1">
      <alignment horizontal="left" wrapText="1"/>
      <protection/>
    </xf>
    <xf numFmtId="0" fontId="12" fillId="0" borderId="3" xfId="0" applyFont="1" applyFill="1" applyBorder="1" applyAlignment="1" applyProtection="1">
      <alignment horizontal="left" wrapText="1"/>
      <protection/>
    </xf>
    <xf numFmtId="0" fontId="12" fillId="0" borderId="9" xfId="0" applyFont="1" applyFill="1" applyBorder="1" applyAlignment="1" applyProtection="1">
      <alignment horizontal="left" wrapText="1"/>
      <protection/>
    </xf>
    <xf numFmtId="3" fontId="12" fillId="0" borderId="12" xfId="0" applyNumberFormat="1" applyFont="1" applyFill="1" applyBorder="1" applyAlignment="1" applyProtection="1">
      <alignment horizontal="center" vertical="center"/>
      <protection/>
    </xf>
    <xf numFmtId="3" fontId="12" fillId="0" borderId="13" xfId="0" applyNumberFormat="1" applyFont="1" applyFill="1" applyBorder="1" applyAlignment="1" applyProtection="1">
      <alignment horizontal="center" vertical="center"/>
      <protection/>
    </xf>
    <xf numFmtId="0" fontId="12" fillId="0" borderId="18" xfId="0" applyFont="1" applyBorder="1" applyAlignment="1" applyProtection="1">
      <alignment horizontal="center" vertical="top" wrapText="1"/>
      <protection/>
    </xf>
    <xf numFmtId="0" fontId="12" fillId="0" borderId="21" xfId="0" applyFont="1" applyBorder="1" applyAlignment="1" applyProtection="1">
      <alignment horizontal="center" vertical="top" wrapText="1"/>
      <protection/>
    </xf>
    <xf numFmtId="0" fontId="1" fillId="0" borderId="0" xfId="0" applyFont="1" applyFill="1" applyBorder="1" applyAlignment="1" applyProtection="1">
      <alignment horizontal="left" vertical="top" wrapText="1"/>
      <protection/>
    </xf>
    <xf numFmtId="0" fontId="0" fillId="0" borderId="1" xfId="0" applyBorder="1" applyAlignment="1" applyProtection="1">
      <alignment horizontal="center"/>
      <protection/>
    </xf>
    <xf numFmtId="0" fontId="0" fillId="0" borderId="6" xfId="0" applyBorder="1" applyAlignment="1" applyProtection="1">
      <alignment horizontal="center"/>
      <protection/>
    </xf>
    <xf numFmtId="0" fontId="0" fillId="0" borderId="15" xfId="0" applyBorder="1" applyAlignment="1" applyProtection="1">
      <alignment horizontal="left" vertical="top" wrapText="1"/>
      <protection/>
    </xf>
    <xf numFmtId="0" fontId="0" fillId="0" borderId="30"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0" borderId="2" xfId="0" applyFill="1" applyBorder="1" applyAlignment="1" applyProtection="1">
      <alignment horizontal="left" vertical="top" wrapText="1"/>
      <protection/>
    </xf>
    <xf numFmtId="0" fontId="0" fillId="0" borderId="4" xfId="0" applyFill="1" applyBorder="1" applyAlignment="1" applyProtection="1">
      <alignment horizontal="left" vertical="top" wrapText="1"/>
      <protection/>
    </xf>
    <xf numFmtId="0" fontId="0" fillId="4" borderId="0" xfId="0" applyFill="1" applyBorder="1" applyAlignment="1">
      <alignment horizontal="left" vertical="top" wrapText="1"/>
    </xf>
    <xf numFmtId="0" fontId="0" fillId="4" borderId="4"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Border="1" applyAlignment="1">
      <alignment horizontal="center"/>
    </xf>
    <xf numFmtId="0" fontId="0" fillId="0" borderId="20" xfId="0" applyFill="1" applyBorder="1" applyAlignment="1">
      <alignment horizontal="left" vertical="top" wrapText="1"/>
    </xf>
    <xf numFmtId="0" fontId="0" fillId="0" borderId="13" xfId="0" applyFill="1" applyBorder="1" applyAlignment="1">
      <alignment horizontal="left" vertical="top" wrapText="1"/>
    </xf>
    <xf numFmtId="0" fontId="0" fillId="6" borderId="0" xfId="0" applyFill="1" applyBorder="1" applyAlignment="1">
      <alignment horizontal="left" vertical="top" wrapText="1"/>
    </xf>
    <xf numFmtId="0" fontId="0" fillId="6" borderId="4" xfId="0" applyFill="1" applyBorder="1" applyAlignment="1">
      <alignment horizontal="left" vertical="top" wrapText="1"/>
    </xf>
    <xf numFmtId="0" fontId="0" fillId="3" borderId="0" xfId="0" applyFill="1" applyBorder="1" applyAlignment="1">
      <alignment horizontal="left" vertical="top" wrapText="1"/>
    </xf>
    <xf numFmtId="0" fontId="0" fillId="5" borderId="0" xfId="0" applyFill="1" applyBorder="1" applyAlignment="1">
      <alignment horizontal="left" vertical="top" wrapText="1"/>
    </xf>
    <xf numFmtId="0" fontId="0" fillId="5" borderId="4" xfId="0" applyFill="1" applyBorder="1" applyAlignment="1">
      <alignment horizontal="left" vertical="top" wrapText="1"/>
    </xf>
    <xf numFmtId="0" fontId="0" fillId="0" borderId="21" xfId="0" applyBorder="1" applyAlignment="1">
      <alignment horizontal="left"/>
    </xf>
    <xf numFmtId="0" fontId="0" fillId="0" borderId="5" xfId="0" applyBorder="1" applyAlignment="1">
      <alignment horizontal="left"/>
    </xf>
    <xf numFmtId="0" fontId="0" fillId="0" borderId="18" xfId="0" applyBorder="1" applyAlignment="1">
      <alignment horizontal="center"/>
    </xf>
    <xf numFmtId="0" fontId="0" fillId="0" borderId="21" xfId="0" applyBorder="1" applyAlignment="1">
      <alignment horizontal="center"/>
    </xf>
    <xf numFmtId="0" fontId="0" fillId="0" borderId="21" xfId="0" applyFill="1" applyBorder="1" applyAlignment="1">
      <alignment horizontal="left" vertical="top" wrapText="1"/>
    </xf>
    <xf numFmtId="1" fontId="0" fillId="0" borderId="3" xfId="0" applyNumberFormat="1" applyBorder="1" applyAlignment="1">
      <alignment horizontal="center"/>
    </xf>
    <xf numFmtId="1" fontId="0" fillId="0" borderId="9" xfId="0" applyNumberFormat="1" applyBorder="1" applyAlignment="1">
      <alignment horizontal="center"/>
    </xf>
    <xf numFmtId="0" fontId="0" fillId="0" borderId="0" xfId="0" applyFill="1" applyBorder="1" applyAlignment="1">
      <alignment horizontal="left" vertical="top" wrapText="1"/>
    </xf>
    <xf numFmtId="0" fontId="0" fillId="2" borderId="0" xfId="0" applyFill="1" applyBorder="1" applyAlignment="1">
      <alignment horizontal="left" vertical="top" wrapText="1"/>
    </xf>
    <xf numFmtId="0" fontId="0" fillId="2" borderId="4" xfId="0" applyFill="1" applyBorder="1" applyAlignment="1">
      <alignment horizontal="left" vertical="top" wrapText="1"/>
    </xf>
    <xf numFmtId="3" fontId="0" fillId="0" borderId="1" xfId="0" applyNumberFormat="1" applyBorder="1" applyAlignment="1">
      <alignment horizontal="center"/>
    </xf>
    <xf numFmtId="0" fontId="0" fillId="0" borderId="6" xfId="0"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0" fontId="0" fillId="0" borderId="0" xfId="0" applyAlignment="1" applyProtection="1">
      <alignment horizontal="right"/>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
          <c:w val="0.94375"/>
          <c:h val="0.882"/>
        </c:manualLayout>
      </c:layout>
      <c:scatterChart>
        <c:scatterStyle val="line"/>
        <c:varyColors val="0"/>
        <c:ser>
          <c:idx val="0"/>
          <c:order val="0"/>
          <c:tx>
            <c:strRef>
              <c:f>Rapport!$E$60</c:f>
              <c:strCache>
                <c:ptCount val="1"/>
                <c:pt idx="0">
                  <c:v>aktueller Ausbaugrad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noFill/>
              </a:ln>
            </c:spPr>
          </c:marker>
          <c:xVal>
            <c:numRef>
              <c:f>Rapport!$F$60</c:f>
              <c:numCache>
                <c:ptCount val="1"/>
                <c:pt idx="0">
                  <c:v>0</c:v>
                </c:pt>
              </c:numCache>
            </c:numRef>
          </c:xVal>
          <c:yVal>
            <c:numRef>
              <c:f>Rapport!$G$60</c:f>
              <c:numCache>
                <c:ptCount val="1"/>
                <c:pt idx="0">
                  <c:v>0</c:v>
                </c:pt>
              </c:numCache>
            </c:numRef>
          </c:yVal>
          <c:smooth val="0"/>
        </c:ser>
        <c:ser>
          <c:idx val="1"/>
          <c:order val="1"/>
          <c:tx>
            <c:strRef>
              <c:f>Rapport!$E$62</c:f>
              <c:strCache>
                <c:ptCount val="1"/>
                <c:pt idx="0">
                  <c:v>Ausbaugrad mit Zusatznutzen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xVal>
            <c:numRef>
              <c:f>Rapport!$F$62</c:f>
              <c:numCache>
                <c:ptCount val="1"/>
                <c:pt idx="0">
                  <c:v>0</c:v>
                </c:pt>
              </c:numCache>
            </c:numRef>
          </c:xVal>
          <c:yVal>
            <c:numRef>
              <c:f>Rapport!$G$62</c:f>
              <c:numCache>
                <c:ptCount val="1"/>
                <c:pt idx="0">
                  <c:v>0</c:v>
                </c:pt>
              </c:numCache>
            </c:numRef>
          </c:yVal>
          <c:smooth val="0"/>
        </c:ser>
        <c:axId val="9526056"/>
        <c:axId val="18625641"/>
      </c:scatterChart>
      <c:valAx>
        <c:axId val="9526056"/>
        <c:scaling>
          <c:orientation val="minMax"/>
          <c:max val="3"/>
        </c:scaling>
        <c:axPos val="b"/>
        <c:title>
          <c:tx>
            <c:rich>
              <a:bodyPr vert="horz" rot="0" anchor="ctr"/>
              <a:lstStyle/>
              <a:p>
                <a:pPr algn="ctr">
                  <a:defRPr/>
                </a:pPr>
                <a:r>
                  <a:rPr lang="en-US" cap="none" sz="800" b="0" i="0" u="none" baseline="0">
                    <a:latin typeface="Arial"/>
                    <a:ea typeface="Arial"/>
                    <a:cs typeface="Arial"/>
                  </a:rPr>
                  <a:t>Effectivité (utilité/coûts)</a:t>
                </a:r>
              </a:p>
            </c:rich>
          </c:tx>
          <c:layout>
            <c:manualLayout>
              <c:xMode val="factor"/>
              <c:yMode val="factor"/>
              <c:x val="0.004"/>
              <c:y val="0.00125"/>
            </c:manualLayout>
          </c:layout>
          <c:overlay val="0"/>
          <c:spPr>
            <a:noFill/>
            <a:ln>
              <a:noFill/>
            </a:ln>
          </c:spPr>
        </c:title>
        <c:delete val="0"/>
        <c:numFmt formatCode="General" sourceLinked="1"/>
        <c:majorTickMark val="out"/>
        <c:minorTickMark val="cross"/>
        <c:tickLblPos val="nextTo"/>
        <c:crossAx val="18625641"/>
        <c:crossesAt val="0"/>
        <c:crossBetween val="midCat"/>
        <c:dispUnits/>
        <c:majorUnit val="0.5"/>
        <c:minorUnit val="0.5"/>
      </c:valAx>
      <c:valAx>
        <c:axId val="18625641"/>
        <c:scaling>
          <c:orientation val="minMax"/>
          <c:max val="100"/>
          <c:min val="0"/>
        </c:scaling>
        <c:axPos val="l"/>
        <c:title>
          <c:tx>
            <c:rich>
              <a:bodyPr vert="horz" rot="-5400000" anchor="ctr"/>
              <a:lstStyle/>
              <a:p>
                <a:pPr algn="ctr">
                  <a:defRPr/>
                </a:pPr>
                <a:r>
                  <a:rPr lang="en-US" cap="none" sz="800" b="0" i="0" u="none" baseline="0">
                    <a:latin typeface="Arial"/>
                    <a:ea typeface="Arial"/>
                    <a:cs typeface="Arial"/>
                  </a:rPr>
                  <a:t>Efficacité (%)</a:t>
                </a:r>
              </a:p>
            </c:rich>
          </c:tx>
          <c:layout>
            <c:manualLayout>
              <c:xMode val="factor"/>
              <c:yMode val="factor"/>
              <c:x val="0.0005"/>
              <c:y val="-0.0005"/>
            </c:manualLayout>
          </c:layout>
          <c:overlay val="0"/>
          <c:spPr>
            <a:noFill/>
            <a:ln>
              <a:noFill/>
            </a:ln>
          </c:spPr>
        </c:title>
        <c:delete val="0"/>
        <c:numFmt formatCode="0" sourceLinked="0"/>
        <c:majorTickMark val="out"/>
        <c:minorTickMark val="none"/>
        <c:tickLblPos val="nextTo"/>
        <c:crossAx val="9526056"/>
        <c:crosses val="autoZero"/>
        <c:crossBetween val="midCat"/>
        <c:dispUnits/>
        <c:majorUnit val="20"/>
        <c:minorUnit val="1"/>
      </c:valAx>
      <c:spPr>
        <a:blipFill>
          <a:blip r:embed="rId1"/>
          <a:srcRect/>
          <a:stretch>
            <a:fillRect/>
          </a:stretch>
        </a:blipFill>
        <a:ln w="3175">
          <a:solidFill>
            <a:srgbClr val="000000"/>
          </a:solidFill>
        </a:ln>
      </c:spPr>
    </c:plotArea>
    <c:legend>
      <c:legendPos val="r"/>
      <c:layout>
        <c:manualLayout>
          <c:xMode val="edge"/>
          <c:yMode val="edge"/>
          <c:x val="0.144"/>
          <c:y val="0.931"/>
          <c:w val="0.80975"/>
          <c:h val="0.069"/>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xdr:row>
      <xdr:rowOff>66675</xdr:rowOff>
    </xdr:from>
    <xdr:to>
      <xdr:col>18</xdr:col>
      <xdr:colOff>200025</xdr:colOff>
      <xdr:row>34</xdr:row>
      <xdr:rowOff>104775</xdr:rowOff>
    </xdr:to>
    <xdr:sp>
      <xdr:nvSpPr>
        <xdr:cNvPr id="1" name="TextBox 2"/>
        <xdr:cNvSpPr txBox="1">
          <a:spLocks noChangeArrowheads="1"/>
        </xdr:cNvSpPr>
      </xdr:nvSpPr>
      <xdr:spPr>
        <a:xfrm>
          <a:off x="7429500" y="600075"/>
          <a:ext cx="3981450" cy="5353050"/>
        </a:xfrm>
        <a:prstGeom prst="rect">
          <a:avLst/>
        </a:prstGeom>
        <a:solidFill>
          <a:srgbClr val="FFFFFF"/>
        </a:solidFill>
        <a:ln w="9525" cmpd="sng">
          <a:solidFill>
            <a:srgbClr val="000000"/>
          </a:solidFill>
          <a:headEnd type="none"/>
          <a:tailEnd type="none"/>
        </a:ln>
      </xdr:spPr>
      <xdr:txBody>
        <a:bodyPr vertOverflow="clip" wrap="square" lIns="72000" tIns="46800" rIns="72000" bIns="46800"/>
        <a:p>
          <a:pPr algn="l">
            <a:defRPr/>
          </a:pPr>
          <a:r>
            <a:rPr lang="en-US" cap="none" sz="800" b="1" i="0" u="none" baseline="0">
              <a:latin typeface="Arial"/>
              <a:ea typeface="Arial"/>
              <a:cs typeface="Arial"/>
            </a:rPr>
            <a:t>N° objet:</a:t>
          </a:r>
          <a:r>
            <a:rPr lang="en-US" cap="none" sz="800" b="0" i="0" u="none" baseline="0">
              <a:latin typeface="Arial"/>
              <a:ea typeface="Arial"/>
              <a:cs typeface="Arial"/>
            </a:rPr>
            <a:t> Les numéros d'objet doivent être des nombres entiers positifs. Les désignations telles que p.ex. "1.1" ou "1a" ne sont pas possibles.
</a:t>
          </a:r>
          <a:r>
            <a:rPr lang="en-US" cap="none" sz="800" b="1" i="0" u="none" baseline="0">
              <a:latin typeface="Arial"/>
              <a:ea typeface="Arial"/>
              <a:cs typeface="Arial"/>
            </a:rPr>
            <a:t>N° point: </a:t>
          </a:r>
          <a:r>
            <a:rPr lang="en-US" cap="none" sz="800" b="0" i="0" u="none" baseline="0">
              <a:latin typeface="Arial"/>
              <a:ea typeface="Arial"/>
              <a:cs typeface="Arial"/>
            </a:rPr>
            <a:t>La numérotation des récepteurs est libre. Les identificateurs tels que p.ex."1.1", "1a" ou "1+2" sont possibles.
</a:t>
          </a:r>
          <a:r>
            <a:rPr lang="en-US" cap="none" sz="800" b="1" i="0" u="none" baseline="0">
              <a:latin typeface="Arial"/>
              <a:ea typeface="Arial"/>
              <a:cs typeface="Arial"/>
            </a:rPr>
            <a:t>Etage:</a:t>
          </a:r>
          <a:r>
            <a:rPr lang="en-US" cap="none" sz="800" b="0" i="0" u="none" baseline="0">
              <a:latin typeface="Arial"/>
              <a:ea typeface="Arial"/>
              <a:cs typeface="Arial"/>
            </a:rPr>
            <a:t> L'étage est indiqué à l'aide d'un nombre entier positif:
            - Rez-de-chaussée (RC)             =   0
            - 1er étage                                   =   1
            - 2e étage                                    =   2        etc.
</a:t>
          </a:r>
          <a:r>
            <a:rPr lang="en-US" cap="none" sz="800" b="1" i="0" u="none" baseline="0">
              <a:latin typeface="Arial"/>
              <a:ea typeface="Arial"/>
              <a:cs typeface="Arial"/>
            </a:rPr>
            <a:t>DS:</a:t>
          </a:r>
          <a:r>
            <a:rPr lang="en-US" cap="none" sz="800" b="0" i="0" u="none" baseline="0">
              <a:latin typeface="Arial"/>
              <a:ea typeface="Arial"/>
              <a:cs typeface="Arial"/>
            </a:rPr>
            <a:t> Les degrés de sensibilité sont à saisir à l'aide des lettres majuscules "I" et "V" (p.ex. II, III, IV). Lorsque l'objet est utilisé uniquement en tant que bâtiment d'exploitation, le DS doit être complété avec un "B" majuscule (p.ex. IIIB). 
</a:t>
          </a:r>
          <a:r>
            <a:rPr lang="en-US" cap="none" sz="800" b="1" i="0" u="none" baseline="0">
              <a:latin typeface="Arial"/>
              <a:ea typeface="Arial"/>
              <a:cs typeface="Arial"/>
            </a:rPr>
            <a:t>WE </a:t>
          </a:r>
          <a:r>
            <a:rPr lang="en-US" cap="none" sz="800" b="0" i="0" u="none" baseline="0">
              <a:latin typeface="Arial"/>
              <a:ea typeface="Arial"/>
              <a:cs typeface="Arial"/>
            </a:rPr>
            <a:t>(Wohneinheit)</a:t>
          </a:r>
          <a:r>
            <a:rPr lang="en-US" cap="none" sz="800" b="1" i="0" u="none" baseline="0">
              <a:latin typeface="Arial"/>
              <a:ea typeface="Arial"/>
              <a:cs typeface="Arial"/>
            </a:rPr>
            <a:t>:</a:t>
          </a:r>
          <a:r>
            <a:rPr lang="en-US" cap="none" sz="800" b="0" i="0" u="none" baseline="0">
              <a:latin typeface="Arial"/>
              <a:ea typeface="Arial"/>
              <a:cs typeface="Arial"/>
            </a:rPr>
            <a:t> Pour le calcul de l'indice d'efficacité-route (Wirkungs-Index-Strasse WIstr),  il faut attribuer à chaque point de calcul le nombre d'unités d'habitation correspondant (1 appartement = 1 unité d'habitation = 1 WE):
        - Pour les immeubles: 1 WE = 1 appartement
        - Pour les maisons collectives: 1 WE = 1 appartement
        - Pour les maisons inviduelles: 1 WE = 1 maison, et
          si la maison possède 2 étages: 1 étage = 1/2 unité d’habitation (WE)
          si la maison possède 3 étages: 1 étage = 1/3 unité d’habitation (WE)   etc.
</a:t>
          </a:r>
          <a:r>
            <a:rPr lang="en-US" cap="none" sz="800" b="1" i="0" u="none" baseline="0">
              <a:latin typeface="Arial"/>
              <a:ea typeface="Arial"/>
              <a:cs typeface="Arial"/>
            </a:rPr>
            <a:t>Parc.: </a:t>
          </a:r>
          <a:r>
            <a:rPr lang="en-US" cap="none" sz="800" b="0" i="0" u="none" baseline="0">
              <a:latin typeface="Arial"/>
              <a:ea typeface="Arial"/>
              <a:cs typeface="Arial"/>
            </a:rPr>
            <a:t>Les parcelles non construites sont indiquées avec un "x" minuscule dans cette colonne. Leur utilité n'est prise en compte que pour le calcul de l'utilité supplémentaire (densité de construction 100%).
</a:t>
          </a:r>
          <a:r>
            <a:rPr lang="en-US" cap="none" sz="800" b="1" i="0" u="none" baseline="0">
              <a:latin typeface="Arial"/>
              <a:ea typeface="Arial"/>
              <a:cs typeface="Arial"/>
            </a:rPr>
            <a:t>GF</a:t>
          </a:r>
          <a:r>
            <a:rPr lang="en-US" cap="none" sz="800" b="1" i="0" u="none" baseline="-25000">
              <a:latin typeface="Arial"/>
              <a:ea typeface="Arial"/>
              <a:cs typeface="Arial"/>
            </a:rPr>
            <a:t>lärm </a:t>
          </a:r>
          <a:r>
            <a:rPr lang="en-US" cap="none" sz="800" b="0" i="0" u="none" baseline="0">
              <a:latin typeface="Arial"/>
              <a:ea typeface="Arial"/>
              <a:cs typeface="Arial"/>
            </a:rPr>
            <a:t>(surface de plancher): On attribue à chaque point de calcul la surface de plancher exposée au bruit (GF</a:t>
          </a:r>
          <a:r>
            <a:rPr lang="en-US" cap="none" sz="800" b="0" i="0" u="none" baseline="-25000">
              <a:latin typeface="Arial"/>
              <a:ea typeface="Arial"/>
              <a:cs typeface="Arial"/>
            </a:rPr>
            <a:t>lärm</a:t>
          </a:r>
          <a:r>
            <a:rPr lang="en-US" cap="none" sz="800" b="0" i="0" u="none" baseline="0">
              <a:latin typeface="Arial"/>
              <a:ea typeface="Arial"/>
              <a:cs typeface="Arial"/>
            </a:rPr>
            <a:t>) correspondante, en m2.
</a:t>
          </a:r>
          <a:r>
            <a:rPr lang="en-US" cap="none" sz="800" b="1" i="0" u="none" baseline="0">
              <a:latin typeface="Arial"/>
              <a:ea typeface="Arial"/>
              <a:cs typeface="Arial"/>
            </a:rPr>
            <a:t>Lr avec/sans mesures et efficacité:</a:t>
          </a:r>
          <a:r>
            <a:rPr lang="en-US" cap="none" sz="800" b="0" i="0" u="none" baseline="0">
              <a:latin typeface="Arial"/>
              <a:ea typeface="Arial"/>
              <a:cs typeface="Arial"/>
            </a:rPr>
            <a:t> L'efficacité des mesures est calculée automatiquement pour chaque point à partir des charges acoustiques (Lr) avec/sans mesures de la période la plus critique.
</a:t>
          </a:r>
          <a:r>
            <a:rPr lang="en-US" cap="none" sz="800" b="1" i="0" u="none" baseline="0">
              <a:latin typeface="Arial"/>
              <a:ea typeface="Arial"/>
              <a:cs typeface="Arial"/>
            </a:rPr>
            <a:t>Insérer/supprimer ligne:</a:t>
          </a:r>
          <a:r>
            <a:rPr lang="en-US" cap="none" sz="800" b="0" i="0" u="none" baseline="0">
              <a:latin typeface="Arial"/>
              <a:ea typeface="Arial"/>
              <a:cs typeface="Arial"/>
            </a:rPr>
            <a:t> Le nombre de lignes du tableau peut être modifié à l'aide des deux boutons de commande "insérer une nouvelle ligne" et "supprimer la dernière ligne". Le nombre de ligne est modifié automatiquement dans toutes les autres feuilles de calcul.
</a:t>
          </a:r>
          <a:r>
            <a:rPr lang="en-US" cap="none" sz="800" b="1" i="0" u="none" baseline="0">
              <a:latin typeface="Arial"/>
              <a:ea typeface="Arial"/>
              <a:cs typeface="Arial"/>
            </a:rPr>
            <a:t>Charges acoustiques &lt; VP: </a:t>
          </a:r>
          <a:r>
            <a:rPr lang="en-US" cap="none" sz="800" b="0" i="0" u="none" baseline="0">
              <a:latin typeface="Arial"/>
              <a:ea typeface="Arial"/>
              <a:cs typeface="Arial"/>
            </a:rPr>
            <a:t>Tous les objets exposés entre VLI et VLI - 5 dBA sont pris en compte lors du calcul de la rentabilité (WT) des mesures. La proportion d'utilité engendrée par des zones sans dépassement de la VLI est indiqué dans la feuille de calcul "Rapport".
</a:t>
          </a:r>
          <a:r>
            <a:rPr lang="en-US" cap="none" sz="800" b="0" i="1" u="none" baseline="0">
              <a:latin typeface="Arial"/>
              <a:ea typeface="Arial"/>
              <a:cs typeface="Arial"/>
            </a:rPr>
            <a:t>
21.02.08 / G+P asc</a:t>
          </a:r>
        </a:p>
      </xdr:txBody>
    </xdr:sp>
    <xdr:clientData/>
  </xdr:twoCellAnchor>
  <xdr:twoCellAnchor>
    <xdr:from>
      <xdr:col>0</xdr:col>
      <xdr:colOff>0</xdr:colOff>
      <xdr:row>39</xdr:row>
      <xdr:rowOff>0</xdr:rowOff>
    </xdr:from>
    <xdr:to>
      <xdr:col>2</xdr:col>
      <xdr:colOff>180975</xdr:colOff>
      <xdr:row>41</xdr:row>
      <xdr:rowOff>76200</xdr:rowOff>
    </xdr:to>
    <xdr:pic>
      <xdr:nvPicPr>
        <xdr:cNvPr id="2" name="neueZeile"/>
        <xdr:cNvPicPr preferRelativeResize="1">
          <a:picLocks noChangeAspect="1"/>
        </xdr:cNvPicPr>
      </xdr:nvPicPr>
      <xdr:blipFill>
        <a:blip r:embed="rId1"/>
        <a:stretch>
          <a:fillRect/>
        </a:stretch>
      </xdr:blipFill>
      <xdr:spPr>
        <a:xfrm>
          <a:off x="0" y="6696075"/>
          <a:ext cx="1390650" cy="400050"/>
        </a:xfrm>
        <a:prstGeom prst="rect">
          <a:avLst/>
        </a:prstGeom>
        <a:noFill/>
        <a:ln w="9525" cmpd="sng">
          <a:noFill/>
        </a:ln>
      </xdr:spPr>
    </xdr:pic>
    <xdr:clientData fPrintsWithSheet="0"/>
  </xdr:twoCellAnchor>
  <xdr:twoCellAnchor>
    <xdr:from>
      <xdr:col>3</xdr:col>
      <xdr:colOff>0</xdr:colOff>
      <xdr:row>39</xdr:row>
      <xdr:rowOff>0</xdr:rowOff>
    </xdr:from>
    <xdr:to>
      <xdr:col>7</xdr:col>
      <xdr:colOff>352425</xdr:colOff>
      <xdr:row>41</xdr:row>
      <xdr:rowOff>76200</xdr:rowOff>
    </xdr:to>
    <xdr:pic>
      <xdr:nvPicPr>
        <xdr:cNvPr id="3" name="Zeile_löschen"/>
        <xdr:cNvPicPr preferRelativeResize="1">
          <a:picLocks noChangeAspect="1"/>
        </xdr:cNvPicPr>
      </xdr:nvPicPr>
      <xdr:blipFill>
        <a:blip r:embed="rId2"/>
        <a:stretch>
          <a:fillRect/>
        </a:stretch>
      </xdr:blipFill>
      <xdr:spPr>
        <a:xfrm>
          <a:off x="1638300" y="6696075"/>
          <a:ext cx="1781175" cy="4000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24</xdr:row>
      <xdr:rowOff>57150</xdr:rowOff>
    </xdr:from>
    <xdr:to>
      <xdr:col>15</xdr:col>
      <xdr:colOff>1009650</xdr:colOff>
      <xdr:row>36</xdr:row>
      <xdr:rowOff>57150</xdr:rowOff>
    </xdr:to>
    <xdr:grpSp>
      <xdr:nvGrpSpPr>
        <xdr:cNvPr id="1" name="Group 105"/>
        <xdr:cNvGrpSpPr>
          <a:grpSpLocks/>
        </xdr:cNvGrpSpPr>
      </xdr:nvGrpSpPr>
      <xdr:grpSpPr>
        <a:xfrm>
          <a:off x="5686425" y="4829175"/>
          <a:ext cx="5343525" cy="1943100"/>
          <a:chOff x="597" y="507"/>
          <a:chExt cx="561" cy="204"/>
        </a:xfrm>
        <a:solidFill>
          <a:srgbClr val="FFFFFF"/>
        </a:solidFill>
      </xdr:grpSpPr>
      <xdr:pic>
        <xdr:nvPicPr>
          <xdr:cNvPr id="2" name="Picture 100"/>
          <xdr:cNvPicPr preferRelativeResize="1">
            <a:picLocks noChangeAspect="1"/>
          </xdr:cNvPicPr>
        </xdr:nvPicPr>
        <xdr:blipFill>
          <a:blip r:embed="rId1"/>
          <a:stretch>
            <a:fillRect/>
          </a:stretch>
        </xdr:blipFill>
        <xdr:spPr>
          <a:xfrm>
            <a:off x="597" y="507"/>
            <a:ext cx="561" cy="204"/>
          </a:xfrm>
          <a:prstGeom prst="rect">
            <a:avLst/>
          </a:prstGeom>
          <a:noFill/>
          <a:ln w="9525" cmpd="sng">
            <a:noFill/>
          </a:ln>
        </xdr:spPr>
      </xdr:pic>
      <xdr:sp>
        <xdr:nvSpPr>
          <xdr:cNvPr id="3" name="TextBox 102"/>
          <xdr:cNvSpPr txBox="1">
            <a:spLocks noChangeArrowheads="1"/>
          </xdr:cNvSpPr>
        </xdr:nvSpPr>
        <xdr:spPr>
          <a:xfrm>
            <a:off x="808" y="559"/>
            <a:ext cx="64" cy="19"/>
          </a:xfrm>
          <a:prstGeom prst="rect">
            <a:avLst/>
          </a:prstGeom>
          <a:solidFill>
            <a:srgbClr val="FFFFFF"/>
          </a:solidFill>
          <a:ln w="9525" cmpd="sng">
            <a:noFill/>
          </a:ln>
        </xdr:spPr>
        <xdr:txBody>
          <a:bodyPr vertOverflow="clip" wrap="square">
            <a:spAutoFit/>
          </a:bodyPr>
          <a:p>
            <a:pPr algn="l">
              <a:defRPr/>
            </a:pPr>
            <a:r>
              <a:rPr lang="en-US" cap="none" sz="800" b="0" i="0" u="none" baseline="0">
                <a:latin typeface="Arial"/>
                <a:ea typeface="Arial"/>
                <a:cs typeface="Arial"/>
              </a:rPr>
              <a:t>1'700 Fr/m2</a:t>
            </a:r>
          </a:p>
        </xdr:txBody>
      </xdr:sp>
      <xdr:sp>
        <xdr:nvSpPr>
          <xdr:cNvPr id="4" name="Rectangle 104"/>
          <xdr:cNvSpPr>
            <a:spLocks/>
          </xdr:cNvSpPr>
        </xdr:nvSpPr>
        <xdr:spPr>
          <a:xfrm>
            <a:off x="693" y="678"/>
            <a:ext cx="102" cy="18"/>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(efficacité ≥ 1 dBA)</a:t>
            </a:r>
          </a:p>
        </xdr:txBody>
      </xdr:sp>
    </xdr:grpSp>
    <xdr:clientData/>
  </xdr:twoCellAnchor>
  <xdr:twoCellAnchor>
    <xdr:from>
      <xdr:col>0</xdr:col>
      <xdr:colOff>0</xdr:colOff>
      <xdr:row>24</xdr:row>
      <xdr:rowOff>38100</xdr:rowOff>
    </xdr:from>
    <xdr:to>
      <xdr:col>9</xdr:col>
      <xdr:colOff>104775</xdr:colOff>
      <xdr:row>36</xdr:row>
      <xdr:rowOff>76200</xdr:rowOff>
    </xdr:to>
    <xdr:sp>
      <xdr:nvSpPr>
        <xdr:cNvPr id="5" name="TextBox 4"/>
        <xdr:cNvSpPr txBox="1">
          <a:spLocks noChangeArrowheads="1"/>
        </xdr:cNvSpPr>
      </xdr:nvSpPr>
      <xdr:spPr>
        <a:xfrm>
          <a:off x="0" y="4810125"/>
          <a:ext cx="5676900" cy="1981200"/>
        </a:xfrm>
        <a:prstGeom prst="rect">
          <a:avLst/>
        </a:prstGeom>
        <a:solidFill>
          <a:srgbClr val="FFFFFF"/>
        </a:solidFill>
        <a:ln w="9525" cmpd="sng">
          <a:noFill/>
        </a:ln>
      </xdr:spPr>
      <xdr:txBody>
        <a:bodyPr vertOverflow="clip" wrap="square" lIns="72000" tIns="46800" rIns="72000" bIns="46800"/>
        <a:p>
          <a:pPr algn="l">
            <a:defRPr/>
          </a:pPr>
          <a:r>
            <a:rPr lang="en-US" cap="none" sz="800" b="1" i="0" u="none" baseline="0">
              <a:latin typeface="Arial"/>
              <a:ea typeface="Arial"/>
              <a:cs typeface="Arial"/>
            </a:rPr>
            <a:t>Description des coûts: </a:t>
          </a:r>
          <a:r>
            <a:rPr lang="en-US" cap="none" sz="800" b="0" i="0" u="none" baseline="0">
              <a:latin typeface="Arial"/>
              <a:ea typeface="Arial"/>
              <a:cs typeface="Arial"/>
            </a:rPr>
            <a:t>Utiliser une ligne par type de mesure contre le bruit (p.ex. parois antibruit, couverture etc.)  
</a:t>
          </a:r>
          <a:r>
            <a:rPr lang="en-US" cap="none" sz="800" b="1" i="0" u="none" baseline="0">
              <a:latin typeface="Arial"/>
              <a:ea typeface="Arial"/>
              <a:cs typeface="Arial"/>
            </a:rPr>
            <a:t>Coûts d'investissement, intérêts sur le capital, part des coûts d'investissement pour l'exploitation et l'entretien, durée de vie: </a:t>
          </a:r>
          <a:r>
            <a:rPr lang="en-US" cap="none" sz="800" b="0" i="0" u="none" baseline="0">
              <a:latin typeface="Arial"/>
              <a:ea typeface="Arial"/>
              <a:cs typeface="Arial"/>
            </a:rPr>
            <a:t>Si ces données ne sont pas disponibles pour le projet, il est possible d'utiliser les valeurs indicatives de l'annexe 4a du Manuel du Bruit Routier (voir tableau ci-contre).
</a:t>
          </a:r>
          <a:r>
            <a:rPr lang="en-US" cap="none" sz="800" b="1" i="0" u="none" baseline="0">
              <a:latin typeface="Arial"/>
              <a:ea typeface="Arial"/>
              <a:cs typeface="Arial"/>
            </a:rPr>
            <a:t>Type de revêtement:</a:t>
          </a:r>
          <a:r>
            <a:rPr lang="en-US" cap="none" sz="800" b="0" i="0" u="none" baseline="0">
              <a:latin typeface="Arial"/>
              <a:ea typeface="Arial"/>
              <a:cs typeface="Arial"/>
            </a:rPr>
            <a:t> Désignation du revêtement peu bruyant mis en oeuvre (p.ex. revêt. drainant PA, macrorugueux AC MR8)
</a:t>
          </a:r>
          <a:r>
            <a:rPr lang="en-US" cap="none" sz="800" b="1" i="0" u="none" baseline="0">
              <a:latin typeface="Arial"/>
              <a:ea typeface="Arial"/>
              <a:cs typeface="Arial"/>
            </a:rPr>
            <a:t>Coûts du revêtement:</a:t>
          </a:r>
          <a:r>
            <a:rPr lang="en-US" cap="none" sz="800" b="0" i="0" u="none" baseline="0">
              <a:latin typeface="Arial"/>
              <a:ea typeface="Arial"/>
              <a:cs typeface="Arial"/>
            </a:rPr>
            <a:t> Coûts d'investissement par m</a:t>
          </a:r>
          <a:r>
            <a:rPr lang="en-US" cap="none" sz="800" b="0" i="0" u="none" baseline="30000">
              <a:latin typeface="Arial"/>
              <a:ea typeface="Arial"/>
              <a:cs typeface="Arial"/>
            </a:rPr>
            <a:t>2</a:t>
          </a:r>
          <a:r>
            <a:rPr lang="en-US" cap="none" sz="800" b="0" i="0" u="none" baseline="0">
              <a:latin typeface="Arial"/>
              <a:ea typeface="Arial"/>
              <a:cs typeface="Arial"/>
            </a:rPr>
            <a:t> de revêtement (voir tableau ci-contre)
</a:t>
          </a:r>
          <a:r>
            <a:rPr lang="en-US" cap="none" sz="800" b="1" i="0" u="none" baseline="0">
              <a:latin typeface="Arial"/>
              <a:ea typeface="Arial"/>
              <a:cs typeface="Arial"/>
            </a:rPr>
            <a:t>Coûts supplémentaires dus au bruit:</a:t>
          </a:r>
          <a:r>
            <a:rPr lang="en-US" cap="none" sz="800" b="0" i="0" u="none" baseline="0">
              <a:latin typeface="Arial"/>
              <a:ea typeface="Arial"/>
              <a:cs typeface="Arial"/>
            </a:rPr>
            <a:t> Coûts supplémentaires du nouveau revêtement par rapport à celui de référence</a:t>
          </a:r>
          <a:r>
            <a:rPr lang="en-US" cap="none" sz="800" b="1" i="0" u="none" baseline="0">
              <a:latin typeface="Arial"/>
              <a:ea typeface="Arial"/>
              <a:cs typeface="Arial"/>
            </a:rPr>
            <a:t>
Coûts annuels:</a:t>
          </a:r>
          <a:r>
            <a:rPr lang="en-US" cap="none" sz="800" b="0" i="0" u="none" baseline="0">
              <a:latin typeface="Arial"/>
              <a:ea typeface="Arial"/>
              <a:cs typeface="Arial"/>
            </a:rPr>
            <a:t> Calculés automatiquement à partir des coûts financiers, des coûts d'amortissement et des coûts pour l'exploitation et l'entretien.  En cas de pose d'un revêtement acoustiquement plus favorable, les coûts annuels sont formés à partir de la différence entre le coûts annuel total du nouveau revêtement et celui du revêtement de référence.
</a:t>
          </a:r>
          <a:r>
            <a:rPr lang="en-US" cap="none" sz="800" b="0" i="1" u="none" baseline="0">
              <a:latin typeface="Arial"/>
              <a:ea typeface="Arial"/>
              <a:cs typeface="Arial"/>
            </a:rPr>
            <a:t>21.02.08 / G+P asc</a:t>
          </a:r>
          <a:r>
            <a:rPr lang="en-US" cap="none" sz="1000" b="0" i="0" u="none" baseline="0">
              <a:latin typeface="Arial"/>
              <a:ea typeface="Arial"/>
              <a:cs typeface="Arial"/>
            </a:rPr>
            <a:t>
</a:t>
          </a:r>
        </a:p>
      </xdr:txBody>
    </xdr:sp>
    <xdr:clientData/>
  </xdr:twoCellAnchor>
  <xdr:twoCellAnchor>
    <xdr:from>
      <xdr:col>0</xdr:col>
      <xdr:colOff>0</xdr:colOff>
      <xdr:row>24</xdr:row>
      <xdr:rowOff>47625</xdr:rowOff>
    </xdr:from>
    <xdr:to>
      <xdr:col>15</xdr:col>
      <xdr:colOff>1009650</xdr:colOff>
      <xdr:row>36</xdr:row>
      <xdr:rowOff>57150</xdr:rowOff>
    </xdr:to>
    <xdr:sp>
      <xdr:nvSpPr>
        <xdr:cNvPr id="6" name="Rectangle 10"/>
        <xdr:cNvSpPr>
          <a:spLocks/>
        </xdr:cNvSpPr>
      </xdr:nvSpPr>
      <xdr:spPr>
        <a:xfrm>
          <a:off x="0" y="4819650"/>
          <a:ext cx="11029950" cy="1952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47625</xdr:rowOff>
    </xdr:from>
    <xdr:to>
      <xdr:col>10</xdr:col>
      <xdr:colOff>0</xdr:colOff>
      <xdr:row>36</xdr:row>
      <xdr:rowOff>57150</xdr:rowOff>
    </xdr:to>
    <xdr:sp>
      <xdr:nvSpPr>
        <xdr:cNvPr id="7" name="Line 11"/>
        <xdr:cNvSpPr>
          <a:spLocks/>
        </xdr:cNvSpPr>
      </xdr:nvSpPr>
      <xdr:spPr>
        <a:xfrm>
          <a:off x="5686425" y="4819650"/>
          <a:ext cx="0"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55</xdr:row>
      <xdr:rowOff>76200</xdr:rowOff>
    </xdr:from>
    <xdr:to>
      <xdr:col>7</xdr:col>
      <xdr:colOff>962025</xdr:colOff>
      <xdr:row>70</xdr:row>
      <xdr:rowOff>266700</xdr:rowOff>
    </xdr:to>
    <xdr:grpSp>
      <xdr:nvGrpSpPr>
        <xdr:cNvPr id="1" name="Group 18"/>
        <xdr:cNvGrpSpPr>
          <a:grpSpLocks/>
        </xdr:cNvGrpSpPr>
      </xdr:nvGrpSpPr>
      <xdr:grpSpPr>
        <a:xfrm>
          <a:off x="4819650" y="9534525"/>
          <a:ext cx="3790950" cy="2971800"/>
          <a:chOff x="506" y="1001"/>
          <a:chExt cx="398" cy="312"/>
        </a:xfrm>
        <a:solidFill>
          <a:srgbClr val="FFFFFF"/>
        </a:solidFill>
      </xdr:grpSpPr>
      <xdr:graphicFrame>
        <xdr:nvGraphicFramePr>
          <xdr:cNvPr id="2" name="Chart 1"/>
          <xdr:cNvGraphicFramePr/>
        </xdr:nvGraphicFramePr>
        <xdr:xfrm>
          <a:off x="506" y="1001"/>
          <a:ext cx="398" cy="299"/>
        </xdr:xfrm>
        <a:graphic>
          <a:graphicData uri="http://schemas.openxmlformats.org/drawingml/2006/chart">
            <c:chart xmlns:c="http://schemas.openxmlformats.org/drawingml/2006/chart" r:id="rId1"/>
          </a:graphicData>
        </a:graphic>
      </xdr:graphicFrame>
      <xdr:sp>
        <xdr:nvSpPr>
          <xdr:cNvPr id="3" name="Rectangle 7"/>
          <xdr:cNvSpPr>
            <a:spLocks/>
          </xdr:cNvSpPr>
        </xdr:nvSpPr>
        <xdr:spPr>
          <a:xfrm>
            <a:off x="725" y="1277"/>
            <a:ext cx="164" cy="36"/>
          </a:xfrm>
          <a:prstGeom prst="rect">
            <a:avLst/>
          </a:prstGeom>
          <a:solidFill>
            <a:srgbClr val="FFFFFF"/>
          </a:solidFill>
          <a:ln w="9525" cmpd="sng">
            <a:noFill/>
          </a:ln>
        </xdr:spPr>
        <xdr:txBody>
          <a:bodyPr vertOverflow="clip" wrap="square" lIns="18000" tIns="18000" rIns="18000" bIns="18000"/>
          <a:p>
            <a:pPr algn="l">
              <a:defRPr/>
            </a:pPr>
            <a:r>
              <a:rPr lang="en-US" cap="none" sz="800" b="0" i="0" u="none" baseline="0">
                <a:latin typeface="Arial"/>
                <a:ea typeface="Arial"/>
                <a:cs typeface="Arial"/>
              </a:rPr>
              <a:t>densité de construction 100% (avec utilité supplémentaire)     </a:t>
            </a:r>
          </a:p>
        </xdr:txBody>
      </xdr:sp>
      <xdr:sp>
        <xdr:nvSpPr>
          <xdr:cNvPr id="4" name="Rectangle 8"/>
          <xdr:cNvSpPr>
            <a:spLocks/>
          </xdr:cNvSpPr>
        </xdr:nvSpPr>
        <xdr:spPr>
          <a:xfrm>
            <a:off x="552" y="1277"/>
            <a:ext cx="157" cy="17"/>
          </a:xfrm>
          <a:prstGeom prst="rect">
            <a:avLst/>
          </a:prstGeom>
          <a:solidFill>
            <a:srgbClr val="FFFFFF"/>
          </a:solidFill>
          <a:ln w="9525" cmpd="sng">
            <a:noFill/>
          </a:ln>
        </xdr:spPr>
        <xdr:txBody>
          <a:bodyPr vertOverflow="clip" wrap="square" lIns="18000" tIns="18000" rIns="18000" bIns="18000"/>
          <a:p>
            <a:pPr algn="l">
              <a:defRPr/>
            </a:pPr>
            <a:r>
              <a:rPr lang="en-US" cap="none" sz="800" b="0" i="0" u="none" baseline="0">
                <a:latin typeface="Arial"/>
                <a:ea typeface="Arial"/>
                <a:cs typeface="Arial"/>
              </a:rPr>
              <a:t>densité de construction actuelle</a:t>
            </a:r>
          </a:p>
        </xdr:txBody>
      </xdr:sp>
      <xdr:sp>
        <xdr:nvSpPr>
          <xdr:cNvPr id="5" name="AutoShape 9"/>
          <xdr:cNvSpPr>
            <a:spLocks/>
          </xdr:cNvSpPr>
        </xdr:nvSpPr>
        <xdr:spPr>
          <a:xfrm>
            <a:off x="544" y="1284"/>
            <a:ext cx="6" cy="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933450</xdr:colOff>
      <xdr:row>57</xdr:row>
      <xdr:rowOff>95250</xdr:rowOff>
    </xdr:from>
    <xdr:to>
      <xdr:col>13</xdr:col>
      <xdr:colOff>0</xdr:colOff>
      <xdr:row>64</xdr:row>
      <xdr:rowOff>38100</xdr:rowOff>
    </xdr:to>
    <xdr:grpSp>
      <xdr:nvGrpSpPr>
        <xdr:cNvPr id="6" name="Group 16"/>
        <xdr:cNvGrpSpPr>
          <a:grpSpLocks/>
        </xdr:cNvGrpSpPr>
      </xdr:nvGrpSpPr>
      <xdr:grpSpPr>
        <a:xfrm>
          <a:off x="8582025" y="10039350"/>
          <a:ext cx="1219200" cy="1323975"/>
          <a:chOff x="901" y="1054"/>
          <a:chExt cx="128" cy="128"/>
        </a:xfrm>
        <a:solidFill>
          <a:srgbClr val="FFFFFF"/>
        </a:solidFill>
      </xdr:grpSpPr>
      <xdr:pic>
        <xdr:nvPicPr>
          <xdr:cNvPr id="7" name="Picture 2"/>
          <xdr:cNvPicPr preferRelativeResize="1">
            <a:picLocks noChangeAspect="1"/>
          </xdr:cNvPicPr>
        </xdr:nvPicPr>
        <xdr:blipFill>
          <a:blip r:embed="rId2"/>
          <a:stretch>
            <a:fillRect/>
          </a:stretch>
        </xdr:blipFill>
        <xdr:spPr>
          <a:xfrm>
            <a:off x="901" y="1054"/>
            <a:ext cx="128" cy="128"/>
          </a:xfrm>
          <a:prstGeom prst="rect">
            <a:avLst/>
          </a:prstGeom>
          <a:noFill/>
          <a:ln w="9525" cmpd="sng">
            <a:noFill/>
          </a:ln>
        </xdr:spPr>
      </xdr:pic>
      <xdr:sp>
        <xdr:nvSpPr>
          <xdr:cNvPr id="8" name="Rectangle 11"/>
          <xdr:cNvSpPr>
            <a:spLocks/>
          </xdr:cNvSpPr>
        </xdr:nvSpPr>
        <xdr:spPr>
          <a:xfrm>
            <a:off x="957" y="1057"/>
            <a:ext cx="66"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très bon</a:t>
            </a:r>
            <a:r>
              <a:rPr lang="en-US" cap="none" sz="1000" b="0" i="0" u="none" baseline="0">
                <a:latin typeface="Arial"/>
                <a:ea typeface="Arial"/>
                <a:cs typeface="Arial"/>
              </a:rPr>
              <a:t>
</a:t>
            </a:r>
          </a:p>
        </xdr:txBody>
      </xdr:sp>
      <xdr:sp>
        <xdr:nvSpPr>
          <xdr:cNvPr id="9" name="Rectangle 12"/>
          <xdr:cNvSpPr>
            <a:spLocks/>
          </xdr:cNvSpPr>
        </xdr:nvSpPr>
        <xdr:spPr>
          <a:xfrm>
            <a:off x="957" y="1083"/>
            <a:ext cx="62"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bon</a:t>
            </a:r>
            <a:r>
              <a:rPr lang="en-US" cap="none" sz="1000" b="0" i="0" u="none" baseline="0">
                <a:latin typeface="Arial"/>
                <a:ea typeface="Arial"/>
                <a:cs typeface="Arial"/>
              </a:rPr>
              <a:t>
</a:t>
            </a:r>
          </a:p>
        </xdr:txBody>
      </xdr:sp>
      <xdr:sp>
        <xdr:nvSpPr>
          <xdr:cNvPr id="10" name="Rectangle 13"/>
          <xdr:cNvSpPr>
            <a:spLocks/>
          </xdr:cNvSpPr>
        </xdr:nvSpPr>
        <xdr:spPr>
          <a:xfrm>
            <a:off x="957" y="1107"/>
            <a:ext cx="69"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suffisant</a:t>
            </a:r>
            <a:r>
              <a:rPr lang="en-US" cap="none" sz="1000" b="0" i="0" u="none" baseline="0">
                <a:latin typeface="Arial"/>
                <a:ea typeface="Arial"/>
                <a:cs typeface="Arial"/>
              </a:rPr>
              <a:t>
</a:t>
            </a:r>
          </a:p>
        </xdr:txBody>
      </xdr:sp>
      <xdr:sp>
        <xdr:nvSpPr>
          <xdr:cNvPr id="11" name="Rectangle 14"/>
          <xdr:cNvSpPr>
            <a:spLocks/>
          </xdr:cNvSpPr>
        </xdr:nvSpPr>
        <xdr:spPr>
          <a:xfrm>
            <a:off x="957" y="1133"/>
            <a:ext cx="67"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insuffisant</a:t>
            </a:r>
            <a:r>
              <a:rPr lang="en-US" cap="none" sz="1000" b="0" i="0" u="none" baseline="0">
                <a:latin typeface="Arial"/>
                <a:ea typeface="Arial"/>
                <a:cs typeface="Arial"/>
              </a:rPr>
              <a:t>
</a:t>
            </a:r>
          </a:p>
        </xdr:txBody>
      </xdr:sp>
      <xdr:sp>
        <xdr:nvSpPr>
          <xdr:cNvPr id="12" name="Rectangle 15"/>
          <xdr:cNvSpPr>
            <a:spLocks/>
          </xdr:cNvSpPr>
        </xdr:nvSpPr>
        <xdr:spPr>
          <a:xfrm>
            <a:off x="958" y="1158"/>
            <a:ext cx="65" cy="22"/>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mauvais</a:t>
            </a:r>
            <a:r>
              <a:rPr lang="en-US" cap="none" sz="1000" b="0" i="0" u="none" baseline="0">
                <a:latin typeface="Arial"/>
                <a:ea typeface="Arial"/>
                <a:cs typeface="Aria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41"/>
  <sheetViews>
    <sheetView tabSelected="1" workbookViewId="0" topLeftCell="A1">
      <selection activeCell="C6" sqref="C6:L6"/>
    </sheetView>
  </sheetViews>
  <sheetFormatPr defaultColWidth="11.421875" defaultRowHeight="12.75"/>
  <cols>
    <col min="1" max="1" width="10.7109375" style="47" customWidth="1"/>
    <col min="2" max="2" width="7.421875" style="47" customWidth="1"/>
    <col min="3" max="3" width="6.421875" style="47" customWidth="1"/>
    <col min="4" max="4" width="4.421875" style="47" customWidth="1"/>
    <col min="5" max="5" width="6.00390625" style="47" customWidth="1"/>
    <col min="6" max="6" width="5.140625" style="47" customWidth="1"/>
    <col min="7" max="7" width="5.8515625" style="47" customWidth="1"/>
    <col min="8" max="12" width="10.7109375" style="47" customWidth="1"/>
    <col min="13" max="16384" width="11.421875" style="47" customWidth="1"/>
  </cols>
  <sheetData>
    <row r="1" ht="13.5" customHeight="1"/>
    <row r="2" s="70" customFormat="1" ht="15">
      <c r="A2" s="70" t="s">
        <v>171</v>
      </c>
    </row>
    <row r="3" ht="13.5" customHeight="1">
      <c r="N3" s="71" t="s">
        <v>45</v>
      </c>
    </row>
    <row r="4" spans="1:12" s="53" customFormat="1" ht="13.5" customHeight="1">
      <c r="A4" s="51" t="s">
        <v>172</v>
      </c>
      <c r="B4" s="52"/>
      <c r="C4" s="52"/>
      <c r="D4" s="52"/>
      <c r="E4" s="52"/>
      <c r="F4" s="52"/>
      <c r="G4" s="52"/>
      <c r="H4" s="52"/>
      <c r="I4" s="52"/>
      <c r="J4" s="52"/>
      <c r="K4" s="52"/>
      <c r="L4" s="52"/>
    </row>
    <row r="5" s="53" customFormat="1" ht="13.5" customHeight="1"/>
    <row r="6" spans="1:12" s="53" customFormat="1" ht="13.5" customHeight="1">
      <c r="A6" s="54" t="s">
        <v>44</v>
      </c>
      <c r="B6" s="55"/>
      <c r="C6" s="271"/>
      <c r="D6" s="272"/>
      <c r="E6" s="272"/>
      <c r="F6" s="272"/>
      <c r="G6" s="272"/>
      <c r="H6" s="272"/>
      <c r="I6" s="272"/>
      <c r="J6" s="272"/>
      <c r="K6" s="272"/>
      <c r="L6" s="273"/>
    </row>
    <row r="7" spans="1:12" s="53" customFormat="1" ht="13.5" customHeight="1">
      <c r="A7" s="54" t="s">
        <v>43</v>
      </c>
      <c r="B7" s="55"/>
      <c r="C7" s="271"/>
      <c r="D7" s="272"/>
      <c r="E7" s="272"/>
      <c r="F7" s="272"/>
      <c r="G7" s="272"/>
      <c r="H7" s="272"/>
      <c r="I7" s="272"/>
      <c r="J7" s="272"/>
      <c r="K7" s="272"/>
      <c r="L7" s="273"/>
    </row>
    <row r="8" spans="1:12" s="53" customFormat="1" ht="13.5" customHeight="1">
      <c r="A8" s="56" t="s">
        <v>41</v>
      </c>
      <c r="B8" s="57"/>
      <c r="C8" s="274"/>
      <c r="D8" s="275"/>
      <c r="E8" s="275"/>
      <c r="F8" s="275"/>
      <c r="G8" s="275"/>
      <c r="H8" s="275"/>
      <c r="I8" s="275"/>
      <c r="J8" s="275"/>
      <c r="K8" s="275"/>
      <c r="L8" s="276"/>
    </row>
    <row r="9" spans="1:12" s="53" customFormat="1" ht="13.5" customHeight="1">
      <c r="A9" s="58"/>
      <c r="B9" s="59"/>
      <c r="C9" s="277"/>
      <c r="D9" s="278"/>
      <c r="E9" s="278"/>
      <c r="F9" s="278"/>
      <c r="G9" s="278"/>
      <c r="H9" s="278"/>
      <c r="I9" s="278"/>
      <c r="J9" s="278"/>
      <c r="K9" s="278"/>
      <c r="L9" s="279"/>
    </row>
    <row r="10" spans="1:12" s="53" customFormat="1" ht="13.5" customHeight="1">
      <c r="A10" s="56" t="s">
        <v>42</v>
      </c>
      <c r="B10" s="57"/>
      <c r="C10" s="274"/>
      <c r="D10" s="275"/>
      <c r="E10" s="275"/>
      <c r="F10" s="275"/>
      <c r="G10" s="275"/>
      <c r="H10" s="275"/>
      <c r="I10" s="275"/>
      <c r="J10" s="275"/>
      <c r="K10" s="275"/>
      <c r="L10" s="276"/>
    </row>
    <row r="11" spans="1:12" s="53" customFormat="1" ht="13.5" customHeight="1">
      <c r="A11" s="58"/>
      <c r="B11" s="59"/>
      <c r="C11" s="277"/>
      <c r="D11" s="278"/>
      <c r="E11" s="278"/>
      <c r="F11" s="278"/>
      <c r="G11" s="278"/>
      <c r="H11" s="278"/>
      <c r="I11" s="278"/>
      <c r="J11" s="278"/>
      <c r="K11" s="278"/>
      <c r="L11" s="279"/>
    </row>
    <row r="12" s="53" customFormat="1" ht="13.5" customHeight="1"/>
    <row r="13" spans="1:12" s="53" customFormat="1" ht="13.5" customHeight="1">
      <c r="A13" s="51" t="s">
        <v>55</v>
      </c>
      <c r="B13" s="52"/>
      <c r="C13" s="52"/>
      <c r="D13" s="52"/>
      <c r="E13" s="52"/>
      <c r="F13" s="52"/>
      <c r="G13" s="52"/>
      <c r="H13" s="52"/>
      <c r="I13" s="52"/>
      <c r="J13" s="52"/>
      <c r="K13" s="52"/>
      <c r="L13" s="52"/>
    </row>
    <row r="14" s="53" customFormat="1" ht="13.5" customHeight="1"/>
    <row r="15" spans="1:12" s="53" customFormat="1" ht="13.5" customHeight="1">
      <c r="A15" s="60" t="s">
        <v>46</v>
      </c>
      <c r="B15" s="60" t="s">
        <v>47</v>
      </c>
      <c r="C15" s="60" t="s">
        <v>3</v>
      </c>
      <c r="D15" s="60" t="s">
        <v>48</v>
      </c>
      <c r="E15" s="60" t="s">
        <v>8</v>
      </c>
      <c r="F15" s="61" t="s">
        <v>49</v>
      </c>
      <c r="G15" s="57" t="s">
        <v>31</v>
      </c>
      <c r="H15" s="56" t="s">
        <v>50</v>
      </c>
      <c r="I15" s="62"/>
      <c r="J15" s="56" t="s">
        <v>51</v>
      </c>
      <c r="K15" s="62"/>
      <c r="L15" s="63" t="s">
        <v>54</v>
      </c>
    </row>
    <row r="16" spans="1:12" s="53" customFormat="1" ht="13.5" customHeight="1">
      <c r="A16" s="64"/>
      <c r="B16" s="64"/>
      <c r="C16" s="64"/>
      <c r="D16" s="64"/>
      <c r="E16" s="64"/>
      <c r="F16" s="65"/>
      <c r="G16" s="59"/>
      <c r="H16" s="58" t="s">
        <v>52</v>
      </c>
      <c r="I16" s="66" t="s">
        <v>53</v>
      </c>
      <c r="J16" s="58" t="s">
        <v>52</v>
      </c>
      <c r="K16" s="66" t="s">
        <v>53</v>
      </c>
      <c r="L16" s="66"/>
    </row>
    <row r="17" spans="1:12" s="69" customFormat="1" ht="13.5" customHeight="1">
      <c r="A17" s="97"/>
      <c r="B17" s="97"/>
      <c r="C17" s="97"/>
      <c r="D17" s="67"/>
      <c r="E17" s="67"/>
      <c r="F17" s="68"/>
      <c r="G17" s="67"/>
      <c r="H17" s="67"/>
      <c r="I17" s="67"/>
      <c r="J17" s="67"/>
      <c r="K17" s="67"/>
      <c r="L17" s="270">
        <f>IF(SUM(H17:K17)&gt;0,IF(H17+I17=0,"",IF(J17+K17=0,"",IF(H17-I17&gt;10,J17-H17,IF(K17=0,J17-H17,K17-I17)))),"")</f>
      </c>
    </row>
    <row r="18" spans="1:12" s="69" customFormat="1" ht="13.5" customHeight="1">
      <c r="A18" s="97"/>
      <c r="B18" s="97"/>
      <c r="C18" s="97"/>
      <c r="D18" s="67"/>
      <c r="E18" s="67"/>
      <c r="F18" s="68"/>
      <c r="G18" s="67"/>
      <c r="H18" s="67"/>
      <c r="I18" s="67"/>
      <c r="J18" s="67"/>
      <c r="K18" s="67"/>
      <c r="L18" s="270">
        <f aca="true" t="shared" si="0" ref="L18:L38">IF(SUM(H18:K18)&gt;0,IF(H18+I18=0,"",IF(J18+K18=0,"",IF(H18-I18&gt;10,J18-H18,IF(K18=0,J18-H18,K18-I18)))),"")</f>
      </c>
    </row>
    <row r="19" spans="1:12" s="69" customFormat="1" ht="13.5" customHeight="1">
      <c r="A19" s="97"/>
      <c r="B19" s="97"/>
      <c r="C19" s="97"/>
      <c r="D19" s="67"/>
      <c r="E19" s="67"/>
      <c r="F19" s="68"/>
      <c r="G19" s="67"/>
      <c r="H19" s="67"/>
      <c r="I19" s="67"/>
      <c r="J19" s="67"/>
      <c r="K19" s="67"/>
      <c r="L19" s="270">
        <f t="shared" si="0"/>
      </c>
    </row>
    <row r="20" spans="1:12" s="69" customFormat="1" ht="13.5" customHeight="1">
      <c r="A20" s="97"/>
      <c r="B20" s="97"/>
      <c r="C20" s="97"/>
      <c r="D20" s="67"/>
      <c r="E20" s="67"/>
      <c r="F20" s="68"/>
      <c r="G20" s="67"/>
      <c r="H20" s="67"/>
      <c r="I20" s="67"/>
      <c r="J20" s="67"/>
      <c r="K20" s="67"/>
      <c r="L20" s="270">
        <f t="shared" si="0"/>
      </c>
    </row>
    <row r="21" spans="1:12" s="69" customFormat="1" ht="13.5" customHeight="1">
      <c r="A21" s="97"/>
      <c r="B21" s="97"/>
      <c r="C21" s="97"/>
      <c r="D21" s="67"/>
      <c r="E21" s="67"/>
      <c r="F21" s="68"/>
      <c r="G21" s="67"/>
      <c r="H21" s="67"/>
      <c r="I21" s="67"/>
      <c r="J21" s="67"/>
      <c r="K21" s="67"/>
      <c r="L21" s="270">
        <f t="shared" si="0"/>
      </c>
    </row>
    <row r="22" spans="1:12" s="69" customFormat="1" ht="13.5" customHeight="1">
      <c r="A22" s="97"/>
      <c r="B22" s="97"/>
      <c r="C22" s="97"/>
      <c r="D22" s="67"/>
      <c r="E22" s="67"/>
      <c r="F22" s="68"/>
      <c r="G22" s="67"/>
      <c r="H22" s="67"/>
      <c r="I22" s="67"/>
      <c r="J22" s="67"/>
      <c r="K22" s="67"/>
      <c r="L22" s="270">
        <f t="shared" si="0"/>
      </c>
    </row>
    <row r="23" spans="1:12" s="69" customFormat="1" ht="13.5" customHeight="1">
      <c r="A23" s="97"/>
      <c r="B23" s="97"/>
      <c r="C23" s="97"/>
      <c r="D23" s="67"/>
      <c r="E23" s="67"/>
      <c r="F23" s="68"/>
      <c r="G23" s="67"/>
      <c r="H23" s="67"/>
      <c r="I23" s="67"/>
      <c r="J23" s="67"/>
      <c r="K23" s="67"/>
      <c r="L23" s="270">
        <f t="shared" si="0"/>
      </c>
    </row>
    <row r="24" spans="1:12" s="69" customFormat="1" ht="13.5" customHeight="1">
      <c r="A24" s="97"/>
      <c r="B24" s="97"/>
      <c r="C24" s="97"/>
      <c r="D24" s="67"/>
      <c r="E24" s="67"/>
      <c r="F24" s="68"/>
      <c r="G24" s="67"/>
      <c r="H24" s="67"/>
      <c r="I24" s="67"/>
      <c r="J24" s="67"/>
      <c r="K24" s="67"/>
      <c r="L24" s="270">
        <f t="shared" si="0"/>
      </c>
    </row>
    <row r="25" spans="1:12" s="69" customFormat="1" ht="13.5" customHeight="1">
      <c r="A25" s="97"/>
      <c r="B25" s="97"/>
      <c r="C25" s="97"/>
      <c r="D25" s="67"/>
      <c r="E25" s="67"/>
      <c r="F25" s="68"/>
      <c r="G25" s="67"/>
      <c r="H25" s="67"/>
      <c r="I25" s="67"/>
      <c r="J25" s="67"/>
      <c r="K25" s="67"/>
      <c r="L25" s="270">
        <f t="shared" si="0"/>
      </c>
    </row>
    <row r="26" spans="1:12" s="69" customFormat="1" ht="13.5" customHeight="1">
      <c r="A26" s="97"/>
      <c r="B26" s="97"/>
      <c r="C26" s="97"/>
      <c r="D26" s="67"/>
      <c r="E26" s="67"/>
      <c r="F26" s="68"/>
      <c r="G26" s="67"/>
      <c r="H26" s="67"/>
      <c r="I26" s="67"/>
      <c r="J26" s="67"/>
      <c r="K26" s="67"/>
      <c r="L26" s="270">
        <f t="shared" si="0"/>
      </c>
    </row>
    <row r="27" spans="1:12" s="69" customFormat="1" ht="13.5" customHeight="1">
      <c r="A27" s="97"/>
      <c r="B27" s="97"/>
      <c r="C27" s="97"/>
      <c r="D27" s="67"/>
      <c r="E27" s="67"/>
      <c r="F27" s="68"/>
      <c r="G27" s="67"/>
      <c r="H27" s="67"/>
      <c r="I27" s="67"/>
      <c r="J27" s="67"/>
      <c r="K27" s="67"/>
      <c r="L27" s="270">
        <f t="shared" si="0"/>
      </c>
    </row>
    <row r="28" spans="1:12" s="69" customFormat="1" ht="13.5" customHeight="1">
      <c r="A28" s="97"/>
      <c r="B28" s="97"/>
      <c r="C28" s="97"/>
      <c r="D28" s="67"/>
      <c r="E28" s="67"/>
      <c r="F28" s="68"/>
      <c r="G28" s="67"/>
      <c r="H28" s="67"/>
      <c r="I28" s="67"/>
      <c r="J28" s="67"/>
      <c r="K28" s="67"/>
      <c r="L28" s="270">
        <f t="shared" si="0"/>
      </c>
    </row>
    <row r="29" spans="1:12" s="69" customFormat="1" ht="13.5" customHeight="1">
      <c r="A29" s="97"/>
      <c r="B29" s="97"/>
      <c r="C29" s="97"/>
      <c r="D29" s="67"/>
      <c r="E29" s="67"/>
      <c r="F29" s="68"/>
      <c r="G29" s="67"/>
      <c r="H29" s="67"/>
      <c r="I29" s="67"/>
      <c r="J29" s="67"/>
      <c r="K29" s="67"/>
      <c r="L29" s="270">
        <f t="shared" si="0"/>
      </c>
    </row>
    <row r="30" spans="1:12" s="69" customFormat="1" ht="13.5" customHeight="1">
      <c r="A30" s="97"/>
      <c r="B30" s="97"/>
      <c r="C30" s="97"/>
      <c r="D30" s="67"/>
      <c r="E30" s="67"/>
      <c r="F30" s="68"/>
      <c r="G30" s="67"/>
      <c r="H30" s="67"/>
      <c r="I30" s="67"/>
      <c r="J30" s="67"/>
      <c r="K30" s="67"/>
      <c r="L30" s="270">
        <f t="shared" si="0"/>
      </c>
    </row>
    <row r="31" spans="1:12" s="69" customFormat="1" ht="13.5" customHeight="1">
      <c r="A31" s="97"/>
      <c r="B31" s="97"/>
      <c r="C31" s="97"/>
      <c r="D31" s="67"/>
      <c r="E31" s="67"/>
      <c r="F31" s="68"/>
      <c r="G31" s="67"/>
      <c r="H31" s="67"/>
      <c r="I31" s="67"/>
      <c r="J31" s="67"/>
      <c r="K31" s="67"/>
      <c r="L31" s="270">
        <f t="shared" si="0"/>
      </c>
    </row>
    <row r="32" spans="1:12" s="69" customFormat="1" ht="13.5" customHeight="1">
      <c r="A32" s="97"/>
      <c r="B32" s="97"/>
      <c r="C32" s="97"/>
      <c r="D32" s="67"/>
      <c r="E32" s="67"/>
      <c r="F32" s="68"/>
      <c r="G32" s="67"/>
      <c r="H32" s="67"/>
      <c r="I32" s="67"/>
      <c r="J32" s="67"/>
      <c r="K32" s="67"/>
      <c r="L32" s="270">
        <f t="shared" si="0"/>
      </c>
    </row>
    <row r="33" spans="1:12" s="69" customFormat="1" ht="13.5" customHeight="1">
      <c r="A33" s="97"/>
      <c r="B33" s="97"/>
      <c r="C33" s="97"/>
      <c r="D33" s="67"/>
      <c r="E33" s="67"/>
      <c r="F33" s="68"/>
      <c r="G33" s="67"/>
      <c r="H33" s="67"/>
      <c r="I33" s="67"/>
      <c r="J33" s="67"/>
      <c r="K33" s="67"/>
      <c r="L33" s="270">
        <f t="shared" si="0"/>
      </c>
    </row>
    <row r="34" spans="1:12" s="69" customFormat="1" ht="13.5" customHeight="1">
      <c r="A34" s="97"/>
      <c r="B34" s="97"/>
      <c r="C34" s="97"/>
      <c r="D34" s="67"/>
      <c r="E34" s="67"/>
      <c r="F34" s="68"/>
      <c r="G34" s="67"/>
      <c r="H34" s="67"/>
      <c r="I34" s="67"/>
      <c r="J34" s="67"/>
      <c r="K34" s="67"/>
      <c r="L34" s="270">
        <f t="shared" si="0"/>
      </c>
    </row>
    <row r="35" spans="1:12" s="69" customFormat="1" ht="13.5" customHeight="1">
      <c r="A35" s="97"/>
      <c r="B35" s="97"/>
      <c r="C35" s="97"/>
      <c r="D35" s="67"/>
      <c r="E35" s="67"/>
      <c r="F35" s="68"/>
      <c r="G35" s="67"/>
      <c r="H35" s="67"/>
      <c r="I35" s="67"/>
      <c r="J35" s="67"/>
      <c r="K35" s="67"/>
      <c r="L35" s="270">
        <f t="shared" si="0"/>
      </c>
    </row>
    <row r="36" spans="1:12" s="69" customFormat="1" ht="13.5" customHeight="1">
      <c r="A36" s="97"/>
      <c r="B36" s="97"/>
      <c r="C36" s="97"/>
      <c r="D36" s="67"/>
      <c r="E36" s="67"/>
      <c r="F36" s="68"/>
      <c r="G36" s="67"/>
      <c r="H36" s="67"/>
      <c r="I36" s="67"/>
      <c r="J36" s="67"/>
      <c r="K36" s="67"/>
      <c r="L36" s="270">
        <f t="shared" si="0"/>
      </c>
    </row>
    <row r="37" spans="1:12" s="69" customFormat="1" ht="13.5" customHeight="1">
      <c r="A37" s="97"/>
      <c r="B37" s="97"/>
      <c r="C37" s="97"/>
      <c r="D37" s="67"/>
      <c r="E37" s="67"/>
      <c r="F37" s="68"/>
      <c r="G37" s="67"/>
      <c r="H37" s="67"/>
      <c r="I37" s="67"/>
      <c r="J37" s="67"/>
      <c r="K37" s="67"/>
      <c r="L37" s="270">
        <f t="shared" si="0"/>
      </c>
    </row>
    <row r="38" spans="1:12" s="69" customFormat="1" ht="13.5" customHeight="1">
      <c r="A38" s="97"/>
      <c r="B38" s="97"/>
      <c r="C38" s="97"/>
      <c r="D38" s="67"/>
      <c r="E38" s="67"/>
      <c r="F38" s="68"/>
      <c r="G38" s="67"/>
      <c r="H38" s="67"/>
      <c r="I38" s="67"/>
      <c r="J38" s="67"/>
      <c r="K38" s="67"/>
      <c r="L38" s="270">
        <f t="shared" si="0"/>
      </c>
    </row>
    <row r="39" spans="1:12" ht="12.75">
      <c r="A39" s="48"/>
      <c r="B39" s="48"/>
      <c r="C39" s="48"/>
      <c r="D39" s="48"/>
      <c r="E39" s="48"/>
      <c r="F39" s="48"/>
      <c r="G39" s="46"/>
      <c r="H39" s="48"/>
      <c r="I39" s="48"/>
      <c r="J39" s="48"/>
      <c r="K39" s="48"/>
      <c r="L39" s="212"/>
    </row>
    <row r="41" ht="12.75">
      <c r="L41" s="385" t="s">
        <v>177</v>
      </c>
    </row>
    <row r="55" ht="25.5" customHeight="1"/>
  </sheetData>
  <sheetProtection sheet="1" objects="1" scenarios="1"/>
  <mergeCells count="4">
    <mergeCell ref="C6:L6"/>
    <mergeCell ref="C10:L11"/>
    <mergeCell ref="C8:L9"/>
    <mergeCell ref="C7:L7"/>
  </mergeCells>
  <dataValidations count="9">
    <dataValidation type="whole" operator="greaterThanOrEqual" allowBlank="1" showInputMessage="1" showErrorMessage="1" errorTitle="Ungültige Eingabe" error="Die eingegebene Objekt Nr. muss eine ganze, positive Zahl sein (z.B. 1, 2, 3, usw.)." sqref="A17:A39">
      <formula1>0</formula1>
    </dataValidation>
    <dataValidation type="whole" operator="greaterThanOrEqual" allowBlank="1" showInputMessage="1" showErrorMessage="1" errorTitle="Ungültige Eingabe" error="Die eingegebene Pkt. Nr. muss eine ganze, positive Zahl sein (z.B. 1, 2, 3, usw.)." sqref="B39">
      <formula1>0</formula1>
    </dataValidation>
    <dataValidation type="whole" operator="greaterThanOrEqual" allowBlank="1" showInputMessage="1" showErrorMessage="1" errorTitle="Ungültige Eingabe" error="Die eingegebene Etage muss eine ganze, positive Zahl sein:&#10;Erdgeschoss (EG)              =  0&#10;1. Obergeschoss (1. OG)  =  1&#10;2. Obergeschoss (2. OG)  =  2&#10;usw." sqref="C17:C39">
      <formula1>0</formula1>
    </dataValidation>
    <dataValidation type="list" showInputMessage="1" showErrorMessage="1" errorTitle="Ungültige Eingabe" error="Die eingegebene Empfindlichkeitsstufe (ES) existiert nicht. Sie muss mit den Grossbuchstaben &quot;I&quot;, &quot;V&quot; und &quot;B&quot; bezeichnet werden." sqref="D17:D38 D39">
      <formula1>"II,IIB,III,IIIB,IV"</formula1>
    </dataValidation>
    <dataValidation type="decimal" operator="greaterThanOrEqual" allowBlank="1" showInputMessage="1" showErrorMessage="1" errorTitle="Ungültige Eingabe" error="Die eingegebene Wohnungseinheit (WE) muss eine positive Zahl sein." sqref="E17:E39">
      <formula1>0</formula1>
    </dataValidation>
    <dataValidation type="list" allowBlank="1" showDropDown="1" showInputMessage="1" showErrorMessage="1" errorTitle="Ungültige Eingabe" error="Unüberbaute Parzellen (Parz.) sind mit einem kleinen &quot;x&quot; zu kennzeichnen." sqref="F17:F38 F39">
      <formula1>"x"</formula1>
    </dataValidation>
    <dataValidation type="decimal" operator="greaterThanOrEqual" allowBlank="1" showInputMessage="1" showErrorMessage="1" errorTitle="Ungültige Eingabe" error="Die eingegebene lärmbelastete Gebäudefläche (GFlärm) muss eine positive Zahl sein." sqref="G17:G39">
      <formula1>0</formula1>
    </dataValidation>
    <dataValidation type="decimal" operator="greaterThanOrEqual" allowBlank="1" showInputMessage="1" showErrorMessage="1" errorTitle="Ungültige Eingabe" error="Die eingegebene Lärmbelastung (Lr) muss eine positive Zahl sein." sqref="H17:K38 H39:K39">
      <formula1>0</formula1>
    </dataValidation>
    <dataValidation operator="greaterThanOrEqual" allowBlank="1" showInputMessage="1" showErrorMessage="1" errorTitle="Ungültige Eingabe" error="Die eingegebene Pkt. Nr. muss eine ganze, positive Zahl sein (z.B. 1, 2, 3, usw.)." sqref="B17:B38"/>
  </dataValidations>
  <printOptions/>
  <pageMargins left="0.3937007874015748" right="0.41" top="0.73" bottom="0.984251968503937" header="0.5118110236220472" footer="0.5118110236220472"/>
  <pageSetup fitToHeight="1" fitToWidth="1" horizontalDpi="600" verticalDpi="600" orientation="portrait" paperSize="9" scale="96" r:id="rId2"/>
  <ignoredErrors>
    <ignoredError sqref="L17:L31" formulaRange="1"/>
  </ignoredErrors>
  <drawing r:id="rId1"/>
</worksheet>
</file>

<file path=xl/worksheets/sheet2.xml><?xml version="1.0" encoding="utf-8"?>
<worksheet xmlns="http://schemas.openxmlformats.org/spreadsheetml/2006/main" xmlns:r="http://schemas.openxmlformats.org/officeDocument/2006/relationships">
  <sheetPr codeName="Tabelle5">
    <pageSetUpPr fitToPage="1"/>
  </sheetPr>
  <dimension ref="A2:P29"/>
  <sheetViews>
    <sheetView workbookViewId="0" topLeftCell="A1">
      <selection activeCell="A8" sqref="A8:B8"/>
    </sheetView>
  </sheetViews>
  <sheetFormatPr defaultColWidth="11.421875" defaultRowHeight="12.75"/>
  <cols>
    <col min="1" max="1" width="20.140625" style="47" customWidth="1"/>
    <col min="2" max="2" width="12.57421875" style="47" customWidth="1"/>
    <col min="3" max="3" width="15.00390625" style="47" customWidth="1"/>
    <col min="4" max="4" width="2.57421875" style="47" customWidth="1"/>
    <col min="5" max="5" width="9.00390625" style="47" customWidth="1"/>
    <col min="6" max="6" width="11.57421875" style="47" customWidth="1"/>
    <col min="7" max="7" width="12.7109375" style="47" customWidth="1"/>
    <col min="8" max="8" width="14.7109375" style="47" hidden="1" customWidth="1"/>
    <col min="9" max="9" width="14.8515625" style="47" hidden="1" customWidth="1"/>
    <col min="10" max="10" width="1.7109375" style="47" customWidth="1"/>
    <col min="11" max="11" width="12.28125" style="47" customWidth="1"/>
    <col min="12" max="12" width="13.421875" style="47" customWidth="1"/>
    <col min="13" max="13" width="14.140625" style="47" customWidth="1"/>
    <col min="14" max="15" width="12.57421875" style="47" customWidth="1"/>
    <col min="16" max="16" width="24.57421875" style="47" customWidth="1"/>
    <col min="17" max="16384" width="11.421875" style="47" customWidth="1"/>
  </cols>
  <sheetData>
    <row r="1" ht="13.5" customHeight="1"/>
    <row r="2" spans="1:15" s="153" customFormat="1" ht="15">
      <c r="A2" s="70" t="s">
        <v>171</v>
      </c>
      <c r="B2" s="70"/>
      <c r="C2" s="70"/>
      <c r="D2" s="70"/>
      <c r="E2" s="70"/>
      <c r="F2" s="70"/>
      <c r="G2" s="70"/>
      <c r="H2" s="70"/>
      <c r="O2" s="70"/>
    </row>
    <row r="3" spans="8:9" ht="13.5" customHeight="1">
      <c r="H3" s="47" t="s">
        <v>28</v>
      </c>
      <c r="I3" s="47" t="s">
        <v>28</v>
      </c>
    </row>
    <row r="4" spans="1:15" s="53" customFormat="1" ht="13.5" customHeight="1">
      <c r="A4" s="51" t="s">
        <v>59</v>
      </c>
      <c r="B4" s="51"/>
      <c r="C4" s="52"/>
      <c r="D4" s="52"/>
      <c r="E4" s="52"/>
      <c r="F4" s="52"/>
      <c r="G4" s="52"/>
      <c r="H4" s="52"/>
      <c r="I4" s="52"/>
      <c r="J4" s="52"/>
      <c r="K4" s="52"/>
      <c r="L4" s="52"/>
      <c r="M4" s="52"/>
      <c r="N4" s="52"/>
      <c r="O4" s="52"/>
    </row>
    <row r="5" s="154" customFormat="1" ht="13.5" customHeight="1"/>
    <row r="6" spans="1:15" s="154" customFormat="1" ht="13.5" customHeight="1">
      <c r="A6" s="155" t="s">
        <v>57</v>
      </c>
      <c r="B6" s="156"/>
      <c r="C6" s="156"/>
      <c r="E6" s="155" t="s">
        <v>58</v>
      </c>
      <c r="F6" s="155"/>
      <c r="G6" s="156"/>
      <c r="H6" s="156"/>
      <c r="I6" s="156"/>
      <c r="J6" s="156"/>
      <c r="K6" s="155"/>
      <c r="L6" s="156"/>
      <c r="M6" s="156"/>
      <c r="N6" s="156"/>
      <c r="O6" s="156"/>
    </row>
    <row r="7" spans="1:15" s="159" customFormat="1" ht="30" customHeight="1">
      <c r="A7" s="157" t="s">
        <v>76</v>
      </c>
      <c r="B7" s="158"/>
      <c r="C7" s="232" t="s">
        <v>60</v>
      </c>
      <c r="D7" s="227"/>
      <c r="E7" s="232" t="s">
        <v>62</v>
      </c>
      <c r="F7" s="232" t="s">
        <v>64</v>
      </c>
      <c r="G7" s="232" t="s">
        <v>63</v>
      </c>
      <c r="H7" s="227" t="s">
        <v>29</v>
      </c>
      <c r="I7" s="227" t="s">
        <v>30</v>
      </c>
      <c r="J7" s="227"/>
      <c r="K7" s="160" t="s">
        <v>66</v>
      </c>
      <c r="L7" s="160" t="s">
        <v>67</v>
      </c>
      <c r="M7" s="160" t="s">
        <v>68</v>
      </c>
      <c r="N7" s="283" t="s">
        <v>69</v>
      </c>
      <c r="O7" s="284"/>
    </row>
    <row r="8" spans="1:15" s="164" customFormat="1" ht="13.5" customHeight="1">
      <c r="A8" s="269"/>
      <c r="B8" s="267"/>
      <c r="C8" s="224"/>
      <c r="D8" s="161"/>
      <c r="E8" s="151"/>
      <c r="F8" s="151"/>
      <c r="G8" s="151"/>
      <c r="H8" s="162">
        <f aca="true" t="shared" si="0" ref="H8:H13">IF(E8*F8&gt;0,E8/(1-(1+E8/100)^-F8),0)</f>
        <v>0</v>
      </c>
      <c r="I8" s="162">
        <f aca="true" t="shared" si="1" ref="I8:I13">IF(E8*H8&gt;0,H8-E8,0)</f>
        <v>0</v>
      </c>
      <c r="J8" s="162"/>
      <c r="K8" s="163">
        <f aca="true" t="shared" si="2" ref="K8:K13">IF(F8&gt;0,$C8*E8/100,0)</f>
        <v>0</v>
      </c>
      <c r="L8" s="163">
        <f aca="true" t="shared" si="3" ref="L8:L13">IF(I8&gt;0,$C8*I8/100,IF(F8&gt;0,1/F8*C8,IF(F8="",0,C8)))</f>
        <v>0</v>
      </c>
      <c r="M8" s="163">
        <f aca="true" t="shared" si="4" ref="M8:M13">$C8*G8/100</f>
        <v>0</v>
      </c>
      <c r="N8" s="218"/>
      <c r="O8" s="216">
        <f>K8+L8+M8</f>
        <v>0</v>
      </c>
    </row>
    <row r="9" spans="1:15" s="164" customFormat="1" ht="13.5" customHeight="1">
      <c r="A9" s="280"/>
      <c r="B9" s="268"/>
      <c r="C9" s="225"/>
      <c r="D9" s="161"/>
      <c r="E9" s="152"/>
      <c r="F9" s="152"/>
      <c r="G9" s="152"/>
      <c r="H9" s="162">
        <f t="shared" si="0"/>
        <v>0</v>
      </c>
      <c r="I9" s="162">
        <f>IF(E9*H9&gt;0,H9-E9,0)</f>
        <v>0</v>
      </c>
      <c r="J9" s="162"/>
      <c r="K9" s="165">
        <f t="shared" si="2"/>
        <v>0</v>
      </c>
      <c r="L9" s="165">
        <f t="shared" si="3"/>
        <v>0</v>
      </c>
      <c r="M9" s="165">
        <f t="shared" si="4"/>
        <v>0</v>
      </c>
      <c r="N9" s="219"/>
      <c r="O9" s="217">
        <f>C9/100*(H9+G9)</f>
        <v>0</v>
      </c>
    </row>
    <row r="10" spans="1:15" s="164" customFormat="1" ht="13.5" customHeight="1">
      <c r="A10" s="280"/>
      <c r="B10" s="268"/>
      <c r="C10" s="225"/>
      <c r="D10" s="161"/>
      <c r="E10" s="152"/>
      <c r="F10" s="152"/>
      <c r="G10" s="152"/>
      <c r="H10" s="162">
        <f t="shared" si="0"/>
        <v>0</v>
      </c>
      <c r="I10" s="162">
        <f t="shared" si="1"/>
        <v>0</v>
      </c>
      <c r="J10" s="162"/>
      <c r="K10" s="165">
        <f t="shared" si="2"/>
        <v>0</v>
      </c>
      <c r="L10" s="165">
        <f t="shared" si="3"/>
        <v>0</v>
      </c>
      <c r="M10" s="165">
        <f t="shared" si="4"/>
        <v>0</v>
      </c>
      <c r="N10" s="219"/>
      <c r="O10" s="217">
        <f>C10/100*(H10+G10)</f>
        <v>0</v>
      </c>
    </row>
    <row r="11" spans="1:15" s="164" customFormat="1" ht="13.5" customHeight="1">
      <c r="A11" s="280"/>
      <c r="B11" s="268"/>
      <c r="C11" s="225"/>
      <c r="D11" s="161"/>
      <c r="E11" s="152"/>
      <c r="F11" s="152"/>
      <c r="G11" s="152"/>
      <c r="H11" s="162">
        <f t="shared" si="0"/>
        <v>0</v>
      </c>
      <c r="I11" s="162">
        <f t="shared" si="1"/>
        <v>0</v>
      </c>
      <c r="J11" s="162"/>
      <c r="K11" s="165">
        <f t="shared" si="2"/>
        <v>0</v>
      </c>
      <c r="L11" s="165">
        <f t="shared" si="3"/>
        <v>0</v>
      </c>
      <c r="M11" s="165">
        <f t="shared" si="4"/>
        <v>0</v>
      </c>
      <c r="N11" s="219"/>
      <c r="O11" s="217">
        <f>C11/100*(H11+G11)</f>
        <v>0</v>
      </c>
    </row>
    <row r="12" spans="1:15" s="164" customFormat="1" ht="13.5" customHeight="1">
      <c r="A12" s="280"/>
      <c r="B12" s="268"/>
      <c r="C12" s="225"/>
      <c r="E12" s="152"/>
      <c r="F12" s="152"/>
      <c r="G12" s="152"/>
      <c r="H12" s="162">
        <f t="shared" si="0"/>
        <v>0</v>
      </c>
      <c r="I12" s="162">
        <f t="shared" si="1"/>
        <v>0</v>
      </c>
      <c r="J12" s="162"/>
      <c r="K12" s="165">
        <f t="shared" si="2"/>
        <v>0</v>
      </c>
      <c r="L12" s="165">
        <f t="shared" si="3"/>
        <v>0</v>
      </c>
      <c r="M12" s="165">
        <f t="shared" si="4"/>
        <v>0</v>
      </c>
      <c r="N12" s="219"/>
      <c r="O12" s="217">
        <f>C12/100*(H12+G12)</f>
        <v>0</v>
      </c>
    </row>
    <row r="13" spans="1:15" s="164" customFormat="1" ht="13.5" customHeight="1">
      <c r="A13" s="280"/>
      <c r="B13" s="268"/>
      <c r="C13" s="226"/>
      <c r="E13" s="223"/>
      <c r="F13" s="223"/>
      <c r="G13" s="223"/>
      <c r="H13" s="162">
        <f t="shared" si="0"/>
        <v>0</v>
      </c>
      <c r="I13" s="162">
        <f t="shared" si="1"/>
        <v>0</v>
      </c>
      <c r="J13" s="162"/>
      <c r="K13" s="165">
        <f t="shared" si="2"/>
        <v>0</v>
      </c>
      <c r="L13" s="165">
        <f t="shared" si="3"/>
        <v>0</v>
      </c>
      <c r="M13" s="165">
        <f t="shared" si="4"/>
        <v>0</v>
      </c>
      <c r="N13" s="219"/>
      <c r="O13" s="217">
        <f>C13/100*(H13+G13)</f>
        <v>0</v>
      </c>
    </row>
    <row r="14" spans="1:16" s="164" customFormat="1" ht="13.5" customHeight="1">
      <c r="A14" s="166"/>
      <c r="B14" s="167" t="s">
        <v>61</v>
      </c>
      <c r="C14" s="168">
        <f>SUM(C8:C13)</f>
        <v>0</v>
      </c>
      <c r="G14" s="96"/>
      <c r="H14" s="162"/>
      <c r="K14" s="169">
        <f>SUM(K8:K13)</f>
        <v>0</v>
      </c>
      <c r="L14" s="169">
        <f>SUM(L8:L13)</f>
        <v>0</v>
      </c>
      <c r="M14" s="169">
        <f>SUM(M8:M13)</f>
        <v>0</v>
      </c>
      <c r="N14" s="220"/>
      <c r="O14" s="168">
        <f>SUM(O8:O13)</f>
        <v>0</v>
      </c>
      <c r="P14" s="170" t="s">
        <v>61</v>
      </c>
    </row>
    <row r="15" spans="2:15" s="164" customFormat="1" ht="13.5" customHeight="1">
      <c r="B15" s="96"/>
      <c r="H15" s="162"/>
      <c r="O15" s="162"/>
    </row>
    <row r="16" spans="1:15" s="159" customFormat="1" ht="30" customHeight="1">
      <c r="A16" s="285" t="s">
        <v>65</v>
      </c>
      <c r="B16" s="289" t="s">
        <v>73</v>
      </c>
      <c r="C16" s="289" t="s">
        <v>60</v>
      </c>
      <c r="D16" s="227"/>
      <c r="E16" s="289" t="s">
        <v>62</v>
      </c>
      <c r="F16" s="289" t="s">
        <v>64</v>
      </c>
      <c r="G16" s="289" t="s">
        <v>63</v>
      </c>
      <c r="H16" s="228" t="s">
        <v>29</v>
      </c>
      <c r="I16" s="227" t="s">
        <v>30</v>
      </c>
      <c r="J16" s="227"/>
      <c r="K16" s="285" t="s">
        <v>66</v>
      </c>
      <c r="L16" s="285" t="s">
        <v>67</v>
      </c>
      <c r="M16" s="285" t="s">
        <v>68</v>
      </c>
      <c r="N16" s="281" t="s">
        <v>69</v>
      </c>
      <c r="O16" s="282"/>
    </row>
    <row r="17" spans="1:15" s="159" customFormat="1" ht="15" customHeight="1">
      <c r="A17" s="286"/>
      <c r="B17" s="290"/>
      <c r="C17" s="290"/>
      <c r="D17" s="227"/>
      <c r="E17" s="290"/>
      <c r="F17" s="290"/>
      <c r="G17" s="290"/>
      <c r="H17" s="228"/>
      <c r="I17" s="227"/>
      <c r="J17" s="227"/>
      <c r="K17" s="286"/>
      <c r="L17" s="286"/>
      <c r="M17" s="286"/>
      <c r="N17" s="221" t="s">
        <v>70</v>
      </c>
      <c r="O17" s="221" t="s">
        <v>71</v>
      </c>
    </row>
    <row r="18" spans="1:15" s="164" customFormat="1" ht="13.5" customHeight="1">
      <c r="A18" s="150"/>
      <c r="B18" s="151"/>
      <c r="C18" s="149"/>
      <c r="D18" s="161"/>
      <c r="E18" s="50"/>
      <c r="F18" s="50"/>
      <c r="G18" s="50"/>
      <c r="H18" s="162">
        <f>IF(E18*F18&gt;0,E18/(1-(1+E18/100)^-F18),0)</f>
        <v>0</v>
      </c>
      <c r="I18" s="162">
        <f>IF(E18*H18&gt;0,H18-E18,0)</f>
        <v>0</v>
      </c>
      <c r="J18" s="162"/>
      <c r="K18" s="163">
        <f>IF(F18&gt;0,IF(B18*E18*F18&gt;0,($C18)*E18/100,0),0)</f>
        <v>0</v>
      </c>
      <c r="L18" s="163">
        <f>IF(I18&gt;0,IF(B18*E18*F18&gt;0,$C18*I18/100,0),IF(F18&gt;0,1/F18*C18,IF(F18="",0,C18)))</f>
        <v>0</v>
      </c>
      <c r="M18" s="163">
        <f>IF(B18*G18&gt;0,$C18*G18/100,0)</f>
        <v>0</v>
      </c>
      <c r="N18" s="163">
        <f>SUM(K18:M18)</f>
        <v>0</v>
      </c>
      <c r="O18" s="163"/>
    </row>
    <row r="19" spans="1:15" s="164" customFormat="1" ht="13.5" customHeight="1">
      <c r="A19" s="213" t="s">
        <v>56</v>
      </c>
      <c r="B19" s="214">
        <v>30</v>
      </c>
      <c r="C19" s="229">
        <f>IF(B18&gt;0,C18*B19/B18,0)</f>
        <v>0</v>
      </c>
      <c r="D19" s="161"/>
      <c r="E19" s="215">
        <v>3</v>
      </c>
      <c r="F19" s="215">
        <v>15</v>
      </c>
      <c r="G19" s="215">
        <v>1</v>
      </c>
      <c r="H19" s="162">
        <f>IF(E19*F19&gt;0,E19/(1-(1+E19/100)^-F19),0)</f>
        <v>8.376658046228805</v>
      </c>
      <c r="I19" s="162">
        <f>IF(E19*H19&gt;0,H19-E19,0)</f>
        <v>5.376658046228805</v>
      </c>
      <c r="J19" s="162"/>
      <c r="K19" s="165">
        <f>IF(F19&gt;0,IF(B19*E19*F19&gt;0,($C19)*E19/100,0),0)</f>
        <v>0</v>
      </c>
      <c r="L19" s="165">
        <f>IF(I19&gt;0,IF(B19*E19*F19&gt;0,$C19*I19/100,0),IF(F19&gt;0,1/F19*C19,IF(F19="",0,C19)))</f>
        <v>0</v>
      </c>
      <c r="M19" s="165">
        <f>IF(B19*G19&gt;0,$C19*G19/100,0)</f>
        <v>0</v>
      </c>
      <c r="N19" s="165">
        <f>SUM(K19:M19)</f>
        <v>0</v>
      </c>
      <c r="O19" s="165">
        <f>N18-N19</f>
        <v>0</v>
      </c>
    </row>
    <row r="20" spans="1:16" s="164" customFormat="1" ht="29.25" customHeight="1">
      <c r="A20" s="287" t="s">
        <v>92</v>
      </c>
      <c r="B20" s="288"/>
      <c r="C20" s="230">
        <f>IF(C19&gt;0,C18-C19,0)</f>
        <v>0</v>
      </c>
      <c r="D20" s="85"/>
      <c r="E20" s="85"/>
      <c r="F20" s="85"/>
      <c r="G20" s="85"/>
      <c r="H20" s="85"/>
      <c r="I20" s="85"/>
      <c r="J20" s="85"/>
      <c r="K20" s="231">
        <f>K18-K19</f>
        <v>0</v>
      </c>
      <c r="L20" s="230">
        <f>L18-L19</f>
        <v>0</v>
      </c>
      <c r="M20" s="230">
        <f>M18-M19</f>
        <v>0</v>
      </c>
      <c r="N20" s="230">
        <f>N18-N19</f>
        <v>0</v>
      </c>
      <c r="O20" s="230">
        <f>O19</f>
        <v>0</v>
      </c>
      <c r="P20" s="222" t="s">
        <v>75</v>
      </c>
    </row>
    <row r="21" spans="1:8" s="164" customFormat="1" ht="13.5" customHeight="1">
      <c r="A21" s="96"/>
      <c r="H21" s="162"/>
    </row>
    <row r="22" spans="1:15" s="164" customFormat="1" ht="13.5" customHeight="1">
      <c r="A22" s="171"/>
      <c r="B22" s="172" t="s">
        <v>74</v>
      </c>
      <c r="C22" s="173">
        <f>C14+C20</f>
        <v>0</v>
      </c>
      <c r="H22" s="162"/>
      <c r="L22" s="171"/>
      <c r="M22" s="172" t="s">
        <v>72</v>
      </c>
      <c r="N22" s="172"/>
      <c r="O22" s="173">
        <f>SUM(O14+O20)</f>
        <v>0</v>
      </c>
    </row>
    <row r="23" s="53" customFormat="1" ht="13.5" customHeight="1">
      <c r="P23" s="164"/>
    </row>
    <row r="24" s="164" customFormat="1" ht="13.5" customHeight="1">
      <c r="A24" s="174" t="s">
        <v>45</v>
      </c>
    </row>
    <row r="25" s="48" customFormat="1" ht="12.75"/>
    <row r="26" s="48" customFormat="1" ht="12.75"/>
    <row r="27" ht="12.75"/>
    <row r="28" ht="12.75"/>
    <row r="29" spans="1:2" ht="12.75">
      <c r="A29" s="175"/>
      <c r="B29" s="175"/>
    </row>
  </sheetData>
  <sheetProtection sheet="1" objects="1" scenarios="1"/>
  <mergeCells count="18">
    <mergeCell ref="A20:B20"/>
    <mergeCell ref="K16:K17"/>
    <mergeCell ref="A16:A17"/>
    <mergeCell ref="B16:B17"/>
    <mergeCell ref="C16:C17"/>
    <mergeCell ref="E16:E17"/>
    <mergeCell ref="G16:G17"/>
    <mergeCell ref="F16:F17"/>
    <mergeCell ref="N16:O16"/>
    <mergeCell ref="N7:O7"/>
    <mergeCell ref="M16:M17"/>
    <mergeCell ref="L16:L17"/>
    <mergeCell ref="A9:B9"/>
    <mergeCell ref="A8:B8"/>
    <mergeCell ref="A13:B13"/>
    <mergeCell ref="A12:B12"/>
    <mergeCell ref="A11:B11"/>
    <mergeCell ref="A10:B10"/>
  </mergeCells>
  <printOptions/>
  <pageMargins left="0.44" right="0.36" top="1" bottom="1" header="0.4921259845" footer="0.4921259845"/>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codeName="Tabelle6">
    <pageSetUpPr fitToPage="1"/>
  </sheetPr>
  <dimension ref="A1:M89"/>
  <sheetViews>
    <sheetView workbookViewId="0" topLeftCell="A1">
      <selection activeCell="A17" sqref="A17"/>
    </sheetView>
  </sheetViews>
  <sheetFormatPr defaultColWidth="11.421875" defaultRowHeight="12.75"/>
  <cols>
    <col min="1" max="1" width="32.28125" style="46" customWidth="1"/>
    <col min="2" max="6" width="13.140625" style="46" customWidth="1"/>
    <col min="7" max="8" width="16.7109375" style="128" customWidth="1"/>
    <col min="9" max="9" width="15.57421875" style="46" customWidth="1"/>
    <col min="10" max="10" width="15.57421875" style="46" hidden="1" customWidth="1"/>
    <col min="11" max="13" width="15.7109375" style="46" hidden="1" customWidth="1"/>
    <col min="14" max="16384" width="11.421875" style="46" customWidth="1"/>
  </cols>
  <sheetData>
    <row r="1" spans="1:11" s="100" customFormat="1" ht="28.5" customHeight="1">
      <c r="A1" s="301" t="s">
        <v>171</v>
      </c>
      <c r="B1" s="301"/>
      <c r="C1" s="301"/>
      <c r="D1" s="301"/>
      <c r="E1" s="301"/>
      <c r="F1" s="301"/>
      <c r="G1" s="301"/>
      <c r="H1" s="301"/>
      <c r="I1" s="301"/>
      <c r="J1" s="139"/>
      <c r="K1" s="49"/>
    </row>
    <row r="2" spans="1:11" s="47" customFormat="1" ht="24" customHeight="1">
      <c r="A2" s="307" t="s">
        <v>77</v>
      </c>
      <c r="B2" s="307"/>
      <c r="C2" s="307"/>
      <c r="D2" s="307"/>
      <c r="E2" s="307"/>
      <c r="F2" s="307"/>
      <c r="G2" s="307"/>
      <c r="H2" s="307"/>
      <c r="I2" s="307"/>
      <c r="J2" s="140"/>
      <c r="K2" s="49"/>
    </row>
    <row r="3" spans="7:8" s="72" customFormat="1" ht="19.5" customHeight="1">
      <c r="G3" s="82"/>
      <c r="H3" s="82"/>
    </row>
    <row r="4" spans="1:10" s="72" customFormat="1" ht="12">
      <c r="A4" s="73" t="s">
        <v>78</v>
      </c>
      <c r="B4" s="74"/>
      <c r="C4" s="74"/>
      <c r="D4" s="74"/>
      <c r="E4" s="74"/>
      <c r="F4" s="74"/>
      <c r="G4" s="123"/>
      <c r="H4" s="123"/>
      <c r="I4" s="74"/>
      <c r="J4" s="146"/>
    </row>
    <row r="5" spans="1:10" s="72" customFormat="1" ht="12">
      <c r="A5" s="75"/>
      <c r="B5" s="75"/>
      <c r="C5" s="75"/>
      <c r="D5" s="75"/>
      <c r="E5" s="75"/>
      <c r="F5" s="75"/>
      <c r="G5" s="101"/>
      <c r="H5" s="101"/>
      <c r="I5" s="75"/>
      <c r="J5" s="146"/>
    </row>
    <row r="6" spans="1:11" s="72" customFormat="1" ht="12">
      <c r="A6" s="76" t="s">
        <v>44</v>
      </c>
      <c r="B6" s="308">
        <f>IF('Charges acoustiques'!C6="","",'Charges acoustiques'!C6)</f>
      </c>
      <c r="C6" s="309"/>
      <c r="D6" s="309"/>
      <c r="E6" s="309"/>
      <c r="F6" s="309"/>
      <c r="G6" s="309"/>
      <c r="H6" s="309"/>
      <c r="I6" s="310"/>
      <c r="J6" s="147"/>
      <c r="K6" s="77"/>
    </row>
    <row r="7" spans="1:11" s="72" customFormat="1" ht="12">
      <c r="A7" s="76" t="s">
        <v>43</v>
      </c>
      <c r="B7" s="308">
        <f>IF('Charges acoustiques'!C7="","",'Charges acoustiques'!C7)</f>
      </c>
      <c r="C7" s="309"/>
      <c r="D7" s="309"/>
      <c r="E7" s="309"/>
      <c r="F7" s="309"/>
      <c r="G7" s="309"/>
      <c r="H7" s="309"/>
      <c r="I7" s="310"/>
      <c r="J7" s="147"/>
      <c r="K7" s="77"/>
    </row>
    <row r="8" spans="1:11" s="72" customFormat="1" ht="12">
      <c r="A8" s="78" t="s">
        <v>80</v>
      </c>
      <c r="B8" s="293">
        <f>IF('Charges acoustiques'!C8="","",'Charges acoustiques'!C8)</f>
      </c>
      <c r="C8" s="294"/>
      <c r="D8" s="294"/>
      <c r="E8" s="294"/>
      <c r="F8" s="294"/>
      <c r="G8" s="294"/>
      <c r="H8" s="294"/>
      <c r="I8" s="295"/>
      <c r="J8" s="147"/>
      <c r="K8" s="77"/>
    </row>
    <row r="9" spans="1:11" s="72" customFormat="1" ht="12">
      <c r="A9" s="79"/>
      <c r="B9" s="296">
        <f>'Charges acoustiques'!C9</f>
        <v>0</v>
      </c>
      <c r="C9" s="297"/>
      <c r="D9" s="297"/>
      <c r="E9" s="297"/>
      <c r="F9" s="297"/>
      <c r="G9" s="297"/>
      <c r="H9" s="297"/>
      <c r="I9" s="298"/>
      <c r="J9" s="147"/>
      <c r="K9" s="77"/>
    </row>
    <row r="10" spans="1:11" s="72" customFormat="1" ht="12">
      <c r="A10" s="78" t="s">
        <v>42</v>
      </c>
      <c r="B10" s="293">
        <f>IF('Charges acoustiques'!C10="","",'Charges acoustiques'!C10)</f>
      </c>
      <c r="C10" s="294"/>
      <c r="D10" s="294"/>
      <c r="E10" s="294"/>
      <c r="F10" s="294"/>
      <c r="G10" s="294"/>
      <c r="H10" s="294"/>
      <c r="I10" s="295"/>
      <c r="J10" s="147"/>
      <c r="K10" s="77"/>
    </row>
    <row r="11" spans="1:11" s="80" customFormat="1" ht="12">
      <c r="A11" s="79"/>
      <c r="B11" s="296">
        <f>'Charges acoustiques'!C11</f>
        <v>0</v>
      </c>
      <c r="C11" s="297"/>
      <c r="D11" s="297"/>
      <c r="E11" s="297"/>
      <c r="F11" s="297"/>
      <c r="G11" s="297"/>
      <c r="H11" s="297"/>
      <c r="I11" s="298"/>
      <c r="J11" s="147"/>
      <c r="K11" s="77"/>
    </row>
    <row r="12" spans="7:8" s="72" customFormat="1" ht="21" customHeight="1">
      <c r="G12" s="82"/>
      <c r="H12" s="82"/>
    </row>
    <row r="13" spans="1:13" s="72" customFormat="1" ht="12">
      <c r="A13" s="73" t="s">
        <v>173</v>
      </c>
      <c r="B13" s="74"/>
      <c r="C13" s="74"/>
      <c r="D13" s="74"/>
      <c r="E13" s="74"/>
      <c r="F13" s="74"/>
      <c r="G13" s="123"/>
      <c r="H13" s="123"/>
      <c r="I13" s="74"/>
      <c r="J13" s="82" t="s">
        <v>35</v>
      </c>
      <c r="K13" s="82" t="s">
        <v>35</v>
      </c>
      <c r="L13" s="82" t="s">
        <v>35</v>
      </c>
      <c r="M13" s="82" t="s">
        <v>35</v>
      </c>
    </row>
    <row r="14" spans="1:10" s="72" customFormat="1" ht="12">
      <c r="A14" s="85"/>
      <c r="B14" s="85"/>
      <c r="C14" s="85"/>
      <c r="D14" s="85"/>
      <c r="E14" s="85"/>
      <c r="F14" s="85"/>
      <c r="G14" s="87"/>
      <c r="H14" s="87"/>
      <c r="I14" s="85"/>
      <c r="J14" s="85"/>
    </row>
    <row r="15" spans="1:13" s="72" customFormat="1" ht="25.5" customHeight="1">
      <c r="A15" s="233" t="s">
        <v>79</v>
      </c>
      <c r="B15" s="302" t="s">
        <v>174</v>
      </c>
      <c r="C15" s="303"/>
      <c r="D15" s="303"/>
      <c r="E15" s="303"/>
      <c r="F15" s="304"/>
      <c r="G15" s="302" t="s">
        <v>88</v>
      </c>
      <c r="H15" s="304"/>
      <c r="I15" s="234" t="s">
        <v>166</v>
      </c>
      <c r="J15" s="145" t="s">
        <v>37</v>
      </c>
      <c r="K15" s="291" t="s">
        <v>38</v>
      </c>
      <c r="L15" s="292"/>
      <c r="M15" s="91" t="s">
        <v>34</v>
      </c>
    </row>
    <row r="16" spans="1:13" s="72" customFormat="1" ht="12">
      <c r="A16" s="209"/>
      <c r="B16" s="142" t="s">
        <v>81</v>
      </c>
      <c r="C16" s="141" t="s">
        <v>83</v>
      </c>
      <c r="D16" s="141" t="s">
        <v>82</v>
      </c>
      <c r="E16" s="141" t="s">
        <v>84</v>
      </c>
      <c r="F16" s="143" t="s">
        <v>85</v>
      </c>
      <c r="G16" s="141" t="s">
        <v>86</v>
      </c>
      <c r="H16" s="143" t="s">
        <v>87</v>
      </c>
      <c r="I16" s="141" t="s">
        <v>87</v>
      </c>
      <c r="J16" s="141" t="s">
        <v>39</v>
      </c>
      <c r="K16" s="141" t="s">
        <v>39</v>
      </c>
      <c r="L16" s="143" t="s">
        <v>40</v>
      </c>
      <c r="M16" s="93" t="s">
        <v>36</v>
      </c>
    </row>
    <row r="17" spans="1:13" s="72" customFormat="1" ht="12">
      <c r="A17" s="210"/>
      <c r="B17" s="264"/>
      <c r="C17" s="264"/>
      <c r="D17" s="264"/>
      <c r="E17" s="264"/>
      <c r="F17" s="264"/>
      <c r="G17" s="252"/>
      <c r="H17" s="252"/>
      <c r="I17" s="144"/>
      <c r="J17" s="144"/>
      <c r="K17" s="144"/>
      <c r="L17" s="144"/>
      <c r="M17" s="144">
        <f>IF(G17&gt;0,IF(COUNTIF(B17:F17,"&lt;=-1"),1,0),0)</f>
        <v>0</v>
      </c>
    </row>
    <row r="18" spans="1:13" s="72" customFormat="1" ht="12">
      <c r="A18" s="210"/>
      <c r="B18" s="264"/>
      <c r="C18" s="264"/>
      <c r="D18" s="264"/>
      <c r="E18" s="264"/>
      <c r="F18" s="264"/>
      <c r="G18" s="252"/>
      <c r="H18" s="252"/>
      <c r="I18" s="144"/>
      <c r="J18" s="144"/>
      <c r="K18" s="144"/>
      <c r="L18" s="144"/>
      <c r="M18" s="144">
        <f aca="true" t="shared" si="0" ref="M18:M32">IF(G18&gt;0,IF(COUNTIF(B18:F18,"&lt;=-1"),1,0),0)</f>
        <v>0</v>
      </c>
    </row>
    <row r="19" spans="1:13" s="72" customFormat="1" ht="12">
      <c r="A19" s="210"/>
      <c r="B19" s="264"/>
      <c r="C19" s="264"/>
      <c r="D19" s="264"/>
      <c r="E19" s="264"/>
      <c r="F19" s="264"/>
      <c r="G19" s="252"/>
      <c r="H19" s="252"/>
      <c r="I19" s="144"/>
      <c r="J19" s="144"/>
      <c r="K19" s="144"/>
      <c r="L19" s="144"/>
      <c r="M19" s="144">
        <f t="shared" si="0"/>
        <v>0</v>
      </c>
    </row>
    <row r="20" spans="1:13" s="72" customFormat="1" ht="12">
      <c r="A20" s="210"/>
      <c r="B20" s="264"/>
      <c r="C20" s="264"/>
      <c r="D20" s="264"/>
      <c r="E20" s="264"/>
      <c r="F20" s="264"/>
      <c r="G20" s="252"/>
      <c r="H20" s="252"/>
      <c r="I20" s="144"/>
      <c r="J20" s="144"/>
      <c r="K20" s="144"/>
      <c r="L20" s="144"/>
      <c r="M20" s="144">
        <f t="shared" si="0"/>
        <v>0</v>
      </c>
    </row>
    <row r="21" spans="1:13" s="72" customFormat="1" ht="12">
      <c r="A21" s="210"/>
      <c r="B21" s="264"/>
      <c r="C21" s="264"/>
      <c r="D21" s="264"/>
      <c r="E21" s="264"/>
      <c r="F21" s="264"/>
      <c r="G21" s="252"/>
      <c r="H21" s="252"/>
      <c r="I21" s="144"/>
      <c r="J21" s="144"/>
      <c r="K21" s="144"/>
      <c r="L21" s="144"/>
      <c r="M21" s="144">
        <f t="shared" si="0"/>
        <v>0</v>
      </c>
    </row>
    <row r="22" spans="1:13" s="72" customFormat="1" ht="12">
      <c r="A22" s="210"/>
      <c r="B22" s="264"/>
      <c r="C22" s="264"/>
      <c r="D22" s="264"/>
      <c r="E22" s="264"/>
      <c r="F22" s="264"/>
      <c r="G22" s="252"/>
      <c r="H22" s="252"/>
      <c r="I22" s="144"/>
      <c r="J22" s="144"/>
      <c r="K22" s="144"/>
      <c r="L22" s="144"/>
      <c r="M22" s="144">
        <f t="shared" si="0"/>
        <v>0</v>
      </c>
    </row>
    <row r="23" spans="1:13" s="72" customFormat="1" ht="12">
      <c r="A23" s="210"/>
      <c r="B23" s="264"/>
      <c r="C23" s="264"/>
      <c r="D23" s="264"/>
      <c r="E23" s="264"/>
      <c r="F23" s="264"/>
      <c r="G23" s="252"/>
      <c r="H23" s="252"/>
      <c r="I23" s="144"/>
      <c r="J23" s="144"/>
      <c r="K23" s="144"/>
      <c r="L23" s="144"/>
      <c r="M23" s="144">
        <f t="shared" si="0"/>
        <v>0</v>
      </c>
    </row>
    <row r="24" spans="1:13" s="72" customFormat="1" ht="12">
      <c r="A24" s="210"/>
      <c r="B24" s="264"/>
      <c r="C24" s="264"/>
      <c r="D24" s="264"/>
      <c r="E24" s="264"/>
      <c r="F24" s="264"/>
      <c r="G24" s="252"/>
      <c r="H24" s="252"/>
      <c r="I24" s="144"/>
      <c r="J24" s="144"/>
      <c r="K24" s="144"/>
      <c r="L24" s="144"/>
      <c r="M24" s="144">
        <f t="shared" si="0"/>
        <v>0</v>
      </c>
    </row>
    <row r="25" spans="1:13" s="72" customFormat="1" ht="12">
      <c r="A25" s="210"/>
      <c r="B25" s="264"/>
      <c r="C25" s="264"/>
      <c r="D25" s="264"/>
      <c r="E25" s="264"/>
      <c r="F25" s="264"/>
      <c r="G25" s="252"/>
      <c r="H25" s="252"/>
      <c r="I25" s="144"/>
      <c r="J25" s="144"/>
      <c r="K25" s="144"/>
      <c r="L25" s="144"/>
      <c r="M25" s="144">
        <f t="shared" si="0"/>
        <v>0</v>
      </c>
    </row>
    <row r="26" spans="1:13" s="72" customFormat="1" ht="12">
      <c r="A26" s="210"/>
      <c r="B26" s="264"/>
      <c r="C26" s="264"/>
      <c r="D26" s="264"/>
      <c r="E26" s="264"/>
      <c r="F26" s="264"/>
      <c r="G26" s="252"/>
      <c r="H26" s="252"/>
      <c r="I26" s="144"/>
      <c r="J26" s="144"/>
      <c r="K26" s="144"/>
      <c r="L26" s="144"/>
      <c r="M26" s="144">
        <f t="shared" si="0"/>
        <v>0</v>
      </c>
    </row>
    <row r="27" spans="1:13" s="72" customFormat="1" ht="12">
      <c r="A27" s="210"/>
      <c r="B27" s="264"/>
      <c r="C27" s="264"/>
      <c r="D27" s="264"/>
      <c r="E27" s="264"/>
      <c r="F27" s="264"/>
      <c r="G27" s="252"/>
      <c r="H27" s="252"/>
      <c r="I27" s="144"/>
      <c r="J27" s="144"/>
      <c r="K27" s="144"/>
      <c r="L27" s="144"/>
      <c r="M27" s="144">
        <f t="shared" si="0"/>
        <v>0</v>
      </c>
    </row>
    <row r="28" spans="1:13" s="72" customFormat="1" ht="12">
      <c r="A28" s="210"/>
      <c r="B28" s="264"/>
      <c r="C28" s="264"/>
      <c r="D28" s="264"/>
      <c r="E28" s="264"/>
      <c r="F28" s="264"/>
      <c r="G28" s="252"/>
      <c r="H28" s="252"/>
      <c r="I28" s="144"/>
      <c r="J28" s="144"/>
      <c r="K28" s="144"/>
      <c r="L28" s="144"/>
      <c r="M28" s="144">
        <f t="shared" si="0"/>
        <v>0</v>
      </c>
    </row>
    <row r="29" spans="1:13" s="72" customFormat="1" ht="12">
      <c r="A29" s="210"/>
      <c r="B29" s="264"/>
      <c r="C29" s="264"/>
      <c r="D29" s="264"/>
      <c r="E29" s="264"/>
      <c r="F29" s="264"/>
      <c r="G29" s="252"/>
      <c r="H29" s="252"/>
      <c r="I29" s="144"/>
      <c r="J29" s="144"/>
      <c r="K29" s="144"/>
      <c r="L29" s="144"/>
      <c r="M29" s="144">
        <f t="shared" si="0"/>
        <v>0</v>
      </c>
    </row>
    <row r="30" spans="1:13" s="72" customFormat="1" ht="12">
      <c r="A30" s="210"/>
      <c r="B30" s="264"/>
      <c r="C30" s="264"/>
      <c r="D30" s="264"/>
      <c r="E30" s="264"/>
      <c r="F30" s="264"/>
      <c r="G30" s="252"/>
      <c r="H30" s="252"/>
      <c r="I30" s="144"/>
      <c r="J30" s="144"/>
      <c r="K30" s="144"/>
      <c r="L30" s="144"/>
      <c r="M30" s="144">
        <f t="shared" si="0"/>
        <v>0</v>
      </c>
    </row>
    <row r="31" spans="1:13" s="72" customFormat="1" ht="12">
      <c r="A31" s="210"/>
      <c r="B31" s="264"/>
      <c r="C31" s="264"/>
      <c r="D31" s="264"/>
      <c r="E31" s="264"/>
      <c r="F31" s="264"/>
      <c r="G31" s="252"/>
      <c r="H31" s="252"/>
      <c r="I31" s="144"/>
      <c r="J31" s="144"/>
      <c r="K31" s="144"/>
      <c r="L31" s="144"/>
      <c r="M31" s="144">
        <f t="shared" si="0"/>
        <v>0</v>
      </c>
    </row>
    <row r="32" spans="1:13" s="72" customFormat="1" ht="12">
      <c r="A32" s="210"/>
      <c r="B32" s="264"/>
      <c r="C32" s="264"/>
      <c r="D32" s="264"/>
      <c r="E32" s="264"/>
      <c r="F32" s="264"/>
      <c r="G32" s="252"/>
      <c r="H32" s="252"/>
      <c r="I32" s="144"/>
      <c r="J32" s="144"/>
      <c r="K32" s="144"/>
      <c r="L32" s="144"/>
      <c r="M32" s="144">
        <f t="shared" si="0"/>
        <v>0</v>
      </c>
    </row>
    <row r="33" spans="1:13" s="72" customFormat="1" ht="12">
      <c r="A33" s="210"/>
      <c r="B33" s="264"/>
      <c r="C33" s="264"/>
      <c r="D33" s="264"/>
      <c r="E33" s="264"/>
      <c r="F33" s="264"/>
      <c r="G33" s="252"/>
      <c r="H33" s="252"/>
      <c r="I33" s="144"/>
      <c r="J33" s="144"/>
      <c r="K33" s="144"/>
      <c r="L33" s="144"/>
      <c r="M33" s="144">
        <f>IF(G33&gt;0,IF(COUNTIF(B33:F33,"&lt;=-1"),1,0),0)</f>
        <v>0</v>
      </c>
    </row>
    <row r="34" spans="1:13" s="72" customFormat="1" ht="12">
      <c r="A34" s="210"/>
      <c r="B34" s="264"/>
      <c r="C34" s="264"/>
      <c r="D34" s="264"/>
      <c r="E34" s="264"/>
      <c r="F34" s="264"/>
      <c r="G34" s="252"/>
      <c r="H34" s="252"/>
      <c r="I34" s="144"/>
      <c r="J34" s="144"/>
      <c r="K34" s="144"/>
      <c r="L34" s="144"/>
      <c r="M34" s="144">
        <f>IF(G34&gt;0,IF(COUNTIF(B34:F34,"&lt;=-1"),1,0),0)</f>
        <v>0</v>
      </c>
    </row>
    <row r="35" spans="1:13" s="72" customFormat="1" ht="12">
      <c r="A35" s="210"/>
      <c r="B35" s="264"/>
      <c r="C35" s="264"/>
      <c r="D35" s="264"/>
      <c r="E35" s="264"/>
      <c r="F35" s="264"/>
      <c r="G35" s="252"/>
      <c r="H35" s="252"/>
      <c r="I35" s="144"/>
      <c r="J35" s="144"/>
      <c r="K35" s="144"/>
      <c r="L35" s="144"/>
      <c r="M35" s="144">
        <f>IF(G35&gt;0,IF(COUNTIF(B35:F35,"&lt;=-1"),1,0),0)</f>
        <v>0</v>
      </c>
    </row>
    <row r="36" spans="1:13" s="72" customFormat="1" ht="12">
      <c r="A36" s="210"/>
      <c r="B36" s="325" t="s">
        <v>175</v>
      </c>
      <c r="C36" s="326"/>
      <c r="D36" s="326"/>
      <c r="E36" s="326"/>
      <c r="F36" s="327"/>
      <c r="G36" s="252"/>
      <c r="H36" s="252"/>
      <c r="I36" s="144"/>
      <c r="J36" s="87"/>
      <c r="K36" s="87"/>
      <c r="L36" s="87"/>
      <c r="M36" s="87"/>
    </row>
    <row r="37" spans="1:13" s="72" customFormat="1" ht="12">
      <c r="A37" s="210"/>
      <c r="B37" s="328"/>
      <c r="C37" s="329"/>
      <c r="D37" s="329"/>
      <c r="E37" s="329"/>
      <c r="F37" s="330"/>
      <c r="G37" s="252"/>
      <c r="H37" s="252"/>
      <c r="I37" s="144"/>
      <c r="J37" s="87"/>
      <c r="K37" s="87"/>
      <c r="L37" s="87"/>
      <c r="M37" s="87"/>
    </row>
    <row r="38" spans="1:13" s="72" customFormat="1" ht="12">
      <c r="A38" s="210"/>
      <c r="B38" s="331"/>
      <c r="C38" s="332"/>
      <c r="D38" s="332"/>
      <c r="E38" s="332"/>
      <c r="F38" s="333"/>
      <c r="G38" s="252"/>
      <c r="H38" s="252"/>
      <c r="I38" s="144"/>
      <c r="J38" s="87"/>
      <c r="K38" s="87"/>
      <c r="L38" s="87"/>
      <c r="M38" s="87"/>
    </row>
    <row r="39" spans="1:8" s="72" customFormat="1" ht="21" customHeight="1">
      <c r="A39" s="211"/>
      <c r="B39" s="82"/>
      <c r="C39" s="82"/>
      <c r="D39" s="82"/>
      <c r="E39" s="82"/>
      <c r="F39" s="82"/>
      <c r="G39" s="82"/>
      <c r="H39" s="82"/>
    </row>
    <row r="40" spans="1:10" s="72" customFormat="1" ht="12">
      <c r="A40" s="73" t="s">
        <v>89</v>
      </c>
      <c r="B40" s="74"/>
      <c r="C40" s="74"/>
      <c r="D40" s="74"/>
      <c r="E40" s="74"/>
      <c r="F40" s="74"/>
      <c r="G40" s="123"/>
      <c r="H40" s="123"/>
      <c r="I40" s="74"/>
      <c r="J40" s="146"/>
    </row>
    <row r="41" spans="1:10" s="72" customFormat="1" ht="12">
      <c r="A41" s="85"/>
      <c r="B41" s="85"/>
      <c r="C41" s="85"/>
      <c r="D41" s="85"/>
      <c r="E41" s="85"/>
      <c r="F41" s="85"/>
      <c r="G41" s="87"/>
      <c r="H41" s="87"/>
      <c r="I41" s="85"/>
      <c r="J41" s="85"/>
    </row>
    <row r="42" spans="1:10" s="89" customFormat="1" ht="19.5" customHeight="1">
      <c r="A42" s="90" t="s">
        <v>76</v>
      </c>
      <c r="B42" s="311" t="s">
        <v>93</v>
      </c>
      <c r="C42" s="312"/>
      <c r="D42" s="311" t="s">
        <v>94</v>
      </c>
      <c r="E42" s="312"/>
      <c r="F42" s="88"/>
      <c r="G42" s="124"/>
      <c r="H42" s="124"/>
      <c r="I42" s="88"/>
      <c r="J42" s="88"/>
    </row>
    <row r="43" spans="1:10" s="72" customFormat="1" ht="12">
      <c r="A43" s="91">
        <f>IF(Coûts!A8="","",Coûts!A8)</f>
      </c>
      <c r="B43" s="305">
        <f>IF(Coûts!C8="","",Coûts!C8)</f>
      </c>
      <c r="C43" s="306"/>
      <c r="D43" s="305">
        <f>IF(Coûts!O8=0,"",Coûts!O8)</f>
      </c>
      <c r="E43" s="306"/>
      <c r="F43" s="86"/>
      <c r="G43" s="87"/>
      <c r="H43" s="87"/>
      <c r="I43" s="86"/>
      <c r="J43" s="86"/>
    </row>
    <row r="44" spans="1:10" s="72" customFormat="1" ht="12">
      <c r="A44" s="92">
        <f>IF(Coûts!A9="","",Coûts!A9)</f>
      </c>
      <c r="B44" s="299">
        <f>IF(Coûts!C9="","",Coûts!C9)</f>
      </c>
      <c r="C44" s="300"/>
      <c r="D44" s="299">
        <f>IF(Coûts!O9=0,"",Coûts!O9)</f>
      </c>
      <c r="E44" s="300"/>
      <c r="F44" s="86"/>
      <c r="G44" s="87"/>
      <c r="H44" s="87"/>
      <c r="I44" s="86"/>
      <c r="J44" s="86"/>
    </row>
    <row r="45" spans="1:10" s="72" customFormat="1" ht="12">
      <c r="A45" s="92">
        <f>IF(Coûts!A10="","",Coûts!A10)</f>
      </c>
      <c r="B45" s="299">
        <f>IF(Coûts!C10="","",Coûts!C10)</f>
      </c>
      <c r="C45" s="300"/>
      <c r="D45" s="299">
        <f>IF(Coûts!O10=0,"",Coûts!O10)</f>
      </c>
      <c r="E45" s="300"/>
      <c r="F45" s="86"/>
      <c r="G45" s="87"/>
      <c r="H45" s="87"/>
      <c r="I45" s="86"/>
      <c r="J45" s="86"/>
    </row>
    <row r="46" spans="1:10" s="72" customFormat="1" ht="12">
      <c r="A46" s="92">
        <f>IF(Coûts!A11="","",Coûts!A11)</f>
      </c>
      <c r="B46" s="299">
        <f>IF(Coûts!C11="","",Coûts!C11)</f>
      </c>
      <c r="C46" s="300"/>
      <c r="D46" s="299">
        <f>IF(Coûts!O11=0,"",Coûts!O11)</f>
      </c>
      <c r="E46" s="300"/>
      <c r="F46" s="86"/>
      <c r="G46" s="87"/>
      <c r="H46" s="87"/>
      <c r="I46" s="96"/>
      <c r="J46" s="96"/>
    </row>
    <row r="47" spans="1:10" s="72" customFormat="1" ht="12">
      <c r="A47" s="92">
        <f>IF(Coûts!A12="","",Coûts!A12)</f>
      </c>
      <c r="B47" s="299">
        <f>IF(Coûts!C12="","",Coûts!C12)</f>
      </c>
      <c r="C47" s="300"/>
      <c r="D47" s="299">
        <f>IF(Coûts!O12=0,"",Coûts!O12)</f>
      </c>
      <c r="E47" s="300"/>
      <c r="F47" s="86"/>
      <c r="G47" s="87"/>
      <c r="H47" s="87"/>
      <c r="I47" s="86"/>
      <c r="J47" s="86"/>
    </row>
    <row r="48" spans="1:10" s="72" customFormat="1" ht="12">
      <c r="A48" s="93">
        <f>IF(Coûts!A13="","",Coûts!A13)</f>
      </c>
      <c r="B48" s="334">
        <f>IF(Coûts!C13="","",Coûts!C13)</f>
      </c>
      <c r="C48" s="335"/>
      <c r="D48" s="334">
        <f>IF(Coûts!O13=0,"",Coûts!O13)</f>
      </c>
      <c r="E48" s="335"/>
      <c r="F48" s="86"/>
      <c r="G48" s="87"/>
      <c r="H48" s="87"/>
      <c r="I48" s="86"/>
      <c r="J48" s="86"/>
    </row>
    <row r="49" spans="1:10" s="72" customFormat="1" ht="12">
      <c r="A49" s="94" t="s">
        <v>61</v>
      </c>
      <c r="B49" s="316">
        <f>SUM(B43:B48)</f>
        <v>0</v>
      </c>
      <c r="C49" s="317"/>
      <c r="D49" s="316">
        <f>SUM(D43:D48)</f>
        <v>0</v>
      </c>
      <c r="E49" s="317"/>
      <c r="F49" s="86"/>
      <c r="G49" s="87"/>
      <c r="H49" s="87"/>
      <c r="I49" s="86"/>
      <c r="J49" s="86"/>
    </row>
    <row r="50" spans="1:10" s="72" customFormat="1" ht="12">
      <c r="A50" s="85"/>
      <c r="B50" s="315"/>
      <c r="C50" s="315"/>
      <c r="D50" s="315"/>
      <c r="E50" s="315"/>
      <c r="F50" s="86"/>
      <c r="G50" s="87"/>
      <c r="H50" s="87"/>
      <c r="I50" s="86"/>
      <c r="J50" s="86"/>
    </row>
    <row r="51" spans="1:10" s="72" customFormat="1" ht="12">
      <c r="A51" s="231" t="s">
        <v>91</v>
      </c>
      <c r="B51" s="316">
        <f>Coûts!C20</f>
        <v>0</v>
      </c>
      <c r="C51" s="317"/>
      <c r="D51" s="316">
        <f>Coûts!O20</f>
        <v>0</v>
      </c>
      <c r="E51" s="317"/>
      <c r="F51" s="86"/>
      <c r="G51" s="87"/>
      <c r="H51" s="87"/>
      <c r="I51" s="86"/>
      <c r="J51" s="86"/>
    </row>
    <row r="52" spans="1:10" s="72" customFormat="1" ht="12">
      <c r="A52" s="85"/>
      <c r="B52" s="315"/>
      <c r="C52" s="315"/>
      <c r="D52" s="315"/>
      <c r="E52" s="315"/>
      <c r="G52" s="87"/>
      <c r="H52" s="87"/>
      <c r="I52" s="86"/>
      <c r="J52" s="86"/>
    </row>
    <row r="53" spans="1:10" s="72" customFormat="1" ht="12.75" customHeight="1">
      <c r="A53" s="95" t="s">
        <v>90</v>
      </c>
      <c r="B53" s="313">
        <f>B49+B51</f>
        <v>0</v>
      </c>
      <c r="C53" s="314"/>
      <c r="D53" s="313">
        <f>D49+D51</f>
        <v>0</v>
      </c>
      <c r="E53" s="314"/>
      <c r="G53" s="87"/>
      <c r="H53" s="87"/>
      <c r="I53" s="86"/>
      <c r="J53" s="86"/>
    </row>
    <row r="54" spans="7:8" s="72" customFormat="1" ht="21" customHeight="1">
      <c r="G54" s="82"/>
      <c r="H54" s="82"/>
    </row>
    <row r="55" spans="1:10" s="72" customFormat="1" ht="12">
      <c r="A55" s="73" t="s">
        <v>160</v>
      </c>
      <c r="B55" s="74"/>
      <c r="C55" s="74"/>
      <c r="D55" s="74"/>
      <c r="E55" s="74"/>
      <c r="F55" s="74"/>
      <c r="G55" s="123"/>
      <c r="H55" s="123"/>
      <c r="I55" s="74"/>
      <c r="J55" s="146"/>
    </row>
    <row r="56" spans="1:10" s="72" customFormat="1" ht="12">
      <c r="A56" s="84"/>
      <c r="B56" s="84"/>
      <c r="C56" s="84"/>
      <c r="D56" s="84"/>
      <c r="E56" s="84"/>
      <c r="F56" s="84"/>
      <c r="G56" s="125"/>
      <c r="H56" s="125"/>
      <c r="I56" s="84"/>
      <c r="J56" s="84"/>
    </row>
    <row r="57" spans="2:12" s="89" customFormat="1" ht="26.25" customHeight="1">
      <c r="B57" s="129" t="s">
        <v>97</v>
      </c>
      <c r="C57" s="129" t="s">
        <v>98</v>
      </c>
      <c r="E57" s="105"/>
      <c r="F57" s="102"/>
      <c r="G57" s="126"/>
      <c r="H57" s="126"/>
      <c r="I57" s="102"/>
      <c r="J57" s="148"/>
      <c r="K57" s="102"/>
      <c r="L57" s="102"/>
    </row>
    <row r="58" spans="1:12" s="72" customFormat="1" ht="12">
      <c r="A58" s="106" t="s">
        <v>99</v>
      </c>
      <c r="B58" s="115"/>
      <c r="C58" s="108"/>
      <c r="F58" s="98"/>
      <c r="G58" s="101"/>
      <c r="H58" s="101"/>
      <c r="I58" s="75"/>
      <c r="J58" s="146"/>
      <c r="K58" s="75"/>
      <c r="L58" s="75"/>
    </row>
    <row r="59" spans="1:12" s="72" customFormat="1" ht="12">
      <c r="A59" s="109" t="s">
        <v>100</v>
      </c>
      <c r="B59" s="116"/>
      <c r="C59" s="110"/>
      <c r="E59" s="75"/>
      <c r="F59" s="75" t="s">
        <v>6</v>
      </c>
      <c r="G59" s="101" t="s">
        <v>7</v>
      </c>
      <c r="H59" s="82"/>
      <c r="K59" s="75"/>
      <c r="L59" s="75"/>
    </row>
    <row r="60" spans="1:12" s="72" customFormat="1" ht="12">
      <c r="A60" s="109" t="s">
        <v>101</v>
      </c>
      <c r="B60" s="130">
        <f>'Détails WTI'!AC33</f>
        <v>0</v>
      </c>
      <c r="C60" s="131">
        <f>'Détails WTI'!AH33</f>
        <v>0</v>
      </c>
      <c r="E60" s="81" t="s">
        <v>33</v>
      </c>
      <c r="F60" s="75">
        <f>IF(B69&gt;3,3,B69)</f>
        <v>0</v>
      </c>
      <c r="G60" s="127">
        <f>B68</f>
        <v>0</v>
      </c>
      <c r="H60" s="82"/>
      <c r="K60" s="75"/>
      <c r="L60" s="75"/>
    </row>
    <row r="61" spans="1:12" s="72" customFormat="1" ht="12">
      <c r="A61" s="109" t="s">
        <v>102</v>
      </c>
      <c r="B61" s="130">
        <f>'Détails WTI'!AC64</f>
        <v>0</v>
      </c>
      <c r="C61" s="131">
        <f>'Détails WTI'!AH64</f>
        <v>0</v>
      </c>
      <c r="E61" s="81"/>
      <c r="F61" s="75"/>
      <c r="G61" s="101"/>
      <c r="H61" s="82"/>
      <c r="K61" s="75"/>
      <c r="L61" s="75"/>
    </row>
    <row r="62" spans="1:12" s="72" customFormat="1" ht="12">
      <c r="A62" s="109"/>
      <c r="B62" s="116"/>
      <c r="C62" s="110"/>
      <c r="E62" s="83" t="s">
        <v>32</v>
      </c>
      <c r="F62" s="75">
        <f>IF(C69&gt;3,3,C69)</f>
        <v>0</v>
      </c>
      <c r="G62" s="127">
        <f>C68</f>
        <v>0</v>
      </c>
      <c r="H62" s="82"/>
      <c r="K62" s="75"/>
      <c r="L62" s="75"/>
    </row>
    <row r="63" spans="1:12" s="72" customFormat="1" ht="12">
      <c r="A63" s="109" t="s">
        <v>103</v>
      </c>
      <c r="B63" s="130">
        <f>'Détails WTI'!AC67</f>
        <v>0</v>
      </c>
      <c r="C63" s="131">
        <f>'Détails WTI'!AH67</f>
        <v>0</v>
      </c>
      <c r="G63" s="101"/>
      <c r="H63" s="101"/>
      <c r="I63" s="75"/>
      <c r="J63" s="146"/>
      <c r="K63" s="75"/>
      <c r="L63" s="75"/>
    </row>
    <row r="64" spans="1:12" s="72" customFormat="1" ht="36.75" customHeight="1">
      <c r="A64" s="266" t="s">
        <v>176</v>
      </c>
      <c r="B64" s="117">
        <f>IF('Détails WTI'!AC67&gt;0,'Détails WTI'!AC68/'Détails WTI'!AC67,0)</f>
        <v>0</v>
      </c>
      <c r="C64" s="111">
        <f>IF('Détails WTI'!AH67&gt;0,'Détails WTI'!AH68/'Détails WTI'!AH67,0)</f>
        <v>0</v>
      </c>
      <c r="G64" s="101"/>
      <c r="H64" s="101"/>
      <c r="I64" s="75"/>
      <c r="J64" s="146"/>
      <c r="K64" s="75"/>
      <c r="L64" s="75"/>
    </row>
    <row r="65" spans="2:12" s="72" customFormat="1" ht="12">
      <c r="B65" s="107"/>
      <c r="C65" s="107"/>
      <c r="G65" s="101"/>
      <c r="H65" s="101"/>
      <c r="I65" s="75"/>
      <c r="J65" s="146"/>
      <c r="K65" s="75"/>
      <c r="L65" s="75"/>
    </row>
    <row r="66" spans="2:12" s="72" customFormat="1" ht="12">
      <c r="B66" s="122"/>
      <c r="C66" s="122"/>
      <c r="G66" s="101"/>
      <c r="H66" s="101"/>
      <c r="I66" s="75"/>
      <c r="J66" s="146"/>
      <c r="K66" s="75"/>
      <c r="L66" s="75"/>
    </row>
    <row r="67" spans="1:12" s="72" customFormat="1" ht="12">
      <c r="A67" s="112" t="s">
        <v>95</v>
      </c>
      <c r="B67" s="118"/>
      <c r="C67" s="118"/>
      <c r="G67" s="101"/>
      <c r="H67" s="101"/>
      <c r="I67" s="75"/>
      <c r="J67" s="146"/>
      <c r="K67" s="75"/>
      <c r="L67" s="75"/>
    </row>
    <row r="68" spans="1:12" s="72" customFormat="1" ht="12">
      <c r="A68" s="113" t="s">
        <v>159</v>
      </c>
      <c r="B68" s="119">
        <f>'Détails WTI'!AC72</f>
        <v>0</v>
      </c>
      <c r="C68" s="119">
        <f>'Détails WTI'!AH72</f>
        <v>0</v>
      </c>
      <c r="E68" s="75"/>
      <c r="F68" s="75"/>
      <c r="G68" s="101"/>
      <c r="H68" s="101"/>
      <c r="I68" s="75"/>
      <c r="J68" s="146"/>
      <c r="K68" s="75"/>
      <c r="L68" s="75"/>
    </row>
    <row r="69" spans="1:8" s="72" customFormat="1" ht="12">
      <c r="A69" s="113" t="s">
        <v>96</v>
      </c>
      <c r="B69" s="120">
        <f>'Détails WTI'!AC70</f>
        <v>0</v>
      </c>
      <c r="C69" s="120">
        <f>'Détails WTI'!AH70</f>
        <v>0</v>
      </c>
      <c r="E69" s="103"/>
      <c r="F69" s="77"/>
      <c r="G69" s="82"/>
      <c r="H69" s="82"/>
    </row>
    <row r="70" spans="1:8" s="72" customFormat="1" ht="12">
      <c r="A70" s="114" t="s">
        <v>5</v>
      </c>
      <c r="B70" s="121">
        <f>B68*B69/25</f>
        <v>0</v>
      </c>
      <c r="C70" s="121">
        <f>C68*C69/25</f>
        <v>0</v>
      </c>
      <c r="E70" s="104"/>
      <c r="F70" s="104"/>
      <c r="G70" s="82"/>
      <c r="H70" s="82"/>
    </row>
    <row r="71" spans="7:8" s="72" customFormat="1" ht="30" customHeight="1">
      <c r="G71" s="82"/>
      <c r="H71" s="82"/>
    </row>
    <row r="72" spans="1:10" s="72" customFormat="1" ht="12">
      <c r="A72" s="73" t="s">
        <v>104</v>
      </c>
      <c r="B72" s="74"/>
      <c r="C72" s="74"/>
      <c r="D72" s="74"/>
      <c r="E72" s="74"/>
      <c r="F72" s="74"/>
      <c r="G72" s="123"/>
      <c r="H72" s="123"/>
      <c r="I72" s="74"/>
      <c r="J72" s="146"/>
    </row>
    <row r="73" spans="5:8" s="72" customFormat="1" ht="12">
      <c r="E73" s="75"/>
      <c r="F73" s="75"/>
      <c r="G73" s="82"/>
      <c r="H73" s="82"/>
    </row>
    <row r="74" spans="1:10" s="72" customFormat="1" ht="12.75" customHeight="1">
      <c r="A74" s="137" t="s">
        <v>106</v>
      </c>
      <c r="B74" s="318" t="s">
        <v>107</v>
      </c>
      <c r="C74" s="319"/>
      <c r="D74" s="318" t="s">
        <v>108</v>
      </c>
      <c r="E74" s="319"/>
      <c r="G74" s="343" t="s">
        <v>105</v>
      </c>
      <c r="H74" s="344"/>
      <c r="I74" s="347">
        <f>SUM(M17:M35)</f>
        <v>0</v>
      </c>
      <c r="J74" s="132"/>
    </row>
    <row r="75" spans="1:10" s="72" customFormat="1" ht="12">
      <c r="A75" s="133" t="s">
        <v>109</v>
      </c>
      <c r="B75" s="342">
        <f>COUNTIF(J17:J39,"&gt;0")</f>
        <v>0</v>
      </c>
      <c r="C75" s="323"/>
      <c r="D75" s="342">
        <f>COUNTIF(I17:I39,"&gt;0")</f>
        <v>0</v>
      </c>
      <c r="E75" s="323"/>
      <c r="F75" s="99"/>
      <c r="G75" s="345"/>
      <c r="H75" s="346"/>
      <c r="I75" s="348"/>
      <c r="J75" s="132"/>
    </row>
    <row r="76" spans="1:9" s="72" customFormat="1" ht="12">
      <c r="A76" s="134" t="s">
        <v>110</v>
      </c>
      <c r="B76" s="324">
        <f>COUNTIF(K17:K39,"&gt;0")</f>
        <v>0</v>
      </c>
      <c r="C76" s="321"/>
      <c r="D76" s="324">
        <f>COUNTIF(L17:L39,"&gt;0")</f>
        <v>0</v>
      </c>
      <c r="E76" s="321"/>
      <c r="F76" s="99"/>
      <c r="G76" s="135"/>
      <c r="H76" s="135"/>
      <c r="I76" s="107"/>
    </row>
    <row r="77" spans="1:10" s="72" customFormat="1" ht="12" customHeight="1">
      <c r="A77" s="133" t="s">
        <v>111</v>
      </c>
      <c r="B77" s="342">
        <f>SUM('Détails WTI'!O8:O30)</f>
        <v>0</v>
      </c>
      <c r="C77" s="323"/>
      <c r="D77" s="322">
        <f>SUM('Détails WTI'!O39:O61)</f>
        <v>0</v>
      </c>
      <c r="E77" s="323"/>
      <c r="G77" s="351" t="s">
        <v>156</v>
      </c>
      <c r="H77" s="351"/>
      <c r="I77" s="351"/>
      <c r="J77" s="138"/>
    </row>
    <row r="78" spans="1:10" s="72" customFormat="1" ht="12">
      <c r="A78" s="134" t="s">
        <v>112</v>
      </c>
      <c r="B78" s="324">
        <f>SUM('Détails WTI'!U8:U30)</f>
        <v>0</v>
      </c>
      <c r="C78" s="321"/>
      <c r="D78" s="320">
        <f>SUM('Détails WTI'!U39:U61)</f>
        <v>0</v>
      </c>
      <c r="E78" s="321"/>
      <c r="G78" s="351"/>
      <c r="H78" s="351"/>
      <c r="I78" s="351"/>
      <c r="J78" s="138"/>
    </row>
    <row r="79" spans="2:10" s="72" customFormat="1" ht="12">
      <c r="B79" s="75"/>
      <c r="C79" s="75"/>
      <c r="D79" s="75"/>
      <c r="G79" s="351"/>
      <c r="H79" s="351"/>
      <c r="I79" s="351"/>
      <c r="J79" s="138"/>
    </row>
    <row r="80" spans="1:10" s="72" customFormat="1" ht="25.5" customHeight="1">
      <c r="A80" s="265" t="s">
        <v>167</v>
      </c>
      <c r="B80" s="340" t="s">
        <v>113</v>
      </c>
      <c r="C80" s="341"/>
      <c r="D80" s="349" t="s">
        <v>168</v>
      </c>
      <c r="E80" s="350"/>
      <c r="G80" s="351"/>
      <c r="H80" s="351"/>
      <c r="I80" s="351"/>
      <c r="J80" s="138"/>
    </row>
    <row r="81" spans="1:10" ht="12.75">
      <c r="A81" s="136" t="s">
        <v>161</v>
      </c>
      <c r="B81" s="338">
        <f>'Détails WI'!C37</f>
        <v>0</v>
      </c>
      <c r="C81" s="339"/>
      <c r="D81" s="338">
        <f>'Détails WI'!F37</f>
        <v>0</v>
      </c>
      <c r="E81" s="339"/>
      <c r="G81" s="351"/>
      <c r="H81" s="351"/>
      <c r="I81" s="351"/>
      <c r="J81" s="138"/>
    </row>
    <row r="82" spans="1:10" ht="12.75">
      <c r="A82" s="114" t="s">
        <v>162</v>
      </c>
      <c r="B82" s="336">
        <f>'Détails WI'!C38</f>
        <v>0</v>
      </c>
      <c r="C82" s="337"/>
      <c r="D82" s="336">
        <f>'Détails WI'!F38</f>
        <v>0</v>
      </c>
      <c r="E82" s="337"/>
      <c r="G82" s="351"/>
      <c r="H82" s="351"/>
      <c r="I82" s="351"/>
      <c r="J82" s="138"/>
    </row>
    <row r="83" spans="7:9" ht="12.75">
      <c r="G83" s="351"/>
      <c r="H83" s="351"/>
      <c r="I83" s="351"/>
    </row>
    <row r="84" spans="7:9" ht="12.75">
      <c r="G84" s="351"/>
      <c r="H84" s="351"/>
      <c r="I84" s="351"/>
    </row>
    <row r="85" spans="7:9" ht="12.75">
      <c r="G85" s="351"/>
      <c r="H85" s="351"/>
      <c r="I85" s="351"/>
    </row>
    <row r="89" ht="12.75">
      <c r="G89" s="46"/>
    </row>
  </sheetData>
  <sheetProtection sheet="1" objects="1" scenarios="1"/>
  <mergeCells count="53">
    <mergeCell ref="G74:H75"/>
    <mergeCell ref="I74:I75"/>
    <mergeCell ref="D82:E82"/>
    <mergeCell ref="D81:E81"/>
    <mergeCell ref="D80:E80"/>
    <mergeCell ref="D74:E74"/>
    <mergeCell ref="G77:I85"/>
    <mergeCell ref="B82:C82"/>
    <mergeCell ref="B81:C81"/>
    <mergeCell ref="B80:C80"/>
    <mergeCell ref="D75:E75"/>
    <mergeCell ref="B78:C78"/>
    <mergeCell ref="B77:C77"/>
    <mergeCell ref="B76:C76"/>
    <mergeCell ref="B75:C75"/>
    <mergeCell ref="B51:C51"/>
    <mergeCell ref="B53:C53"/>
    <mergeCell ref="B52:C52"/>
    <mergeCell ref="B36:F38"/>
    <mergeCell ref="D48:E48"/>
    <mergeCell ref="B48:C48"/>
    <mergeCell ref="B47:C47"/>
    <mergeCell ref="D47:E47"/>
    <mergeCell ref="D46:E46"/>
    <mergeCell ref="B74:C74"/>
    <mergeCell ref="D78:E78"/>
    <mergeCell ref="D77:E77"/>
    <mergeCell ref="D76:E76"/>
    <mergeCell ref="B8:I9"/>
    <mergeCell ref="B43:C43"/>
    <mergeCell ref="D53:E53"/>
    <mergeCell ref="D52:E52"/>
    <mergeCell ref="B50:C50"/>
    <mergeCell ref="B49:C49"/>
    <mergeCell ref="B46:C46"/>
    <mergeCell ref="D51:E51"/>
    <mergeCell ref="D50:E50"/>
    <mergeCell ref="D49:E49"/>
    <mergeCell ref="A1:I1"/>
    <mergeCell ref="B15:F15"/>
    <mergeCell ref="G15:H15"/>
    <mergeCell ref="D44:E44"/>
    <mergeCell ref="D43:E43"/>
    <mergeCell ref="A2:I2"/>
    <mergeCell ref="B7:I7"/>
    <mergeCell ref="B6:I6"/>
    <mergeCell ref="B42:C42"/>
    <mergeCell ref="D42:E42"/>
    <mergeCell ref="K15:L15"/>
    <mergeCell ref="B10:I11"/>
    <mergeCell ref="B45:C45"/>
    <mergeCell ref="B44:C44"/>
    <mergeCell ref="D45:E45"/>
  </mergeCells>
  <printOptions/>
  <pageMargins left="0.4" right="0.38" top="0.2755905511811024" bottom="0.1968503937007874" header="0.2755905511811024" footer="0.1968503937007874"/>
  <pageSetup fitToHeight="1" fitToWidth="1" horizontalDpi="600" verticalDpi="600" orientation="portrait" paperSize="9" scale="65" r:id="rId3"/>
  <drawing r:id="rId2"/>
  <legacy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A1:AM76"/>
  <sheetViews>
    <sheetView workbookViewId="0" topLeftCell="A1">
      <selection activeCell="A8" sqref="A8"/>
    </sheetView>
  </sheetViews>
  <sheetFormatPr defaultColWidth="11.421875" defaultRowHeight="12.75"/>
  <cols>
    <col min="1" max="1" width="6.7109375" style="47" customWidth="1"/>
    <col min="2" max="2" width="4.7109375" style="47" customWidth="1"/>
    <col min="3" max="4" width="5.57421875" style="47" customWidth="1"/>
    <col min="5" max="5" width="6.57421875" style="47" customWidth="1"/>
    <col min="6" max="6" width="6.7109375" style="47" customWidth="1"/>
    <col min="7" max="7" width="5.8515625" style="47" customWidth="1"/>
    <col min="8" max="8" width="8.00390625" style="47" customWidth="1"/>
    <col min="9" max="9" width="7.28125" style="47" customWidth="1"/>
    <col min="10" max="10" width="7.7109375" style="47" customWidth="1"/>
    <col min="11" max="11" width="7.57421875" style="47" customWidth="1"/>
    <col min="12" max="13" width="8.421875" style="47" customWidth="1"/>
    <col min="14" max="14" width="8.140625" style="47" customWidth="1"/>
    <col min="15" max="15" width="9.57421875" style="47" customWidth="1"/>
    <col min="16" max="20" width="8.140625" style="47" customWidth="1"/>
    <col min="21" max="21" width="9.57421875" style="47" customWidth="1"/>
    <col min="22" max="22" width="6.57421875" style="47" customWidth="1"/>
    <col min="23" max="23" width="6.421875" style="47" customWidth="1"/>
    <col min="24" max="26" width="7.7109375" style="47" customWidth="1"/>
    <col min="27" max="27" width="8.7109375" style="47" customWidth="1"/>
    <col min="28" max="28" width="9.00390625" style="47" customWidth="1"/>
    <col min="29" max="29" width="8.7109375" style="47" customWidth="1"/>
    <col min="30" max="30" width="9.7109375" style="47" customWidth="1"/>
    <col min="31" max="31" width="9.140625" style="47" customWidth="1"/>
    <col min="32" max="32" width="9.57421875" style="47" customWidth="1"/>
    <col min="33" max="33" width="9.140625" style="47" customWidth="1"/>
    <col min="34" max="35" width="8.8515625" style="47" customWidth="1"/>
    <col min="36" max="36" width="9.140625" style="47" customWidth="1"/>
    <col min="37" max="16384" width="11.421875" style="47" customWidth="1"/>
  </cols>
  <sheetData>
    <row r="1" ht="15.75">
      <c r="A1" s="49" t="s">
        <v>114</v>
      </c>
    </row>
    <row r="2" spans="24:29" ht="12.75">
      <c r="X2" s="261" t="s">
        <v>163</v>
      </c>
      <c r="Y2" s="258"/>
      <c r="Z2" s="259"/>
      <c r="AA2" s="259"/>
      <c r="AB2" s="262"/>
      <c r="AC2" s="236">
        <v>150</v>
      </c>
    </row>
    <row r="3" spans="1:29" s="177" customFormat="1" ht="12.75">
      <c r="A3" s="176" t="s">
        <v>169</v>
      </c>
      <c r="AA3" s="260" t="s">
        <v>25</v>
      </c>
      <c r="AB3" s="260" t="s">
        <v>26</v>
      </c>
      <c r="AC3" s="237" t="s">
        <v>27</v>
      </c>
    </row>
    <row r="4" spans="24:29" ht="12.75">
      <c r="X4" s="261" t="s">
        <v>164</v>
      </c>
      <c r="Y4" s="178"/>
      <c r="Z4" s="179"/>
      <c r="AA4" s="235">
        <v>0.01</v>
      </c>
      <c r="AB4" s="238">
        <v>0.009</v>
      </c>
      <c r="AC4" s="238">
        <v>0.008</v>
      </c>
    </row>
    <row r="5" spans="1:39" ht="13.5" thickBo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row>
    <row r="6" spans="1:39" ht="12.75">
      <c r="A6" s="180" t="s">
        <v>115</v>
      </c>
      <c r="B6" s="181" t="s">
        <v>116</v>
      </c>
      <c r="C6" s="182" t="s">
        <v>3</v>
      </c>
      <c r="D6" s="181" t="s">
        <v>8</v>
      </c>
      <c r="E6" s="352" t="s">
        <v>23</v>
      </c>
      <c r="F6" s="353"/>
      <c r="G6" s="182" t="s">
        <v>48</v>
      </c>
      <c r="H6" s="181" t="s">
        <v>24</v>
      </c>
      <c r="I6" s="358" t="s">
        <v>117</v>
      </c>
      <c r="J6" s="352" t="s">
        <v>118</v>
      </c>
      <c r="K6" s="353"/>
      <c r="L6" s="182" t="s">
        <v>119</v>
      </c>
      <c r="M6" s="182"/>
      <c r="N6" s="182"/>
      <c r="O6" s="182"/>
      <c r="P6" s="352" t="s">
        <v>121</v>
      </c>
      <c r="Q6" s="353"/>
      <c r="R6" s="182" t="s">
        <v>122</v>
      </c>
      <c r="S6" s="182"/>
      <c r="T6" s="182"/>
      <c r="U6" s="182"/>
      <c r="V6" s="178" t="s">
        <v>124</v>
      </c>
      <c r="W6" s="182"/>
      <c r="X6" s="180" t="s">
        <v>125</v>
      </c>
      <c r="Y6" s="182"/>
      <c r="Z6" s="182"/>
      <c r="AA6" s="183" t="s">
        <v>128</v>
      </c>
      <c r="AB6" s="184"/>
      <c r="AC6" s="185"/>
      <c r="AD6" s="356" t="s">
        <v>126</v>
      </c>
      <c r="AE6" s="356" t="s">
        <v>127</v>
      </c>
      <c r="AF6" s="183" t="s">
        <v>157</v>
      </c>
      <c r="AG6" s="184"/>
      <c r="AH6" s="185"/>
      <c r="AI6" s="356" t="s">
        <v>129</v>
      </c>
      <c r="AJ6" s="354" t="s">
        <v>127</v>
      </c>
      <c r="AK6" s="48"/>
      <c r="AL6" s="48"/>
      <c r="AM6" s="48"/>
    </row>
    <row r="7" spans="1:39" ht="12.75">
      <c r="A7" s="186"/>
      <c r="B7" s="187"/>
      <c r="C7" s="188"/>
      <c r="D7" s="187"/>
      <c r="E7" s="189" t="s">
        <v>52</v>
      </c>
      <c r="F7" s="189" t="s">
        <v>53</v>
      </c>
      <c r="G7" s="188"/>
      <c r="H7" s="187"/>
      <c r="I7" s="359"/>
      <c r="J7" s="189" t="s">
        <v>52</v>
      </c>
      <c r="K7" s="189" t="s">
        <v>53</v>
      </c>
      <c r="L7" s="188" t="s">
        <v>52</v>
      </c>
      <c r="M7" s="188" t="s">
        <v>53</v>
      </c>
      <c r="N7" s="188" t="s">
        <v>120</v>
      </c>
      <c r="O7" s="188" t="s">
        <v>123</v>
      </c>
      <c r="P7" s="189" t="s">
        <v>52</v>
      </c>
      <c r="Q7" s="189" t="s">
        <v>53</v>
      </c>
      <c r="R7" s="188" t="s">
        <v>52</v>
      </c>
      <c r="S7" s="188" t="s">
        <v>53</v>
      </c>
      <c r="T7" s="188" t="s">
        <v>120</v>
      </c>
      <c r="U7" s="188" t="s">
        <v>123</v>
      </c>
      <c r="V7" s="189" t="s">
        <v>52</v>
      </c>
      <c r="W7" s="178" t="s">
        <v>53</v>
      </c>
      <c r="X7" s="189" t="s">
        <v>25</v>
      </c>
      <c r="Y7" s="189" t="s">
        <v>26</v>
      </c>
      <c r="Z7" s="178" t="s">
        <v>27</v>
      </c>
      <c r="AA7" s="190" t="s">
        <v>25</v>
      </c>
      <c r="AB7" s="189" t="s">
        <v>26</v>
      </c>
      <c r="AC7" s="189" t="s">
        <v>27</v>
      </c>
      <c r="AD7" s="357"/>
      <c r="AE7" s="357"/>
      <c r="AF7" s="190" t="s">
        <v>25</v>
      </c>
      <c r="AG7" s="189" t="s">
        <v>26</v>
      </c>
      <c r="AH7" s="189" t="s">
        <v>27</v>
      </c>
      <c r="AI7" s="357"/>
      <c r="AJ7" s="355"/>
      <c r="AK7" s="48"/>
      <c r="AL7" s="48"/>
      <c r="AM7" s="48"/>
    </row>
    <row r="8" spans="1:39" ht="12.75">
      <c r="A8" s="189">
        <f>'Charges acoustiques'!A17</f>
        <v>0</v>
      </c>
      <c r="B8" s="189">
        <f>'Charges acoustiques'!B17</f>
        <v>0</v>
      </c>
      <c r="C8" s="189">
        <f>'Charges acoustiques'!C17</f>
        <v>0</v>
      </c>
      <c r="D8" s="189">
        <f>'Charges acoustiques'!E17</f>
        <v>0</v>
      </c>
      <c r="E8" s="189">
        <f>'Charges acoustiques'!H17</f>
        <v>0</v>
      </c>
      <c r="F8" s="189">
        <f>'Charges acoustiques'!I17</f>
        <v>0</v>
      </c>
      <c r="G8" s="189">
        <f>'Charges acoustiques'!D17</f>
        <v>0</v>
      </c>
      <c r="H8" s="189">
        <f>'Charges acoustiques'!G17</f>
        <v>0</v>
      </c>
      <c r="I8" s="189">
        <f>IF('Charges acoustiques'!F17="x",0,1)</f>
        <v>1</v>
      </c>
      <c r="J8" s="189">
        <f>IF(G8&gt;0,VLOOKUP('Détails WTI'!G8,Grundlagen!$A$5:$G$9,3,FALSE),0)</f>
        <v>0</v>
      </c>
      <c r="K8" s="189">
        <f>IF(G8&gt;0,VLOOKUP('Détails WTI'!G8,Grundlagen!$A$5:$G$9,6,FALSE),0)</f>
        <v>0</v>
      </c>
      <c r="L8" s="189">
        <f>IF(E8&gt;J8,E8-J8,0)</f>
        <v>0</v>
      </c>
      <c r="M8" s="189">
        <f>IF(F8&gt;K8,F8-K8,0)</f>
        <v>0</v>
      </c>
      <c r="N8" s="189">
        <f>IF(L8&gt;0,1,IF(M8&gt;0,1,0))</f>
        <v>0</v>
      </c>
      <c r="O8" s="189">
        <f>IF(N8=1,D8*3,0)</f>
        <v>0</v>
      </c>
      <c r="P8" s="189">
        <f>IF(G8&gt;0,VLOOKUP('Détails WTI'!G8,Grundlagen!$A$5:$G$9,4,FALSE),0)</f>
        <v>0</v>
      </c>
      <c r="Q8" s="189">
        <f>IF(G8&gt;0,VLOOKUP('Détails WTI'!G8,Grundlagen!$A$5:$G$9,7,FALSE),0)</f>
        <v>0</v>
      </c>
      <c r="R8" s="189">
        <f>IF(E8&gt;P8,E8-P8,0)</f>
        <v>0</v>
      </c>
      <c r="S8" s="189">
        <f>IF(F8&gt;Q8,F8-Q8,0)</f>
        <v>0</v>
      </c>
      <c r="T8" s="189">
        <f>IF(R8&gt;0,1,IF(S8&gt;0,1,0))</f>
        <v>0</v>
      </c>
      <c r="U8" s="189">
        <f>IF(T8=1,D8*3,0)</f>
        <v>0</v>
      </c>
      <c r="V8" s="189">
        <f>IF(G8&gt;0,IF(J8&lt;&gt;"",IF(E8&gt;(J8-5),E8-(J8-5),0),""),0)</f>
        <v>0</v>
      </c>
      <c r="W8" s="189">
        <f>IF(G8&gt;0,IF(F8&gt;(K8-5),F8-(K8-5),0),0)</f>
        <v>0</v>
      </c>
      <c r="X8" s="189">
        <f>IF(OR(E8&gt;IF(G8&gt;0,VLOOKUP('Détails WTI'!G8,Grundlagen!$A$5:$G$9,4,FALSE),0),F8&gt;IF(G8&gt;0,VLOOKUP('Détails WTI'!G8,Grundlagen!$A$5:$G$9,7,FALSE),0)),H8*MAX(V8:W8),0)</f>
        <v>0</v>
      </c>
      <c r="Y8" s="189">
        <f aca="true" t="shared" si="0" ref="Y8:Y29">IF(X8=0,IF(OR($E8&gt;$J8,$F8&gt;$K8),$H8*MAX($V8:$W8),0),0)</f>
        <v>0</v>
      </c>
      <c r="Z8" s="178">
        <f aca="true" t="shared" si="1" ref="Z8:Z21">IF(Y8+X8=0,IF(OR($E8&gt;$J8-5,$F8&gt;$K8-5),$H8*MAX($V8:$W8),0),0)</f>
        <v>0</v>
      </c>
      <c r="AA8" s="190">
        <f>X8*$AC$2*$AA$4*I8</f>
        <v>0</v>
      </c>
      <c r="AB8" s="189">
        <f>Y8*$AC$2*$AB$4*I8</f>
        <v>0</v>
      </c>
      <c r="AC8" s="189">
        <f>Z8*$AC$2*$AC$4*I8</f>
        <v>0</v>
      </c>
      <c r="AD8" s="178">
        <f>SUM(AA8+AB8+AC8)*$N8</f>
        <v>0</v>
      </c>
      <c r="AE8" s="191">
        <f>MAX(L8:M8)*H8*I8</f>
        <v>0</v>
      </c>
      <c r="AF8" s="190">
        <f>X8*$AC$2*AA$4</f>
        <v>0</v>
      </c>
      <c r="AG8" s="189">
        <f>Y8*$AC$2*AB$4</f>
        <v>0</v>
      </c>
      <c r="AH8" s="189">
        <f>Z8*$AC$2*AC$4</f>
        <v>0</v>
      </c>
      <c r="AI8" s="178">
        <f>SUM(AF8+AG8+AH8)*$N8</f>
        <v>0</v>
      </c>
      <c r="AJ8" s="191">
        <f>MAX(L8:M8)*H8</f>
        <v>0</v>
      </c>
      <c r="AK8" s="48"/>
      <c r="AL8" s="48"/>
      <c r="AM8" s="48"/>
    </row>
    <row r="9" spans="1:39" ht="12.75">
      <c r="A9" s="189">
        <f>'Charges acoustiques'!A18</f>
        <v>0</v>
      </c>
      <c r="B9" s="189">
        <f>'Charges acoustiques'!B18</f>
        <v>0</v>
      </c>
      <c r="C9" s="189">
        <f>'Charges acoustiques'!C18</f>
        <v>0</v>
      </c>
      <c r="D9" s="189">
        <f>'Charges acoustiques'!E18</f>
        <v>0</v>
      </c>
      <c r="E9" s="189">
        <f>'Charges acoustiques'!H18</f>
        <v>0</v>
      </c>
      <c r="F9" s="189">
        <f>'Charges acoustiques'!I18</f>
        <v>0</v>
      </c>
      <c r="G9" s="189">
        <f>'Charges acoustiques'!D18</f>
        <v>0</v>
      </c>
      <c r="H9" s="189">
        <f>'Charges acoustiques'!G18</f>
        <v>0</v>
      </c>
      <c r="I9" s="189">
        <f>IF('Charges acoustiques'!F18="x",0,1)</f>
        <v>1</v>
      </c>
      <c r="J9" s="189">
        <f>IF(G9&gt;0,VLOOKUP('Détails WTI'!G9,Grundlagen!$A$5:$G$9,3,FALSE),0)</f>
        <v>0</v>
      </c>
      <c r="K9" s="189">
        <f>IF(G9&gt;0,VLOOKUP('Détails WTI'!G9,Grundlagen!$A$5:$G$9,6,FALSE),0)</f>
        <v>0</v>
      </c>
      <c r="L9" s="189">
        <f>IF(E9&gt;J9,E9-J9,0)</f>
        <v>0</v>
      </c>
      <c r="M9" s="189">
        <f>IF(F9&gt;K9,F9-K9,0)</f>
        <v>0</v>
      </c>
      <c r="N9" s="189">
        <f aca="true" t="shared" si="2" ref="N9:N21">IF(L9&gt;0,1,IF(M9&gt;0,1,0))</f>
        <v>0</v>
      </c>
      <c r="O9" s="189">
        <f aca="true" t="shared" si="3" ref="O9:O23">IF(N9=1,D9*3,0)</f>
        <v>0</v>
      </c>
      <c r="P9" s="189">
        <f>IF(G9&gt;0,VLOOKUP('Détails WTI'!G9,Grundlagen!$A$5:$G$9,4,FALSE),0)</f>
        <v>0</v>
      </c>
      <c r="Q9" s="189">
        <f>IF(G9&gt;0,VLOOKUP('Détails WTI'!G9,Grundlagen!$A$5:$G$9,7,FALSE),0)</f>
        <v>0</v>
      </c>
      <c r="R9" s="189">
        <f aca="true" t="shared" si="4" ref="R9:R23">IF(E9&gt;P9,E9-P9,0)</f>
        <v>0</v>
      </c>
      <c r="S9" s="189">
        <f aca="true" t="shared" si="5" ref="S9:S23">IF(F9&gt;Q9,F9-Q9,0)</f>
        <v>0</v>
      </c>
      <c r="T9" s="189">
        <f aca="true" t="shared" si="6" ref="T9:T23">IF(R9&gt;0,1,IF(S9&gt;0,1,0))</f>
        <v>0</v>
      </c>
      <c r="U9" s="189">
        <f aca="true" t="shared" si="7" ref="U9:U23">IF(T9=1,D9*3,0)</f>
        <v>0</v>
      </c>
      <c r="V9" s="189">
        <f aca="true" t="shared" si="8" ref="V9:V21">IF(G9&gt;0,IF(J9&lt;&gt;"",IF(E9&gt;(J9-5),E9-(J9-5),0),""),0)</f>
        <v>0</v>
      </c>
      <c r="W9" s="189">
        <f aca="true" t="shared" si="9" ref="W9:W21">IF(G9&gt;0,IF(F9&gt;(K9-5),F9-(K9-5),0),0)</f>
        <v>0</v>
      </c>
      <c r="X9" s="189">
        <f>IF(OR(E9&gt;IF(G9&gt;0,VLOOKUP('Détails WTI'!G9,Grundlagen!$A$5:$G$9,4,FALSE),0),F9&gt;IF(G9&gt;0,VLOOKUP('Détails WTI'!G9,Grundlagen!$A$5:$G$9,7,FALSE),0)),H9*MAX(V9:W9),0)</f>
        <v>0</v>
      </c>
      <c r="Y9" s="189">
        <f t="shared" si="0"/>
        <v>0</v>
      </c>
      <c r="Z9" s="178">
        <f t="shared" si="1"/>
        <v>0</v>
      </c>
      <c r="AA9" s="190">
        <f aca="true" t="shared" si="10" ref="AA9:AA29">X9*$AC$2*$AA$4*I9</f>
        <v>0</v>
      </c>
      <c r="AB9" s="189">
        <f aca="true" t="shared" si="11" ref="AB9:AB29">Y9*$AC$2*$AB$4*I9</f>
        <v>0</v>
      </c>
      <c r="AC9" s="189">
        <f aca="true" t="shared" si="12" ref="AC9:AC29">Z9*$AC$2*$AC$4*I9</f>
        <v>0</v>
      </c>
      <c r="AD9" s="178">
        <f aca="true" t="shared" si="13" ref="AD9:AD28">SUM(AA9+AB9+AC9)*$N9</f>
        <v>0</v>
      </c>
      <c r="AE9" s="191">
        <f aca="true" t="shared" si="14" ref="AE9:AE28">MAX(L9:M9)*H9*I9</f>
        <v>0</v>
      </c>
      <c r="AF9" s="190">
        <f aca="true" t="shared" si="15" ref="AF9:AH29">X9*$AC$2*AA$4</f>
        <v>0</v>
      </c>
      <c r="AG9" s="189">
        <f t="shared" si="15"/>
        <v>0</v>
      </c>
      <c r="AH9" s="189">
        <f t="shared" si="15"/>
        <v>0</v>
      </c>
      <c r="AI9" s="178">
        <f aca="true" t="shared" si="16" ref="AI9:AI28">SUM(AF9+AG9+AH9)*$N9</f>
        <v>0</v>
      </c>
      <c r="AJ9" s="191">
        <f aca="true" t="shared" si="17" ref="AJ9:AJ28">MAX(L9:M9)*H9</f>
        <v>0</v>
      </c>
      <c r="AK9" s="48"/>
      <c r="AL9" s="48"/>
      <c r="AM9" s="48"/>
    </row>
    <row r="10" spans="1:39" ht="12.75">
      <c r="A10" s="189">
        <f>'Charges acoustiques'!A19</f>
        <v>0</v>
      </c>
      <c r="B10" s="189">
        <f>'Charges acoustiques'!B19</f>
        <v>0</v>
      </c>
      <c r="C10" s="189">
        <f>'Charges acoustiques'!C19</f>
        <v>0</v>
      </c>
      <c r="D10" s="189">
        <f>'Charges acoustiques'!E19</f>
        <v>0</v>
      </c>
      <c r="E10" s="189">
        <f>'Charges acoustiques'!H19</f>
        <v>0</v>
      </c>
      <c r="F10" s="189">
        <f>'Charges acoustiques'!I19</f>
        <v>0</v>
      </c>
      <c r="G10" s="189">
        <f>'Charges acoustiques'!D19</f>
        <v>0</v>
      </c>
      <c r="H10" s="189">
        <f>'Charges acoustiques'!G19</f>
        <v>0</v>
      </c>
      <c r="I10" s="189">
        <f>IF('Charges acoustiques'!F19="x",0,1)</f>
        <v>1</v>
      </c>
      <c r="J10" s="189">
        <f>IF(G10&gt;0,VLOOKUP('Détails WTI'!G10,Grundlagen!$A$5:$G$9,3,FALSE),0)</f>
        <v>0</v>
      </c>
      <c r="K10" s="189">
        <f>IF(G10&gt;0,VLOOKUP('Détails WTI'!G10,Grundlagen!$A$5:$G$9,6,FALSE),0)</f>
        <v>0</v>
      </c>
      <c r="L10" s="189">
        <f aca="true" t="shared" si="18" ref="L10:L21">IF(E10&gt;J10,E10-J10,0)</f>
        <v>0</v>
      </c>
      <c r="M10" s="189">
        <f aca="true" t="shared" si="19" ref="M10:M21">IF(F10&gt;K10,F10-K10,0)</f>
        <v>0</v>
      </c>
      <c r="N10" s="189">
        <f t="shared" si="2"/>
        <v>0</v>
      </c>
      <c r="O10" s="189">
        <f t="shared" si="3"/>
        <v>0</v>
      </c>
      <c r="P10" s="189">
        <f>IF(G10&gt;0,VLOOKUP('Détails WTI'!G10,Grundlagen!$A$5:$G$9,4,FALSE),0)</f>
        <v>0</v>
      </c>
      <c r="Q10" s="189">
        <f>IF(G10&gt;0,VLOOKUP('Détails WTI'!G10,Grundlagen!$A$5:$G$9,7,FALSE),0)</f>
        <v>0</v>
      </c>
      <c r="R10" s="189">
        <f t="shared" si="4"/>
        <v>0</v>
      </c>
      <c r="S10" s="189">
        <f t="shared" si="5"/>
        <v>0</v>
      </c>
      <c r="T10" s="189">
        <f t="shared" si="6"/>
        <v>0</v>
      </c>
      <c r="U10" s="189">
        <f t="shared" si="7"/>
        <v>0</v>
      </c>
      <c r="V10" s="189">
        <f t="shared" si="8"/>
        <v>0</v>
      </c>
      <c r="W10" s="189">
        <f t="shared" si="9"/>
        <v>0</v>
      </c>
      <c r="X10" s="189">
        <f>IF(OR(E10&gt;IF(G10&gt;0,VLOOKUP('Détails WTI'!G10,Grundlagen!$A$5:$G$9,4,FALSE),0),F10&gt;IF(G10&gt;0,VLOOKUP('Détails WTI'!G10,Grundlagen!$A$5:$G$9,7,FALSE),0)),H10*MAX(V10:W10),0)</f>
        <v>0</v>
      </c>
      <c r="Y10" s="189">
        <f t="shared" si="0"/>
        <v>0</v>
      </c>
      <c r="Z10" s="178">
        <f t="shared" si="1"/>
        <v>0</v>
      </c>
      <c r="AA10" s="190">
        <f t="shared" si="10"/>
        <v>0</v>
      </c>
      <c r="AB10" s="189">
        <f t="shared" si="11"/>
        <v>0</v>
      </c>
      <c r="AC10" s="189">
        <f t="shared" si="12"/>
        <v>0</v>
      </c>
      <c r="AD10" s="178">
        <f>SUM(AA10+AB10+AC10)*$N10</f>
        <v>0</v>
      </c>
      <c r="AE10" s="191">
        <f t="shared" si="14"/>
        <v>0</v>
      </c>
      <c r="AF10" s="190">
        <f t="shared" si="15"/>
        <v>0</v>
      </c>
      <c r="AG10" s="189">
        <f t="shared" si="15"/>
        <v>0</v>
      </c>
      <c r="AH10" s="189">
        <f t="shared" si="15"/>
        <v>0</v>
      </c>
      <c r="AI10" s="178">
        <f t="shared" si="16"/>
        <v>0</v>
      </c>
      <c r="AJ10" s="191">
        <f t="shared" si="17"/>
        <v>0</v>
      </c>
      <c r="AK10" s="48"/>
      <c r="AL10" s="48"/>
      <c r="AM10" s="48"/>
    </row>
    <row r="11" spans="1:39" ht="12.75">
      <c r="A11" s="189">
        <f>'Charges acoustiques'!A20</f>
        <v>0</v>
      </c>
      <c r="B11" s="189">
        <f>'Charges acoustiques'!B20</f>
        <v>0</v>
      </c>
      <c r="C11" s="189">
        <f>'Charges acoustiques'!C20</f>
        <v>0</v>
      </c>
      <c r="D11" s="189">
        <f>'Charges acoustiques'!E20</f>
        <v>0</v>
      </c>
      <c r="E11" s="189">
        <f>'Charges acoustiques'!H20</f>
        <v>0</v>
      </c>
      <c r="F11" s="189">
        <f>'Charges acoustiques'!I20</f>
        <v>0</v>
      </c>
      <c r="G11" s="189">
        <f>'Charges acoustiques'!D20</f>
        <v>0</v>
      </c>
      <c r="H11" s="189">
        <f>'Charges acoustiques'!G20</f>
        <v>0</v>
      </c>
      <c r="I11" s="189">
        <f>IF('Charges acoustiques'!F20="x",0,1)</f>
        <v>1</v>
      </c>
      <c r="J11" s="189">
        <f>IF(G11&gt;0,VLOOKUP('Détails WTI'!G11,Grundlagen!$A$5:$G$9,3,FALSE),0)</f>
        <v>0</v>
      </c>
      <c r="K11" s="189">
        <f>IF(G11&gt;0,VLOOKUP('Détails WTI'!G11,Grundlagen!$A$5:$G$9,6,FALSE),0)</f>
        <v>0</v>
      </c>
      <c r="L11" s="189">
        <f t="shared" si="18"/>
        <v>0</v>
      </c>
      <c r="M11" s="189">
        <f t="shared" si="19"/>
        <v>0</v>
      </c>
      <c r="N11" s="189">
        <f t="shared" si="2"/>
        <v>0</v>
      </c>
      <c r="O11" s="189">
        <f t="shared" si="3"/>
        <v>0</v>
      </c>
      <c r="P11" s="189">
        <f>IF(G11&gt;0,VLOOKUP('Détails WTI'!G11,Grundlagen!$A$5:$G$9,4,FALSE),0)</f>
        <v>0</v>
      </c>
      <c r="Q11" s="189">
        <f>IF(G11&gt;0,VLOOKUP('Détails WTI'!G11,Grundlagen!$A$5:$G$9,7,FALSE),0)</f>
        <v>0</v>
      </c>
      <c r="R11" s="189">
        <f t="shared" si="4"/>
        <v>0</v>
      </c>
      <c r="S11" s="189">
        <f t="shared" si="5"/>
        <v>0</v>
      </c>
      <c r="T11" s="189">
        <f t="shared" si="6"/>
        <v>0</v>
      </c>
      <c r="U11" s="189">
        <f t="shared" si="7"/>
        <v>0</v>
      </c>
      <c r="V11" s="189">
        <f>IF(G11&gt;0,IF(J11&lt;&gt;"",IF(E11&gt;(J11-5),E11-(J11-5),0),""),0)</f>
        <v>0</v>
      </c>
      <c r="W11" s="189">
        <f t="shared" si="9"/>
        <v>0</v>
      </c>
      <c r="X11" s="189">
        <f>IF(OR(E11&gt;IF(G11&gt;0,VLOOKUP('Détails WTI'!G11,Grundlagen!$A$5:$G$9,4,FALSE),0),F11&gt;IF(G11&gt;0,VLOOKUP('Détails WTI'!G11,Grundlagen!$A$5:$G$9,7,FALSE),0)),H11*MAX(V11:W11),0)</f>
        <v>0</v>
      </c>
      <c r="Y11" s="189">
        <f t="shared" si="0"/>
        <v>0</v>
      </c>
      <c r="Z11" s="178">
        <f>IF(Y11+X11=0,IF(OR($E11&gt;$J11-5,$F11&gt;$K11-5),$H11*MAX($V11:$W11),0),0)</f>
        <v>0</v>
      </c>
      <c r="AA11" s="190">
        <f t="shared" si="10"/>
        <v>0</v>
      </c>
      <c r="AB11" s="189">
        <f t="shared" si="11"/>
        <v>0</v>
      </c>
      <c r="AC11" s="189">
        <f t="shared" si="12"/>
        <v>0</v>
      </c>
      <c r="AD11" s="178">
        <f t="shared" si="13"/>
        <v>0</v>
      </c>
      <c r="AE11" s="191">
        <f>MAX(L11:M11)*H11*I11</f>
        <v>0</v>
      </c>
      <c r="AF11" s="190">
        <f t="shared" si="15"/>
        <v>0</v>
      </c>
      <c r="AG11" s="189">
        <f t="shared" si="15"/>
        <v>0</v>
      </c>
      <c r="AH11" s="189">
        <f t="shared" si="15"/>
        <v>0</v>
      </c>
      <c r="AI11" s="178">
        <f t="shared" si="16"/>
        <v>0</v>
      </c>
      <c r="AJ11" s="191">
        <f t="shared" si="17"/>
        <v>0</v>
      </c>
      <c r="AK11" s="48"/>
      <c r="AL11" s="48"/>
      <c r="AM11" s="48"/>
    </row>
    <row r="12" spans="1:39" ht="12.75">
      <c r="A12" s="189">
        <f>'Charges acoustiques'!A21</f>
        <v>0</v>
      </c>
      <c r="B12" s="189">
        <f>'Charges acoustiques'!B21</f>
        <v>0</v>
      </c>
      <c r="C12" s="189">
        <f>'Charges acoustiques'!C21</f>
        <v>0</v>
      </c>
      <c r="D12" s="189">
        <f>'Charges acoustiques'!E21</f>
        <v>0</v>
      </c>
      <c r="E12" s="189">
        <f>'Charges acoustiques'!H21</f>
        <v>0</v>
      </c>
      <c r="F12" s="189">
        <f>'Charges acoustiques'!I21</f>
        <v>0</v>
      </c>
      <c r="G12" s="189">
        <f>'Charges acoustiques'!D21</f>
        <v>0</v>
      </c>
      <c r="H12" s="189">
        <f>'Charges acoustiques'!G21</f>
        <v>0</v>
      </c>
      <c r="I12" s="189">
        <f>IF('Charges acoustiques'!F21="x",0,1)</f>
        <v>1</v>
      </c>
      <c r="J12" s="189">
        <f>IF(G12&gt;0,VLOOKUP('Détails WTI'!G12,Grundlagen!$A$5:$G$9,3,FALSE),0)</f>
        <v>0</v>
      </c>
      <c r="K12" s="189">
        <f>IF(G12&gt;0,VLOOKUP('Détails WTI'!G12,Grundlagen!$A$5:$G$9,6,FALSE),0)</f>
        <v>0</v>
      </c>
      <c r="L12" s="189">
        <f t="shared" si="18"/>
        <v>0</v>
      </c>
      <c r="M12" s="189">
        <f t="shared" si="19"/>
        <v>0</v>
      </c>
      <c r="N12" s="189">
        <f t="shared" si="2"/>
        <v>0</v>
      </c>
      <c r="O12" s="189">
        <f t="shared" si="3"/>
        <v>0</v>
      </c>
      <c r="P12" s="189">
        <f>IF(G12&gt;0,VLOOKUP('Détails WTI'!G12,Grundlagen!$A$5:$G$9,4,FALSE),0)</f>
        <v>0</v>
      </c>
      <c r="Q12" s="189">
        <f>IF(G12&gt;0,VLOOKUP('Détails WTI'!G12,Grundlagen!$A$5:$G$9,7,FALSE),0)</f>
        <v>0</v>
      </c>
      <c r="R12" s="189">
        <f t="shared" si="4"/>
        <v>0</v>
      </c>
      <c r="S12" s="189">
        <f t="shared" si="5"/>
        <v>0</v>
      </c>
      <c r="T12" s="189">
        <f t="shared" si="6"/>
        <v>0</v>
      </c>
      <c r="U12" s="189">
        <f t="shared" si="7"/>
        <v>0</v>
      </c>
      <c r="V12" s="189">
        <f>IF(G12&gt;0,IF(J12&lt;&gt;"",IF(E12&gt;(J12-5),E12-(J12-5),0),""),0)</f>
        <v>0</v>
      </c>
      <c r="W12" s="189">
        <f t="shared" si="9"/>
        <v>0</v>
      </c>
      <c r="X12" s="189">
        <f>IF(OR(E12&gt;IF(G12&gt;0,VLOOKUP('Détails WTI'!G12,Grundlagen!$A$5:$G$9,4,FALSE),0),F12&gt;IF(G12&gt;0,VLOOKUP('Détails WTI'!G12,Grundlagen!$A$5:$G$9,7,FALSE),0)),H12*MAX(V12:W12),0)</f>
        <v>0</v>
      </c>
      <c r="Y12" s="189">
        <f t="shared" si="0"/>
        <v>0</v>
      </c>
      <c r="Z12" s="178">
        <f t="shared" si="1"/>
        <v>0</v>
      </c>
      <c r="AA12" s="190">
        <f t="shared" si="10"/>
        <v>0</v>
      </c>
      <c r="AB12" s="189">
        <f>Y12*$AC$2*$AB$4*I12</f>
        <v>0</v>
      </c>
      <c r="AC12" s="189">
        <f t="shared" si="12"/>
        <v>0</v>
      </c>
      <c r="AD12" s="178">
        <f t="shared" si="13"/>
        <v>0</v>
      </c>
      <c r="AE12" s="191">
        <f>MAX(L12:M12)*H12*I12</f>
        <v>0</v>
      </c>
      <c r="AF12" s="190">
        <f t="shared" si="15"/>
        <v>0</v>
      </c>
      <c r="AG12" s="189">
        <f t="shared" si="15"/>
        <v>0</v>
      </c>
      <c r="AH12" s="189">
        <f t="shared" si="15"/>
        <v>0</v>
      </c>
      <c r="AI12" s="178">
        <f t="shared" si="16"/>
        <v>0</v>
      </c>
      <c r="AJ12" s="191">
        <f t="shared" si="17"/>
        <v>0</v>
      </c>
      <c r="AK12" s="48"/>
      <c r="AL12" s="48"/>
      <c r="AM12" s="48"/>
    </row>
    <row r="13" spans="1:39" ht="12.75">
      <c r="A13" s="189">
        <f>'Charges acoustiques'!A22</f>
        <v>0</v>
      </c>
      <c r="B13" s="189">
        <f>'Charges acoustiques'!B22</f>
        <v>0</v>
      </c>
      <c r="C13" s="189">
        <f>'Charges acoustiques'!C22</f>
        <v>0</v>
      </c>
      <c r="D13" s="189">
        <f>'Charges acoustiques'!E22</f>
        <v>0</v>
      </c>
      <c r="E13" s="189">
        <f>'Charges acoustiques'!H22</f>
        <v>0</v>
      </c>
      <c r="F13" s="189">
        <f>'Charges acoustiques'!I22</f>
        <v>0</v>
      </c>
      <c r="G13" s="189">
        <f>'Charges acoustiques'!D22</f>
        <v>0</v>
      </c>
      <c r="H13" s="189">
        <f>'Charges acoustiques'!G22</f>
        <v>0</v>
      </c>
      <c r="I13" s="189">
        <f>IF('Charges acoustiques'!F22="x",0,1)</f>
        <v>1</v>
      </c>
      <c r="J13" s="189">
        <f>IF(G13&gt;0,VLOOKUP('Détails WTI'!G13,Grundlagen!$A$5:$G$9,3,FALSE),0)</f>
        <v>0</v>
      </c>
      <c r="K13" s="189">
        <f>IF(G13&gt;0,VLOOKUP('Détails WTI'!G13,Grundlagen!$A$5:$G$9,6,FALSE),0)</f>
        <v>0</v>
      </c>
      <c r="L13" s="189">
        <f t="shared" si="18"/>
        <v>0</v>
      </c>
      <c r="M13" s="189">
        <f t="shared" si="19"/>
        <v>0</v>
      </c>
      <c r="N13" s="189">
        <f t="shared" si="2"/>
        <v>0</v>
      </c>
      <c r="O13" s="189">
        <f t="shared" si="3"/>
        <v>0</v>
      </c>
      <c r="P13" s="189">
        <f>IF(G13&gt;0,VLOOKUP('Détails WTI'!G13,Grundlagen!$A$5:$G$9,4,FALSE),0)</f>
        <v>0</v>
      </c>
      <c r="Q13" s="189">
        <f>IF(G13&gt;0,VLOOKUP('Détails WTI'!G13,Grundlagen!$A$5:$G$9,7,FALSE),0)</f>
        <v>0</v>
      </c>
      <c r="R13" s="189">
        <f t="shared" si="4"/>
        <v>0</v>
      </c>
      <c r="S13" s="189">
        <f t="shared" si="5"/>
        <v>0</v>
      </c>
      <c r="T13" s="189">
        <f t="shared" si="6"/>
        <v>0</v>
      </c>
      <c r="U13" s="189">
        <f t="shared" si="7"/>
        <v>0</v>
      </c>
      <c r="V13" s="189">
        <f t="shared" si="8"/>
        <v>0</v>
      </c>
      <c r="W13" s="189">
        <f t="shared" si="9"/>
        <v>0</v>
      </c>
      <c r="X13" s="189">
        <f>IF(OR(E13&gt;IF(G13&gt;0,VLOOKUP('Détails WTI'!G13,Grundlagen!$A$5:$G$9,4,FALSE),0),F13&gt;IF(G13&gt;0,VLOOKUP('Détails WTI'!G13,Grundlagen!$A$5:$G$9,7,FALSE),0)),H13*MAX(V13:W13),0)</f>
        <v>0</v>
      </c>
      <c r="Y13" s="189">
        <f t="shared" si="0"/>
        <v>0</v>
      </c>
      <c r="Z13" s="178">
        <f t="shared" si="1"/>
        <v>0</v>
      </c>
      <c r="AA13" s="190">
        <f>X13*$AC$2*$AA$4*I13</f>
        <v>0</v>
      </c>
      <c r="AB13" s="189">
        <f t="shared" si="11"/>
        <v>0</v>
      </c>
      <c r="AC13" s="189">
        <f t="shared" si="12"/>
        <v>0</v>
      </c>
      <c r="AD13" s="178">
        <f t="shared" si="13"/>
        <v>0</v>
      </c>
      <c r="AE13" s="191">
        <f t="shared" si="14"/>
        <v>0</v>
      </c>
      <c r="AF13" s="190">
        <f t="shared" si="15"/>
        <v>0</v>
      </c>
      <c r="AG13" s="189">
        <f t="shared" si="15"/>
        <v>0</v>
      </c>
      <c r="AH13" s="189">
        <f t="shared" si="15"/>
        <v>0</v>
      </c>
      <c r="AI13" s="178">
        <f t="shared" si="16"/>
        <v>0</v>
      </c>
      <c r="AJ13" s="191">
        <f t="shared" si="17"/>
        <v>0</v>
      </c>
      <c r="AK13" s="48"/>
      <c r="AL13" s="48"/>
      <c r="AM13" s="48"/>
    </row>
    <row r="14" spans="1:39" ht="12.75">
      <c r="A14" s="189">
        <f>'Charges acoustiques'!A23</f>
        <v>0</v>
      </c>
      <c r="B14" s="189">
        <f>'Charges acoustiques'!B23</f>
        <v>0</v>
      </c>
      <c r="C14" s="189">
        <f>'Charges acoustiques'!C23</f>
        <v>0</v>
      </c>
      <c r="D14" s="189">
        <f>'Charges acoustiques'!E23</f>
        <v>0</v>
      </c>
      <c r="E14" s="189">
        <f>'Charges acoustiques'!H23</f>
        <v>0</v>
      </c>
      <c r="F14" s="189">
        <f>'Charges acoustiques'!I23</f>
        <v>0</v>
      </c>
      <c r="G14" s="189">
        <f>'Charges acoustiques'!D23</f>
        <v>0</v>
      </c>
      <c r="H14" s="189">
        <f>'Charges acoustiques'!G23</f>
        <v>0</v>
      </c>
      <c r="I14" s="189">
        <f>IF('Charges acoustiques'!F23="x",0,1)</f>
        <v>1</v>
      </c>
      <c r="J14" s="189">
        <f>IF(G14&gt;0,VLOOKUP('Détails WTI'!G14,Grundlagen!$A$5:$G$9,3,FALSE),0)</f>
        <v>0</v>
      </c>
      <c r="K14" s="189">
        <f>IF(G14&gt;0,VLOOKUP('Détails WTI'!G14,Grundlagen!$A$5:$G$9,6,FALSE),0)</f>
        <v>0</v>
      </c>
      <c r="L14" s="189">
        <f t="shared" si="18"/>
        <v>0</v>
      </c>
      <c r="M14" s="189">
        <f t="shared" si="19"/>
        <v>0</v>
      </c>
      <c r="N14" s="189">
        <f t="shared" si="2"/>
        <v>0</v>
      </c>
      <c r="O14" s="189">
        <f t="shared" si="3"/>
        <v>0</v>
      </c>
      <c r="P14" s="189">
        <f>IF(G14&gt;0,VLOOKUP('Détails WTI'!G14,Grundlagen!$A$5:$G$9,4,FALSE),0)</f>
        <v>0</v>
      </c>
      <c r="Q14" s="189">
        <f>IF(G14&gt;0,VLOOKUP('Détails WTI'!G14,Grundlagen!$A$5:$G$9,7,FALSE),0)</f>
        <v>0</v>
      </c>
      <c r="R14" s="189">
        <f t="shared" si="4"/>
        <v>0</v>
      </c>
      <c r="S14" s="189">
        <f t="shared" si="5"/>
        <v>0</v>
      </c>
      <c r="T14" s="189">
        <f t="shared" si="6"/>
        <v>0</v>
      </c>
      <c r="U14" s="189">
        <f t="shared" si="7"/>
        <v>0</v>
      </c>
      <c r="V14" s="189">
        <f t="shared" si="8"/>
        <v>0</v>
      </c>
      <c r="W14" s="189">
        <f t="shared" si="9"/>
        <v>0</v>
      </c>
      <c r="X14" s="189">
        <f>IF(OR(E14&gt;IF(G14&gt;0,VLOOKUP('Détails WTI'!G14,Grundlagen!$A$5:$G$9,4,FALSE),0),F14&gt;IF(G14&gt;0,VLOOKUP('Détails WTI'!G14,Grundlagen!$A$5:$G$9,7,FALSE),0)),H14*MAX(V14:W14),0)</f>
        <v>0</v>
      </c>
      <c r="Y14" s="189">
        <f t="shared" si="0"/>
        <v>0</v>
      </c>
      <c r="Z14" s="178">
        <f t="shared" si="1"/>
        <v>0</v>
      </c>
      <c r="AA14" s="190">
        <f t="shared" si="10"/>
        <v>0</v>
      </c>
      <c r="AB14" s="189">
        <f t="shared" si="11"/>
        <v>0</v>
      </c>
      <c r="AC14" s="189">
        <f t="shared" si="12"/>
        <v>0</v>
      </c>
      <c r="AD14" s="178">
        <f t="shared" si="13"/>
        <v>0</v>
      </c>
      <c r="AE14" s="191">
        <f t="shared" si="14"/>
        <v>0</v>
      </c>
      <c r="AF14" s="190">
        <f t="shared" si="15"/>
        <v>0</v>
      </c>
      <c r="AG14" s="189">
        <f t="shared" si="15"/>
        <v>0</v>
      </c>
      <c r="AH14" s="189">
        <f t="shared" si="15"/>
        <v>0</v>
      </c>
      <c r="AI14" s="178">
        <f t="shared" si="16"/>
        <v>0</v>
      </c>
      <c r="AJ14" s="191">
        <f t="shared" si="17"/>
        <v>0</v>
      </c>
      <c r="AK14" s="48"/>
      <c r="AL14" s="48"/>
      <c r="AM14" s="48"/>
    </row>
    <row r="15" spans="1:39" ht="12.75">
      <c r="A15" s="189">
        <f>'Charges acoustiques'!A24</f>
        <v>0</v>
      </c>
      <c r="B15" s="189">
        <f>'Charges acoustiques'!B24</f>
        <v>0</v>
      </c>
      <c r="C15" s="189">
        <f>'Charges acoustiques'!C24</f>
        <v>0</v>
      </c>
      <c r="D15" s="189">
        <f>'Charges acoustiques'!E24</f>
        <v>0</v>
      </c>
      <c r="E15" s="189">
        <f>'Charges acoustiques'!H24</f>
        <v>0</v>
      </c>
      <c r="F15" s="189">
        <f>'Charges acoustiques'!I24</f>
        <v>0</v>
      </c>
      <c r="G15" s="189">
        <f>'Charges acoustiques'!D24</f>
        <v>0</v>
      </c>
      <c r="H15" s="189">
        <f>'Charges acoustiques'!G24</f>
        <v>0</v>
      </c>
      <c r="I15" s="189">
        <f>IF('Charges acoustiques'!F24="x",0,1)</f>
        <v>1</v>
      </c>
      <c r="J15" s="189">
        <f>IF(G15&gt;0,VLOOKUP('Détails WTI'!G15,Grundlagen!$A$5:$G$9,3,FALSE),0)</f>
        <v>0</v>
      </c>
      <c r="K15" s="189">
        <f>IF(G15&gt;0,VLOOKUP('Détails WTI'!G15,Grundlagen!$A$5:$G$9,6,FALSE),0)</f>
        <v>0</v>
      </c>
      <c r="L15" s="189">
        <f t="shared" si="18"/>
        <v>0</v>
      </c>
      <c r="M15" s="189">
        <f t="shared" si="19"/>
        <v>0</v>
      </c>
      <c r="N15" s="189">
        <f t="shared" si="2"/>
        <v>0</v>
      </c>
      <c r="O15" s="189">
        <f t="shared" si="3"/>
        <v>0</v>
      </c>
      <c r="P15" s="189">
        <f>IF(G15&gt;0,VLOOKUP('Détails WTI'!G15,Grundlagen!$A$5:$G$9,4,FALSE),0)</f>
        <v>0</v>
      </c>
      <c r="Q15" s="189">
        <f>IF(G15&gt;0,VLOOKUP('Détails WTI'!G15,Grundlagen!$A$5:$G$9,7,FALSE),0)</f>
        <v>0</v>
      </c>
      <c r="R15" s="189">
        <f t="shared" si="4"/>
        <v>0</v>
      </c>
      <c r="S15" s="189">
        <f t="shared" si="5"/>
        <v>0</v>
      </c>
      <c r="T15" s="189">
        <f t="shared" si="6"/>
        <v>0</v>
      </c>
      <c r="U15" s="189">
        <f t="shared" si="7"/>
        <v>0</v>
      </c>
      <c r="V15" s="189">
        <f t="shared" si="8"/>
        <v>0</v>
      </c>
      <c r="W15" s="189">
        <f t="shared" si="9"/>
        <v>0</v>
      </c>
      <c r="X15" s="189">
        <f>IF(OR(E15&gt;IF(G15&gt;0,VLOOKUP('Détails WTI'!G15,Grundlagen!$A$5:$G$9,4,FALSE),0),F15&gt;IF(G15&gt;0,VLOOKUP('Détails WTI'!G15,Grundlagen!$A$5:$G$9,7,FALSE),0)),H15*MAX(V15:W15),0)</f>
        <v>0</v>
      </c>
      <c r="Y15" s="189">
        <f t="shared" si="0"/>
        <v>0</v>
      </c>
      <c r="Z15" s="178">
        <f t="shared" si="1"/>
        <v>0</v>
      </c>
      <c r="AA15" s="190">
        <f t="shared" si="10"/>
        <v>0</v>
      </c>
      <c r="AB15" s="189">
        <f t="shared" si="11"/>
        <v>0</v>
      </c>
      <c r="AC15" s="189">
        <f t="shared" si="12"/>
        <v>0</v>
      </c>
      <c r="AD15" s="178">
        <f t="shared" si="13"/>
        <v>0</v>
      </c>
      <c r="AE15" s="191">
        <f t="shared" si="14"/>
        <v>0</v>
      </c>
      <c r="AF15" s="190">
        <f t="shared" si="15"/>
        <v>0</v>
      </c>
      <c r="AG15" s="189">
        <f t="shared" si="15"/>
        <v>0</v>
      </c>
      <c r="AH15" s="189">
        <f t="shared" si="15"/>
        <v>0</v>
      </c>
      <c r="AI15" s="178">
        <f t="shared" si="16"/>
        <v>0</v>
      </c>
      <c r="AJ15" s="191">
        <f t="shared" si="17"/>
        <v>0</v>
      </c>
      <c r="AK15" s="48"/>
      <c r="AL15" s="48"/>
      <c r="AM15" s="48"/>
    </row>
    <row r="16" spans="1:39" ht="12.75">
      <c r="A16" s="189">
        <f>'Charges acoustiques'!A25</f>
        <v>0</v>
      </c>
      <c r="B16" s="189">
        <f>'Charges acoustiques'!B25</f>
        <v>0</v>
      </c>
      <c r="C16" s="189">
        <f>'Charges acoustiques'!C25</f>
        <v>0</v>
      </c>
      <c r="D16" s="189">
        <f>'Charges acoustiques'!E25</f>
        <v>0</v>
      </c>
      <c r="E16" s="189">
        <f>'Charges acoustiques'!H25</f>
        <v>0</v>
      </c>
      <c r="F16" s="189">
        <f>'Charges acoustiques'!I25</f>
        <v>0</v>
      </c>
      <c r="G16" s="189">
        <f>'Charges acoustiques'!D25</f>
        <v>0</v>
      </c>
      <c r="H16" s="189">
        <f>'Charges acoustiques'!G25</f>
        <v>0</v>
      </c>
      <c r="I16" s="189">
        <f>IF('Charges acoustiques'!F25="x",0,1)</f>
        <v>1</v>
      </c>
      <c r="J16" s="189">
        <f>IF(G16&gt;0,VLOOKUP('Détails WTI'!G16,Grundlagen!$A$5:$G$9,3,FALSE),0)</f>
        <v>0</v>
      </c>
      <c r="K16" s="189">
        <f>IF(G16&gt;0,VLOOKUP('Détails WTI'!G16,Grundlagen!$A$5:$G$9,6,FALSE),0)</f>
        <v>0</v>
      </c>
      <c r="L16" s="189">
        <f t="shared" si="18"/>
        <v>0</v>
      </c>
      <c r="M16" s="189">
        <f t="shared" si="19"/>
        <v>0</v>
      </c>
      <c r="N16" s="189">
        <f t="shared" si="2"/>
        <v>0</v>
      </c>
      <c r="O16" s="189">
        <f t="shared" si="3"/>
        <v>0</v>
      </c>
      <c r="P16" s="189">
        <f>IF(G16&gt;0,VLOOKUP('Détails WTI'!G16,Grundlagen!$A$5:$G$9,4,FALSE),0)</f>
        <v>0</v>
      </c>
      <c r="Q16" s="189">
        <f>IF(G16&gt;0,VLOOKUP('Détails WTI'!G16,Grundlagen!$A$5:$G$9,7,FALSE),0)</f>
        <v>0</v>
      </c>
      <c r="R16" s="189">
        <f t="shared" si="4"/>
        <v>0</v>
      </c>
      <c r="S16" s="189">
        <f t="shared" si="5"/>
        <v>0</v>
      </c>
      <c r="T16" s="189">
        <f t="shared" si="6"/>
        <v>0</v>
      </c>
      <c r="U16" s="189">
        <f t="shared" si="7"/>
        <v>0</v>
      </c>
      <c r="V16" s="189">
        <f t="shared" si="8"/>
        <v>0</v>
      </c>
      <c r="W16" s="189">
        <f t="shared" si="9"/>
        <v>0</v>
      </c>
      <c r="X16" s="189">
        <f>IF(OR(E16&gt;IF(G16&gt;0,VLOOKUP('Détails WTI'!G16,Grundlagen!$A$5:$G$9,4,FALSE),0),F16&gt;IF(G16&gt;0,VLOOKUP('Détails WTI'!G16,Grundlagen!$A$5:$G$9,7,FALSE),0)),H16*MAX(V16:W16),0)</f>
        <v>0</v>
      </c>
      <c r="Y16" s="189">
        <f t="shared" si="0"/>
        <v>0</v>
      </c>
      <c r="Z16" s="178">
        <f t="shared" si="1"/>
        <v>0</v>
      </c>
      <c r="AA16" s="190">
        <f t="shared" si="10"/>
        <v>0</v>
      </c>
      <c r="AB16" s="189">
        <f>Y16*$AC$2*$AB$4*I16</f>
        <v>0</v>
      </c>
      <c r="AC16" s="189">
        <f>Z16*$AC$2*$AC$4*I16</f>
        <v>0</v>
      </c>
      <c r="AD16" s="178">
        <f t="shared" si="13"/>
        <v>0</v>
      </c>
      <c r="AE16" s="191">
        <f t="shared" si="14"/>
        <v>0</v>
      </c>
      <c r="AF16" s="190">
        <f t="shared" si="15"/>
        <v>0</v>
      </c>
      <c r="AG16" s="189">
        <f t="shared" si="15"/>
        <v>0</v>
      </c>
      <c r="AH16" s="189">
        <f t="shared" si="15"/>
        <v>0</v>
      </c>
      <c r="AI16" s="178">
        <f t="shared" si="16"/>
        <v>0</v>
      </c>
      <c r="AJ16" s="191">
        <f t="shared" si="17"/>
        <v>0</v>
      </c>
      <c r="AK16" s="48"/>
      <c r="AL16" s="48"/>
      <c r="AM16" s="48"/>
    </row>
    <row r="17" spans="1:39" ht="12.75">
      <c r="A17" s="189">
        <f>'Charges acoustiques'!A26</f>
        <v>0</v>
      </c>
      <c r="B17" s="189">
        <f>'Charges acoustiques'!B26</f>
        <v>0</v>
      </c>
      <c r="C17" s="189">
        <f>'Charges acoustiques'!C26</f>
        <v>0</v>
      </c>
      <c r="D17" s="189">
        <f>'Charges acoustiques'!E26</f>
        <v>0</v>
      </c>
      <c r="E17" s="189">
        <f>'Charges acoustiques'!H26</f>
        <v>0</v>
      </c>
      <c r="F17" s="189">
        <f>'Charges acoustiques'!I26</f>
        <v>0</v>
      </c>
      <c r="G17" s="189">
        <f>'Charges acoustiques'!D26</f>
        <v>0</v>
      </c>
      <c r="H17" s="189">
        <f>'Charges acoustiques'!G26</f>
        <v>0</v>
      </c>
      <c r="I17" s="189">
        <f>IF('Charges acoustiques'!F26="x",0,1)</f>
        <v>1</v>
      </c>
      <c r="J17" s="189">
        <f>IF(G17&gt;0,VLOOKUP('Détails WTI'!G17,Grundlagen!$A$5:$G$9,3,FALSE),0)</f>
        <v>0</v>
      </c>
      <c r="K17" s="189">
        <f>IF(G17&gt;0,VLOOKUP('Détails WTI'!G17,Grundlagen!$A$5:$G$9,6,FALSE),0)</f>
        <v>0</v>
      </c>
      <c r="L17" s="189">
        <f t="shared" si="18"/>
        <v>0</v>
      </c>
      <c r="M17" s="189">
        <f t="shared" si="19"/>
        <v>0</v>
      </c>
      <c r="N17" s="189">
        <f t="shared" si="2"/>
        <v>0</v>
      </c>
      <c r="O17" s="189">
        <f t="shared" si="3"/>
        <v>0</v>
      </c>
      <c r="P17" s="189">
        <f>IF(G17&gt;0,VLOOKUP('Détails WTI'!G17,Grundlagen!$A$5:$G$9,4,FALSE),0)</f>
        <v>0</v>
      </c>
      <c r="Q17" s="189">
        <f>IF(G17&gt;0,VLOOKUP('Détails WTI'!G17,Grundlagen!$A$5:$G$9,7,FALSE),0)</f>
        <v>0</v>
      </c>
      <c r="R17" s="189">
        <f t="shared" si="4"/>
        <v>0</v>
      </c>
      <c r="S17" s="189">
        <f t="shared" si="5"/>
        <v>0</v>
      </c>
      <c r="T17" s="189">
        <f t="shared" si="6"/>
        <v>0</v>
      </c>
      <c r="U17" s="189">
        <f t="shared" si="7"/>
        <v>0</v>
      </c>
      <c r="V17" s="189">
        <f t="shared" si="8"/>
        <v>0</v>
      </c>
      <c r="W17" s="189">
        <f t="shared" si="9"/>
        <v>0</v>
      </c>
      <c r="X17" s="189">
        <f>IF(OR(E17&gt;IF(G17&gt;0,VLOOKUP('Détails WTI'!G17,Grundlagen!$A$5:$G$9,4,FALSE),0),F17&gt;IF(G17&gt;0,VLOOKUP('Détails WTI'!G17,Grundlagen!$A$5:$G$9,7,FALSE),0)),H17*MAX(V17:W17),0)</f>
        <v>0</v>
      </c>
      <c r="Y17" s="189">
        <f t="shared" si="0"/>
        <v>0</v>
      </c>
      <c r="Z17" s="178">
        <f t="shared" si="1"/>
        <v>0</v>
      </c>
      <c r="AA17" s="190">
        <f t="shared" si="10"/>
        <v>0</v>
      </c>
      <c r="AB17" s="189">
        <f t="shared" si="11"/>
        <v>0</v>
      </c>
      <c r="AC17" s="189">
        <f t="shared" si="12"/>
        <v>0</v>
      </c>
      <c r="AD17" s="178">
        <f t="shared" si="13"/>
        <v>0</v>
      </c>
      <c r="AE17" s="191">
        <f t="shared" si="14"/>
        <v>0</v>
      </c>
      <c r="AF17" s="190">
        <f t="shared" si="15"/>
        <v>0</v>
      </c>
      <c r="AG17" s="189">
        <f t="shared" si="15"/>
        <v>0</v>
      </c>
      <c r="AH17" s="189">
        <f t="shared" si="15"/>
        <v>0</v>
      </c>
      <c r="AI17" s="178">
        <f t="shared" si="16"/>
        <v>0</v>
      </c>
      <c r="AJ17" s="191">
        <f t="shared" si="17"/>
        <v>0</v>
      </c>
      <c r="AK17" s="48"/>
      <c r="AL17" s="48"/>
      <c r="AM17" s="48"/>
    </row>
    <row r="18" spans="1:39" ht="12.75">
      <c r="A18" s="189">
        <f>'Charges acoustiques'!A27</f>
        <v>0</v>
      </c>
      <c r="B18" s="189">
        <f>'Charges acoustiques'!B27</f>
        <v>0</v>
      </c>
      <c r="C18" s="189">
        <f>'Charges acoustiques'!C27</f>
        <v>0</v>
      </c>
      <c r="D18" s="189">
        <f>'Charges acoustiques'!E27</f>
        <v>0</v>
      </c>
      <c r="E18" s="189">
        <f>'Charges acoustiques'!H27</f>
        <v>0</v>
      </c>
      <c r="F18" s="189">
        <f>'Charges acoustiques'!I27</f>
        <v>0</v>
      </c>
      <c r="G18" s="189">
        <f>'Charges acoustiques'!D27</f>
        <v>0</v>
      </c>
      <c r="H18" s="189">
        <f>'Charges acoustiques'!G27</f>
        <v>0</v>
      </c>
      <c r="I18" s="189">
        <f>IF('Charges acoustiques'!F27="x",0,1)</f>
        <v>1</v>
      </c>
      <c r="J18" s="189">
        <f>IF(G18&gt;0,VLOOKUP('Détails WTI'!G18,Grundlagen!$A$5:$G$9,3,FALSE),0)</f>
        <v>0</v>
      </c>
      <c r="K18" s="189">
        <f>IF(G18&gt;0,VLOOKUP('Détails WTI'!G18,Grundlagen!$A$5:$G$9,6,FALSE),0)</f>
        <v>0</v>
      </c>
      <c r="L18" s="189">
        <f t="shared" si="18"/>
        <v>0</v>
      </c>
      <c r="M18" s="189">
        <f t="shared" si="19"/>
        <v>0</v>
      </c>
      <c r="N18" s="189">
        <f t="shared" si="2"/>
        <v>0</v>
      </c>
      <c r="O18" s="189">
        <f t="shared" si="3"/>
        <v>0</v>
      </c>
      <c r="P18" s="189">
        <f>IF(G18&gt;0,VLOOKUP('Détails WTI'!G18,Grundlagen!$A$5:$G$9,4,FALSE),0)</f>
        <v>0</v>
      </c>
      <c r="Q18" s="189">
        <f>IF(G18&gt;0,VLOOKUP('Détails WTI'!G18,Grundlagen!$A$5:$G$9,7,FALSE),0)</f>
        <v>0</v>
      </c>
      <c r="R18" s="189">
        <f t="shared" si="4"/>
        <v>0</v>
      </c>
      <c r="S18" s="189">
        <f t="shared" si="5"/>
        <v>0</v>
      </c>
      <c r="T18" s="189">
        <f t="shared" si="6"/>
        <v>0</v>
      </c>
      <c r="U18" s="189">
        <f t="shared" si="7"/>
        <v>0</v>
      </c>
      <c r="V18" s="189">
        <f t="shared" si="8"/>
        <v>0</v>
      </c>
      <c r="W18" s="189">
        <f t="shared" si="9"/>
        <v>0</v>
      </c>
      <c r="X18" s="189">
        <f>IF(OR(E18&gt;IF(G18&gt;0,VLOOKUP('Détails WTI'!G18,Grundlagen!$A$5:$G$9,4,FALSE),0),F18&gt;IF(G18&gt;0,VLOOKUP('Détails WTI'!G18,Grundlagen!$A$5:$G$9,7,FALSE),0)),H18*MAX(V18:W18),0)</f>
        <v>0</v>
      </c>
      <c r="Y18" s="189">
        <f t="shared" si="0"/>
        <v>0</v>
      </c>
      <c r="Z18" s="178">
        <f t="shared" si="1"/>
        <v>0</v>
      </c>
      <c r="AA18" s="190">
        <f t="shared" si="10"/>
        <v>0</v>
      </c>
      <c r="AB18" s="189">
        <f t="shared" si="11"/>
        <v>0</v>
      </c>
      <c r="AC18" s="189">
        <f t="shared" si="12"/>
        <v>0</v>
      </c>
      <c r="AD18" s="178">
        <f t="shared" si="13"/>
        <v>0</v>
      </c>
      <c r="AE18" s="191">
        <f t="shared" si="14"/>
        <v>0</v>
      </c>
      <c r="AF18" s="190">
        <f t="shared" si="15"/>
        <v>0</v>
      </c>
      <c r="AG18" s="189">
        <f t="shared" si="15"/>
        <v>0</v>
      </c>
      <c r="AH18" s="189">
        <f t="shared" si="15"/>
        <v>0</v>
      </c>
      <c r="AI18" s="178">
        <f t="shared" si="16"/>
        <v>0</v>
      </c>
      <c r="AJ18" s="191">
        <f t="shared" si="17"/>
        <v>0</v>
      </c>
      <c r="AK18" s="48"/>
      <c r="AL18" s="48"/>
      <c r="AM18" s="48"/>
    </row>
    <row r="19" spans="1:39" ht="12.75">
      <c r="A19" s="189">
        <f>'Charges acoustiques'!A28</f>
        <v>0</v>
      </c>
      <c r="B19" s="189">
        <f>'Charges acoustiques'!B28</f>
        <v>0</v>
      </c>
      <c r="C19" s="189">
        <f>'Charges acoustiques'!C28</f>
        <v>0</v>
      </c>
      <c r="D19" s="189">
        <f>'Charges acoustiques'!E28</f>
        <v>0</v>
      </c>
      <c r="E19" s="189">
        <f>'Charges acoustiques'!H28</f>
        <v>0</v>
      </c>
      <c r="F19" s="189">
        <f>'Charges acoustiques'!I28</f>
        <v>0</v>
      </c>
      <c r="G19" s="189">
        <f>'Charges acoustiques'!D28</f>
        <v>0</v>
      </c>
      <c r="H19" s="189">
        <f>'Charges acoustiques'!G28</f>
        <v>0</v>
      </c>
      <c r="I19" s="189">
        <f>IF('Charges acoustiques'!F28="x",0,1)</f>
        <v>1</v>
      </c>
      <c r="J19" s="189">
        <f>IF(G19&gt;0,VLOOKUP('Détails WTI'!G19,Grundlagen!$A$5:$G$9,3,FALSE),0)</f>
        <v>0</v>
      </c>
      <c r="K19" s="189">
        <f>IF(G19&gt;0,VLOOKUP('Détails WTI'!G19,Grundlagen!$A$5:$G$9,6,FALSE),0)</f>
        <v>0</v>
      </c>
      <c r="L19" s="189">
        <f t="shared" si="18"/>
        <v>0</v>
      </c>
      <c r="M19" s="189">
        <f t="shared" si="19"/>
        <v>0</v>
      </c>
      <c r="N19" s="189">
        <f t="shared" si="2"/>
        <v>0</v>
      </c>
      <c r="O19" s="189">
        <f t="shared" si="3"/>
        <v>0</v>
      </c>
      <c r="P19" s="189">
        <f>IF(G19&gt;0,VLOOKUP('Détails WTI'!G19,Grundlagen!$A$5:$G$9,4,FALSE),0)</f>
        <v>0</v>
      </c>
      <c r="Q19" s="189">
        <f>IF(G19&gt;0,VLOOKUP('Détails WTI'!G19,Grundlagen!$A$5:$G$9,7,FALSE),0)</f>
        <v>0</v>
      </c>
      <c r="R19" s="189">
        <f t="shared" si="4"/>
        <v>0</v>
      </c>
      <c r="S19" s="189">
        <f t="shared" si="5"/>
        <v>0</v>
      </c>
      <c r="T19" s="189">
        <f t="shared" si="6"/>
        <v>0</v>
      </c>
      <c r="U19" s="189">
        <f t="shared" si="7"/>
        <v>0</v>
      </c>
      <c r="V19" s="189">
        <f t="shared" si="8"/>
        <v>0</v>
      </c>
      <c r="W19" s="189">
        <f t="shared" si="9"/>
        <v>0</v>
      </c>
      <c r="X19" s="189">
        <f>IF(OR(E19&gt;IF(G19&gt;0,VLOOKUP('Détails WTI'!G19,Grundlagen!$A$5:$G$9,4,FALSE),0),F19&gt;IF(G19&gt;0,VLOOKUP('Détails WTI'!G19,Grundlagen!$A$5:$G$9,7,FALSE),0)),H19*MAX(V19:W19),0)</f>
        <v>0</v>
      </c>
      <c r="Y19" s="189">
        <f t="shared" si="0"/>
        <v>0</v>
      </c>
      <c r="Z19" s="178">
        <f t="shared" si="1"/>
        <v>0</v>
      </c>
      <c r="AA19" s="190">
        <f t="shared" si="10"/>
        <v>0</v>
      </c>
      <c r="AB19" s="189">
        <f t="shared" si="11"/>
        <v>0</v>
      </c>
      <c r="AC19" s="189">
        <f t="shared" si="12"/>
        <v>0</v>
      </c>
      <c r="AD19" s="178">
        <f t="shared" si="13"/>
        <v>0</v>
      </c>
      <c r="AE19" s="191">
        <f t="shared" si="14"/>
        <v>0</v>
      </c>
      <c r="AF19" s="190">
        <f t="shared" si="15"/>
        <v>0</v>
      </c>
      <c r="AG19" s="189">
        <f t="shared" si="15"/>
        <v>0</v>
      </c>
      <c r="AH19" s="189">
        <f t="shared" si="15"/>
        <v>0</v>
      </c>
      <c r="AI19" s="178">
        <f t="shared" si="16"/>
        <v>0</v>
      </c>
      <c r="AJ19" s="191">
        <f t="shared" si="17"/>
        <v>0</v>
      </c>
      <c r="AK19" s="48"/>
      <c r="AL19" s="48"/>
      <c r="AM19" s="48"/>
    </row>
    <row r="20" spans="1:39" ht="12.75">
      <c r="A20" s="189">
        <f>'Charges acoustiques'!A29</f>
        <v>0</v>
      </c>
      <c r="B20" s="189">
        <f>'Charges acoustiques'!B29</f>
        <v>0</v>
      </c>
      <c r="C20" s="189">
        <f>'Charges acoustiques'!C29</f>
        <v>0</v>
      </c>
      <c r="D20" s="189">
        <f>'Charges acoustiques'!E29</f>
        <v>0</v>
      </c>
      <c r="E20" s="189">
        <f>'Charges acoustiques'!H29</f>
        <v>0</v>
      </c>
      <c r="F20" s="189">
        <f>'Charges acoustiques'!I29</f>
        <v>0</v>
      </c>
      <c r="G20" s="189">
        <f>'Charges acoustiques'!D29</f>
        <v>0</v>
      </c>
      <c r="H20" s="189">
        <f>'Charges acoustiques'!G29</f>
        <v>0</v>
      </c>
      <c r="I20" s="189">
        <f>IF('Charges acoustiques'!F29="x",0,1)</f>
        <v>1</v>
      </c>
      <c r="J20" s="189">
        <f>IF(G20&gt;0,VLOOKUP('Détails WTI'!G20,Grundlagen!$A$5:$G$9,3,FALSE),0)</f>
        <v>0</v>
      </c>
      <c r="K20" s="189">
        <f>IF(G20&gt;0,VLOOKUP('Détails WTI'!G20,Grundlagen!$A$5:$G$9,6,FALSE),0)</f>
        <v>0</v>
      </c>
      <c r="L20" s="189">
        <f t="shared" si="18"/>
        <v>0</v>
      </c>
      <c r="M20" s="189">
        <f t="shared" si="19"/>
        <v>0</v>
      </c>
      <c r="N20" s="189">
        <f t="shared" si="2"/>
        <v>0</v>
      </c>
      <c r="O20" s="189">
        <f t="shared" si="3"/>
        <v>0</v>
      </c>
      <c r="P20" s="189">
        <f>IF(G20&gt;0,VLOOKUP('Détails WTI'!G20,Grundlagen!$A$5:$G$9,4,FALSE),0)</f>
        <v>0</v>
      </c>
      <c r="Q20" s="189">
        <f>IF(G20&gt;0,VLOOKUP('Détails WTI'!G20,Grundlagen!$A$5:$G$9,7,FALSE),0)</f>
        <v>0</v>
      </c>
      <c r="R20" s="189">
        <f t="shared" si="4"/>
        <v>0</v>
      </c>
      <c r="S20" s="189">
        <f t="shared" si="5"/>
        <v>0</v>
      </c>
      <c r="T20" s="189">
        <f t="shared" si="6"/>
        <v>0</v>
      </c>
      <c r="U20" s="189">
        <f t="shared" si="7"/>
        <v>0</v>
      </c>
      <c r="V20" s="189">
        <f t="shared" si="8"/>
        <v>0</v>
      </c>
      <c r="W20" s="189">
        <f t="shared" si="9"/>
        <v>0</v>
      </c>
      <c r="X20" s="189">
        <f>IF(OR(E20&gt;IF(G20&gt;0,VLOOKUP('Détails WTI'!G20,Grundlagen!$A$5:$G$9,4,FALSE),0),F20&gt;IF(G20&gt;0,VLOOKUP('Détails WTI'!G20,Grundlagen!$A$5:$G$9,7,FALSE),0)),H20*MAX(V20:W20),0)</f>
        <v>0</v>
      </c>
      <c r="Y20" s="189">
        <f t="shared" si="0"/>
        <v>0</v>
      </c>
      <c r="Z20" s="178">
        <f t="shared" si="1"/>
        <v>0</v>
      </c>
      <c r="AA20" s="190">
        <f t="shared" si="10"/>
        <v>0</v>
      </c>
      <c r="AB20" s="189">
        <f t="shared" si="11"/>
        <v>0</v>
      </c>
      <c r="AC20" s="189">
        <f t="shared" si="12"/>
        <v>0</v>
      </c>
      <c r="AD20" s="178">
        <f t="shared" si="13"/>
        <v>0</v>
      </c>
      <c r="AE20" s="191">
        <f t="shared" si="14"/>
        <v>0</v>
      </c>
      <c r="AF20" s="190">
        <f t="shared" si="15"/>
        <v>0</v>
      </c>
      <c r="AG20" s="189">
        <f t="shared" si="15"/>
        <v>0</v>
      </c>
      <c r="AH20" s="189">
        <f t="shared" si="15"/>
        <v>0</v>
      </c>
      <c r="AI20" s="178">
        <f t="shared" si="16"/>
        <v>0</v>
      </c>
      <c r="AJ20" s="191">
        <f t="shared" si="17"/>
        <v>0</v>
      </c>
      <c r="AK20" s="48"/>
      <c r="AL20" s="48"/>
      <c r="AM20" s="48"/>
    </row>
    <row r="21" spans="1:39" ht="12.75">
      <c r="A21" s="189">
        <f>'Charges acoustiques'!A30</f>
        <v>0</v>
      </c>
      <c r="B21" s="189">
        <f>'Charges acoustiques'!B30</f>
        <v>0</v>
      </c>
      <c r="C21" s="189">
        <f>'Charges acoustiques'!C30</f>
        <v>0</v>
      </c>
      <c r="D21" s="189">
        <f>'Charges acoustiques'!E30</f>
        <v>0</v>
      </c>
      <c r="E21" s="189">
        <f>'Charges acoustiques'!H30</f>
        <v>0</v>
      </c>
      <c r="F21" s="189">
        <f>'Charges acoustiques'!I30</f>
        <v>0</v>
      </c>
      <c r="G21" s="189">
        <f>'Charges acoustiques'!D30</f>
        <v>0</v>
      </c>
      <c r="H21" s="189">
        <f>'Charges acoustiques'!G30</f>
        <v>0</v>
      </c>
      <c r="I21" s="189">
        <f>IF('Charges acoustiques'!F30="x",0,1)</f>
        <v>1</v>
      </c>
      <c r="J21" s="189">
        <f>IF(G21&gt;0,VLOOKUP('Détails WTI'!G21,Grundlagen!$A$5:$G$9,3,FALSE),0)</f>
        <v>0</v>
      </c>
      <c r="K21" s="189">
        <f>IF(G21&gt;0,VLOOKUP('Détails WTI'!G21,Grundlagen!$A$5:$G$9,6,FALSE),0)</f>
        <v>0</v>
      </c>
      <c r="L21" s="189">
        <f t="shared" si="18"/>
        <v>0</v>
      </c>
      <c r="M21" s="189">
        <f t="shared" si="19"/>
        <v>0</v>
      </c>
      <c r="N21" s="189">
        <f t="shared" si="2"/>
        <v>0</v>
      </c>
      <c r="O21" s="189">
        <f t="shared" si="3"/>
        <v>0</v>
      </c>
      <c r="P21" s="189">
        <f>IF(G21&gt;0,VLOOKUP('Détails WTI'!G21,Grundlagen!$A$5:$G$9,4,FALSE),0)</f>
        <v>0</v>
      </c>
      <c r="Q21" s="189">
        <f>IF(G21&gt;0,VLOOKUP('Détails WTI'!G21,Grundlagen!$A$5:$G$9,7,FALSE),0)</f>
        <v>0</v>
      </c>
      <c r="R21" s="189">
        <f t="shared" si="4"/>
        <v>0</v>
      </c>
      <c r="S21" s="189">
        <f t="shared" si="5"/>
        <v>0</v>
      </c>
      <c r="T21" s="189">
        <f t="shared" si="6"/>
        <v>0</v>
      </c>
      <c r="U21" s="189">
        <f t="shared" si="7"/>
        <v>0</v>
      </c>
      <c r="V21" s="189">
        <f t="shared" si="8"/>
        <v>0</v>
      </c>
      <c r="W21" s="189">
        <f t="shared" si="9"/>
        <v>0</v>
      </c>
      <c r="X21" s="189">
        <f>IF(OR(E21&gt;IF(G21&gt;0,VLOOKUP('Détails WTI'!G21,Grundlagen!$A$5:$G$9,4,FALSE),0),F21&gt;IF(G21&gt;0,VLOOKUP('Détails WTI'!G21,Grundlagen!$A$5:$G$9,7,FALSE),0)),H21*MAX(V21:W21),0)</f>
        <v>0</v>
      </c>
      <c r="Y21" s="189">
        <f t="shared" si="0"/>
        <v>0</v>
      </c>
      <c r="Z21" s="178">
        <f t="shared" si="1"/>
        <v>0</v>
      </c>
      <c r="AA21" s="190">
        <f t="shared" si="10"/>
        <v>0</v>
      </c>
      <c r="AB21" s="189">
        <f t="shared" si="11"/>
        <v>0</v>
      </c>
      <c r="AC21" s="189">
        <f t="shared" si="12"/>
        <v>0</v>
      </c>
      <c r="AD21" s="178">
        <f t="shared" si="13"/>
        <v>0</v>
      </c>
      <c r="AE21" s="191">
        <f t="shared" si="14"/>
        <v>0</v>
      </c>
      <c r="AF21" s="190">
        <f t="shared" si="15"/>
        <v>0</v>
      </c>
      <c r="AG21" s="189">
        <f t="shared" si="15"/>
        <v>0</v>
      </c>
      <c r="AH21" s="189">
        <f t="shared" si="15"/>
        <v>0</v>
      </c>
      <c r="AI21" s="178">
        <f t="shared" si="16"/>
        <v>0</v>
      </c>
      <c r="AJ21" s="191">
        <f t="shared" si="17"/>
        <v>0</v>
      </c>
      <c r="AK21" s="48"/>
      <c r="AL21" s="48"/>
      <c r="AM21" s="48"/>
    </row>
    <row r="22" spans="1:39" ht="12.75">
      <c r="A22" s="189">
        <f>'Charges acoustiques'!A31</f>
        <v>0</v>
      </c>
      <c r="B22" s="189">
        <f>'Charges acoustiques'!B31</f>
        <v>0</v>
      </c>
      <c r="C22" s="189">
        <f>'Charges acoustiques'!C31</f>
        <v>0</v>
      </c>
      <c r="D22" s="189">
        <f>'Charges acoustiques'!E31</f>
        <v>0</v>
      </c>
      <c r="E22" s="189">
        <f>'Charges acoustiques'!H31</f>
        <v>0</v>
      </c>
      <c r="F22" s="189">
        <f>'Charges acoustiques'!I31</f>
        <v>0</v>
      </c>
      <c r="G22" s="189">
        <f>'Charges acoustiques'!D31</f>
        <v>0</v>
      </c>
      <c r="H22" s="189">
        <f>'Charges acoustiques'!G31</f>
        <v>0</v>
      </c>
      <c r="I22" s="189">
        <f>IF('Charges acoustiques'!F31="x",0,1)</f>
        <v>1</v>
      </c>
      <c r="J22" s="189">
        <f>IF(G22&gt;0,VLOOKUP('Détails WTI'!G22,Grundlagen!$A$5:$G$9,3,FALSE),0)</f>
        <v>0</v>
      </c>
      <c r="K22" s="189">
        <f>IF(G22&gt;0,VLOOKUP('Détails WTI'!G22,Grundlagen!$A$5:$G$9,6,FALSE),0)</f>
        <v>0</v>
      </c>
      <c r="L22" s="189">
        <f aca="true" t="shared" si="20" ref="L22:L28">IF(E22&gt;J22,E22-J22,0)</f>
        <v>0</v>
      </c>
      <c r="M22" s="189">
        <f aca="true" t="shared" si="21" ref="M22:M28">IF(F22&gt;K22,F22-K22,0)</f>
        <v>0</v>
      </c>
      <c r="N22" s="189">
        <f aca="true" t="shared" si="22" ref="N22:N28">IF(L22&gt;0,1,IF(M22&gt;0,1,0))</f>
        <v>0</v>
      </c>
      <c r="O22" s="189">
        <f t="shared" si="3"/>
        <v>0</v>
      </c>
      <c r="P22" s="189">
        <f>IF(G22&gt;0,VLOOKUP('Détails WTI'!G22,Grundlagen!$A$5:$G$9,4,FALSE),0)</f>
        <v>0</v>
      </c>
      <c r="Q22" s="189">
        <f>IF(G22&gt;0,VLOOKUP('Détails WTI'!G22,Grundlagen!$A$5:$G$9,7,FALSE),0)</f>
        <v>0</v>
      </c>
      <c r="R22" s="189">
        <f t="shared" si="4"/>
        <v>0</v>
      </c>
      <c r="S22" s="189">
        <f t="shared" si="5"/>
        <v>0</v>
      </c>
      <c r="T22" s="189">
        <f t="shared" si="6"/>
        <v>0</v>
      </c>
      <c r="U22" s="189">
        <f t="shared" si="7"/>
        <v>0</v>
      </c>
      <c r="V22" s="189">
        <f aca="true" t="shared" si="23" ref="V22:V28">IF(G22&gt;0,IF(J22&lt;&gt;"",IF(E22&gt;(J22-5),E22-(J22-5),0),""),0)</f>
        <v>0</v>
      </c>
      <c r="W22" s="189">
        <f aca="true" t="shared" si="24" ref="W22:W28">IF(G22&gt;0,IF(F22&gt;(K22-5),F22-(K22-5),0),0)</f>
        <v>0</v>
      </c>
      <c r="X22" s="189">
        <f>IF(OR(E22&gt;IF(G22&gt;0,VLOOKUP('Détails WTI'!G22,Grundlagen!$A$5:$G$9,4,FALSE),0),F22&gt;IF(G22&gt;0,VLOOKUP('Détails WTI'!G22,Grundlagen!$A$5:$G$9,7,FALSE),0)),H22*MAX(V22:W22),0)</f>
        <v>0</v>
      </c>
      <c r="Y22" s="189">
        <f t="shared" si="0"/>
        <v>0</v>
      </c>
      <c r="Z22" s="178">
        <f aca="true" t="shared" si="25" ref="Z22:Z28">IF(Y22+X22=0,IF(OR($E22&gt;$J22-5,$F22&gt;$K22-5),$H22*MAX($V22:$W22),0),0)</f>
        <v>0</v>
      </c>
      <c r="AA22" s="190">
        <f t="shared" si="10"/>
        <v>0</v>
      </c>
      <c r="AB22" s="189">
        <f t="shared" si="11"/>
        <v>0</v>
      </c>
      <c r="AC22" s="189">
        <f t="shared" si="12"/>
        <v>0</v>
      </c>
      <c r="AD22" s="178">
        <f t="shared" si="13"/>
        <v>0</v>
      </c>
      <c r="AE22" s="191">
        <f t="shared" si="14"/>
        <v>0</v>
      </c>
      <c r="AF22" s="190">
        <f t="shared" si="15"/>
        <v>0</v>
      </c>
      <c r="AG22" s="189">
        <f>Y22*$AC$2*AB$4</f>
        <v>0</v>
      </c>
      <c r="AH22" s="189">
        <f t="shared" si="15"/>
        <v>0</v>
      </c>
      <c r="AI22" s="178">
        <f t="shared" si="16"/>
        <v>0</v>
      </c>
      <c r="AJ22" s="191">
        <f t="shared" si="17"/>
        <v>0</v>
      </c>
      <c r="AK22" s="48"/>
      <c r="AL22" s="48"/>
      <c r="AM22" s="48"/>
    </row>
    <row r="23" spans="1:39" ht="12.75">
      <c r="A23" s="189">
        <f>'Charges acoustiques'!A32</f>
        <v>0</v>
      </c>
      <c r="B23" s="189">
        <f>'Charges acoustiques'!B32</f>
        <v>0</v>
      </c>
      <c r="C23" s="189">
        <f>'Charges acoustiques'!C32</f>
        <v>0</v>
      </c>
      <c r="D23" s="189">
        <f>'Charges acoustiques'!E32</f>
        <v>0</v>
      </c>
      <c r="E23" s="189">
        <f>'Charges acoustiques'!H32</f>
        <v>0</v>
      </c>
      <c r="F23" s="189">
        <f>'Charges acoustiques'!I32</f>
        <v>0</v>
      </c>
      <c r="G23" s="189">
        <f>'Charges acoustiques'!D32</f>
        <v>0</v>
      </c>
      <c r="H23" s="189">
        <f>'Charges acoustiques'!G32</f>
        <v>0</v>
      </c>
      <c r="I23" s="189">
        <f>IF('Charges acoustiques'!F32="x",0,1)</f>
        <v>1</v>
      </c>
      <c r="J23" s="189">
        <f>IF(G23&gt;0,VLOOKUP('Détails WTI'!G23,Grundlagen!$A$5:$G$9,3,FALSE),0)</f>
        <v>0</v>
      </c>
      <c r="K23" s="189">
        <f>IF(G23&gt;0,VLOOKUP('Détails WTI'!G23,Grundlagen!$A$5:$G$9,6,FALSE),0)</f>
        <v>0</v>
      </c>
      <c r="L23" s="189">
        <f t="shared" si="20"/>
        <v>0</v>
      </c>
      <c r="M23" s="189">
        <f t="shared" si="21"/>
        <v>0</v>
      </c>
      <c r="N23" s="189">
        <f t="shared" si="22"/>
        <v>0</v>
      </c>
      <c r="O23" s="189">
        <f t="shared" si="3"/>
        <v>0</v>
      </c>
      <c r="P23" s="189">
        <f>IF(G23&gt;0,VLOOKUP('Détails WTI'!G23,Grundlagen!$A$5:$G$9,4,FALSE),0)</f>
        <v>0</v>
      </c>
      <c r="Q23" s="189">
        <f>IF(G23&gt;0,VLOOKUP('Détails WTI'!G23,Grundlagen!$A$5:$G$9,7,FALSE),0)</f>
        <v>0</v>
      </c>
      <c r="R23" s="189">
        <f t="shared" si="4"/>
        <v>0</v>
      </c>
      <c r="S23" s="189">
        <f t="shared" si="5"/>
        <v>0</v>
      </c>
      <c r="T23" s="189">
        <f t="shared" si="6"/>
        <v>0</v>
      </c>
      <c r="U23" s="189">
        <f t="shared" si="7"/>
        <v>0</v>
      </c>
      <c r="V23" s="189">
        <f t="shared" si="23"/>
        <v>0</v>
      </c>
      <c r="W23" s="189">
        <f t="shared" si="24"/>
        <v>0</v>
      </c>
      <c r="X23" s="189">
        <f>IF(OR(E23&gt;IF(G23&gt;0,VLOOKUP('Détails WTI'!G23,Grundlagen!$A$5:$G$9,4,FALSE),0),F23&gt;IF(G23&gt;0,VLOOKUP('Détails WTI'!G23,Grundlagen!$A$5:$G$9,7,FALSE),0)),H23*MAX(V23:W23),0)</f>
        <v>0</v>
      </c>
      <c r="Y23" s="189">
        <f t="shared" si="0"/>
        <v>0</v>
      </c>
      <c r="Z23" s="178">
        <f t="shared" si="25"/>
        <v>0</v>
      </c>
      <c r="AA23" s="190">
        <f t="shared" si="10"/>
        <v>0</v>
      </c>
      <c r="AB23" s="189">
        <f t="shared" si="11"/>
        <v>0</v>
      </c>
      <c r="AC23" s="189">
        <f t="shared" si="12"/>
        <v>0</v>
      </c>
      <c r="AD23" s="178">
        <f t="shared" si="13"/>
        <v>0</v>
      </c>
      <c r="AE23" s="191">
        <f t="shared" si="14"/>
        <v>0</v>
      </c>
      <c r="AF23" s="190">
        <f t="shared" si="15"/>
        <v>0</v>
      </c>
      <c r="AG23" s="189">
        <f>Y23*$AC$2*AB$4</f>
        <v>0</v>
      </c>
      <c r="AH23" s="189">
        <f t="shared" si="15"/>
        <v>0</v>
      </c>
      <c r="AI23" s="178">
        <f t="shared" si="16"/>
        <v>0</v>
      </c>
      <c r="AJ23" s="191">
        <f t="shared" si="17"/>
        <v>0</v>
      </c>
      <c r="AK23" s="48"/>
      <c r="AL23" s="48"/>
      <c r="AM23" s="48"/>
    </row>
    <row r="24" spans="1:39" ht="12.75">
      <c r="A24" s="189">
        <f>'Charges acoustiques'!A33</f>
        <v>0</v>
      </c>
      <c r="B24" s="189">
        <f>'Charges acoustiques'!B33</f>
        <v>0</v>
      </c>
      <c r="C24" s="189">
        <f>'Charges acoustiques'!C33</f>
        <v>0</v>
      </c>
      <c r="D24" s="189">
        <f>'Charges acoustiques'!E33</f>
        <v>0</v>
      </c>
      <c r="E24" s="189">
        <f>'Charges acoustiques'!H33</f>
        <v>0</v>
      </c>
      <c r="F24" s="189">
        <f>'Charges acoustiques'!I33</f>
        <v>0</v>
      </c>
      <c r="G24" s="189">
        <f>'Charges acoustiques'!D33</f>
        <v>0</v>
      </c>
      <c r="H24" s="189">
        <f>'Charges acoustiques'!G33</f>
        <v>0</v>
      </c>
      <c r="I24" s="189">
        <f>IF('Charges acoustiques'!F33="x",0,1)</f>
        <v>1</v>
      </c>
      <c r="J24" s="189">
        <f>IF(G24&gt;0,VLOOKUP('Détails WTI'!G24,Grundlagen!$A$5:$G$9,3,FALSE),0)</f>
        <v>0</v>
      </c>
      <c r="K24" s="189">
        <f>IF(G24&gt;0,VLOOKUP('Détails WTI'!G24,Grundlagen!$A$5:$G$9,6,FALSE),0)</f>
        <v>0</v>
      </c>
      <c r="L24" s="189">
        <f t="shared" si="20"/>
        <v>0</v>
      </c>
      <c r="M24" s="189">
        <f t="shared" si="21"/>
        <v>0</v>
      </c>
      <c r="N24" s="189">
        <f t="shared" si="22"/>
        <v>0</v>
      </c>
      <c r="O24" s="189">
        <f aca="true" t="shared" si="26" ref="O24:O29">IF(N24=1,D24*3,0)</f>
        <v>0</v>
      </c>
      <c r="P24" s="189">
        <f>IF(G24&gt;0,VLOOKUP('Détails WTI'!G24,Grundlagen!$A$5:$G$9,4,FALSE),0)</f>
        <v>0</v>
      </c>
      <c r="Q24" s="189">
        <f>IF(G24&gt;0,VLOOKUP('Détails WTI'!G24,Grundlagen!$A$5:$G$9,7,FALSE),0)</f>
        <v>0</v>
      </c>
      <c r="R24" s="189">
        <f aca="true" t="shared" si="27" ref="R24:S28">IF(E24&gt;P24,E24-P24,0)</f>
        <v>0</v>
      </c>
      <c r="S24" s="189">
        <f t="shared" si="27"/>
        <v>0</v>
      </c>
      <c r="T24" s="189">
        <f aca="true" t="shared" si="28" ref="T24:T29">IF(R24&gt;0,1,IF(S24&gt;0,1,0))</f>
        <v>0</v>
      </c>
      <c r="U24" s="189">
        <f aca="true" t="shared" si="29" ref="U24:U29">IF(T24=1,D24*3,0)</f>
        <v>0</v>
      </c>
      <c r="V24" s="189">
        <f t="shared" si="23"/>
        <v>0</v>
      </c>
      <c r="W24" s="189">
        <f t="shared" si="24"/>
        <v>0</v>
      </c>
      <c r="X24" s="189">
        <f>IF(OR(E24&gt;IF(G24&gt;0,VLOOKUP('Détails WTI'!G24,Grundlagen!$A$5:$G$9,4,FALSE),0),F24&gt;IF(G24&gt;0,VLOOKUP('Détails WTI'!G24,Grundlagen!$A$5:$G$9,7,FALSE),0)),H24*MAX(V24:W24),0)</f>
        <v>0</v>
      </c>
      <c r="Y24" s="189">
        <f t="shared" si="0"/>
        <v>0</v>
      </c>
      <c r="Z24" s="178">
        <f t="shared" si="25"/>
        <v>0</v>
      </c>
      <c r="AA24" s="190">
        <f t="shared" si="10"/>
        <v>0</v>
      </c>
      <c r="AB24" s="189">
        <f t="shared" si="11"/>
        <v>0</v>
      </c>
      <c r="AC24" s="189">
        <f>Z24*$AC$2*$AC$4*I24</f>
        <v>0</v>
      </c>
      <c r="AD24" s="178">
        <f t="shared" si="13"/>
        <v>0</v>
      </c>
      <c r="AE24" s="191">
        <f t="shared" si="14"/>
        <v>0</v>
      </c>
      <c r="AF24" s="190">
        <f t="shared" si="15"/>
        <v>0</v>
      </c>
      <c r="AG24" s="189">
        <f t="shared" si="15"/>
        <v>0</v>
      </c>
      <c r="AH24" s="189">
        <f t="shared" si="15"/>
        <v>0</v>
      </c>
      <c r="AI24" s="178">
        <f t="shared" si="16"/>
        <v>0</v>
      </c>
      <c r="AJ24" s="191">
        <f t="shared" si="17"/>
        <v>0</v>
      </c>
      <c r="AK24" s="48"/>
      <c r="AL24" s="48"/>
      <c r="AM24" s="48"/>
    </row>
    <row r="25" spans="1:39" ht="12.75">
      <c r="A25" s="189">
        <f>'Charges acoustiques'!A34</f>
        <v>0</v>
      </c>
      <c r="B25" s="189">
        <f>'Charges acoustiques'!B34</f>
        <v>0</v>
      </c>
      <c r="C25" s="189">
        <f>'Charges acoustiques'!C34</f>
        <v>0</v>
      </c>
      <c r="D25" s="189">
        <f>'Charges acoustiques'!E34</f>
        <v>0</v>
      </c>
      <c r="E25" s="189">
        <f>'Charges acoustiques'!H34</f>
        <v>0</v>
      </c>
      <c r="F25" s="189">
        <f>'Charges acoustiques'!I34</f>
        <v>0</v>
      </c>
      <c r="G25" s="189">
        <f>'Charges acoustiques'!D34</f>
        <v>0</v>
      </c>
      <c r="H25" s="189">
        <f>'Charges acoustiques'!G34</f>
        <v>0</v>
      </c>
      <c r="I25" s="189">
        <f>IF('Charges acoustiques'!F34="x",0,1)</f>
        <v>1</v>
      </c>
      <c r="J25" s="189">
        <f>IF(G25&gt;0,VLOOKUP('Détails WTI'!G25,Grundlagen!$A$5:$G$9,3,FALSE),0)</f>
        <v>0</v>
      </c>
      <c r="K25" s="189">
        <f>IF(G25&gt;0,VLOOKUP('Détails WTI'!G25,Grundlagen!$A$5:$G$9,6,FALSE),0)</f>
        <v>0</v>
      </c>
      <c r="L25" s="189">
        <f t="shared" si="20"/>
        <v>0</v>
      </c>
      <c r="M25" s="189">
        <f t="shared" si="21"/>
        <v>0</v>
      </c>
      <c r="N25" s="189">
        <f t="shared" si="22"/>
        <v>0</v>
      </c>
      <c r="O25" s="189">
        <f t="shared" si="26"/>
        <v>0</v>
      </c>
      <c r="P25" s="189">
        <f>IF(G25&gt;0,VLOOKUP('Détails WTI'!G25,Grundlagen!$A$5:$G$9,4,FALSE),0)</f>
        <v>0</v>
      </c>
      <c r="Q25" s="189">
        <f>IF(G25&gt;0,VLOOKUP('Détails WTI'!G25,Grundlagen!$A$5:$G$9,7,FALSE),0)</f>
        <v>0</v>
      </c>
      <c r="R25" s="189">
        <f t="shared" si="27"/>
        <v>0</v>
      </c>
      <c r="S25" s="189">
        <f t="shared" si="27"/>
        <v>0</v>
      </c>
      <c r="T25" s="189">
        <f t="shared" si="28"/>
        <v>0</v>
      </c>
      <c r="U25" s="189">
        <f t="shared" si="29"/>
        <v>0</v>
      </c>
      <c r="V25" s="189">
        <f t="shared" si="23"/>
        <v>0</v>
      </c>
      <c r="W25" s="189">
        <f t="shared" si="24"/>
        <v>0</v>
      </c>
      <c r="X25" s="189">
        <f>IF(OR(E25&gt;IF(G25&gt;0,VLOOKUP('Détails WTI'!G25,Grundlagen!$A$5:$G$9,4,FALSE),0),F25&gt;IF(G25&gt;0,VLOOKUP('Détails WTI'!G25,Grundlagen!$A$5:$G$9,7,FALSE),0)),H25*MAX(V25:W25),0)</f>
        <v>0</v>
      </c>
      <c r="Y25" s="189">
        <f t="shared" si="0"/>
        <v>0</v>
      </c>
      <c r="Z25" s="178">
        <f t="shared" si="25"/>
        <v>0</v>
      </c>
      <c r="AA25" s="190">
        <f t="shared" si="10"/>
        <v>0</v>
      </c>
      <c r="AB25" s="189">
        <f t="shared" si="11"/>
        <v>0</v>
      </c>
      <c r="AC25" s="189">
        <f t="shared" si="12"/>
        <v>0</v>
      </c>
      <c r="AD25" s="178">
        <f t="shared" si="13"/>
        <v>0</v>
      </c>
      <c r="AE25" s="191">
        <f t="shared" si="14"/>
        <v>0</v>
      </c>
      <c r="AF25" s="190">
        <f t="shared" si="15"/>
        <v>0</v>
      </c>
      <c r="AG25" s="189">
        <f t="shared" si="15"/>
        <v>0</v>
      </c>
      <c r="AH25" s="189">
        <f t="shared" si="15"/>
        <v>0</v>
      </c>
      <c r="AI25" s="178">
        <f t="shared" si="16"/>
        <v>0</v>
      </c>
      <c r="AJ25" s="191">
        <f t="shared" si="17"/>
        <v>0</v>
      </c>
      <c r="AK25" s="48"/>
      <c r="AL25" s="48"/>
      <c r="AM25" s="48"/>
    </row>
    <row r="26" spans="1:39" ht="12.75">
      <c r="A26" s="189">
        <f>'Charges acoustiques'!A35</f>
        <v>0</v>
      </c>
      <c r="B26" s="189">
        <f>'Charges acoustiques'!B35</f>
        <v>0</v>
      </c>
      <c r="C26" s="189">
        <f>'Charges acoustiques'!C35</f>
        <v>0</v>
      </c>
      <c r="D26" s="189">
        <f>'Charges acoustiques'!E35</f>
        <v>0</v>
      </c>
      <c r="E26" s="189">
        <f>'Charges acoustiques'!H35</f>
        <v>0</v>
      </c>
      <c r="F26" s="189">
        <f>'Charges acoustiques'!I35</f>
        <v>0</v>
      </c>
      <c r="G26" s="189">
        <f>'Charges acoustiques'!D35</f>
        <v>0</v>
      </c>
      <c r="H26" s="189">
        <f>'Charges acoustiques'!G35</f>
        <v>0</v>
      </c>
      <c r="I26" s="189">
        <f>IF('Charges acoustiques'!F35="x",0,1)</f>
        <v>1</v>
      </c>
      <c r="J26" s="189">
        <f>IF(G26&gt;0,VLOOKUP('Détails WTI'!G26,Grundlagen!$A$5:$G$9,3,FALSE),0)</f>
        <v>0</v>
      </c>
      <c r="K26" s="189">
        <f>IF(G26&gt;0,VLOOKUP('Détails WTI'!G26,Grundlagen!$A$5:$G$9,6,FALSE),0)</f>
        <v>0</v>
      </c>
      <c r="L26" s="189">
        <f t="shared" si="20"/>
        <v>0</v>
      </c>
      <c r="M26" s="189">
        <f t="shared" si="21"/>
        <v>0</v>
      </c>
      <c r="N26" s="189">
        <f t="shared" si="22"/>
        <v>0</v>
      </c>
      <c r="O26" s="189">
        <f t="shared" si="26"/>
        <v>0</v>
      </c>
      <c r="P26" s="189">
        <f>IF(G26&gt;0,VLOOKUP('Détails WTI'!G26,Grundlagen!$A$5:$G$9,4,FALSE),0)</f>
        <v>0</v>
      </c>
      <c r="Q26" s="189">
        <f>IF(G26&gt;0,VLOOKUP('Détails WTI'!G26,Grundlagen!$A$5:$G$9,7,FALSE),0)</f>
        <v>0</v>
      </c>
      <c r="R26" s="189">
        <f t="shared" si="27"/>
        <v>0</v>
      </c>
      <c r="S26" s="189">
        <f t="shared" si="27"/>
        <v>0</v>
      </c>
      <c r="T26" s="189">
        <f t="shared" si="28"/>
        <v>0</v>
      </c>
      <c r="U26" s="189">
        <f t="shared" si="29"/>
        <v>0</v>
      </c>
      <c r="V26" s="189">
        <f t="shared" si="23"/>
        <v>0</v>
      </c>
      <c r="W26" s="189">
        <f t="shared" si="24"/>
        <v>0</v>
      </c>
      <c r="X26" s="189">
        <f>IF(OR(E26&gt;IF(G26&gt;0,VLOOKUP('Détails WTI'!G26,Grundlagen!$A$5:$G$9,4,FALSE),0),F26&gt;IF(G26&gt;0,VLOOKUP('Détails WTI'!G26,Grundlagen!$A$5:$G$9,7,FALSE),0)),H26*MAX(V26:W26),0)</f>
        <v>0</v>
      </c>
      <c r="Y26" s="189">
        <f t="shared" si="0"/>
        <v>0</v>
      </c>
      <c r="Z26" s="178">
        <f t="shared" si="25"/>
        <v>0</v>
      </c>
      <c r="AA26" s="190">
        <f t="shared" si="10"/>
        <v>0</v>
      </c>
      <c r="AB26" s="189">
        <f t="shared" si="11"/>
        <v>0</v>
      </c>
      <c r="AC26" s="189">
        <f t="shared" si="12"/>
        <v>0</v>
      </c>
      <c r="AD26" s="178">
        <f t="shared" si="13"/>
        <v>0</v>
      </c>
      <c r="AE26" s="191">
        <f t="shared" si="14"/>
        <v>0</v>
      </c>
      <c r="AF26" s="190">
        <f t="shared" si="15"/>
        <v>0</v>
      </c>
      <c r="AG26" s="189">
        <f t="shared" si="15"/>
        <v>0</v>
      </c>
      <c r="AH26" s="189">
        <f t="shared" si="15"/>
        <v>0</v>
      </c>
      <c r="AI26" s="178">
        <f t="shared" si="16"/>
        <v>0</v>
      </c>
      <c r="AJ26" s="191">
        <f t="shared" si="17"/>
        <v>0</v>
      </c>
      <c r="AK26" s="48"/>
      <c r="AL26" s="48"/>
      <c r="AM26" s="48"/>
    </row>
    <row r="27" spans="1:39" ht="12.75">
      <c r="A27" s="189">
        <f>'Charges acoustiques'!A36</f>
        <v>0</v>
      </c>
      <c r="B27" s="189">
        <f>'Charges acoustiques'!B36</f>
        <v>0</v>
      </c>
      <c r="C27" s="189">
        <f>'Charges acoustiques'!C36</f>
        <v>0</v>
      </c>
      <c r="D27" s="189">
        <f>'Charges acoustiques'!E36</f>
        <v>0</v>
      </c>
      <c r="E27" s="189">
        <f>'Charges acoustiques'!H36</f>
        <v>0</v>
      </c>
      <c r="F27" s="189">
        <f>'Charges acoustiques'!I36</f>
        <v>0</v>
      </c>
      <c r="G27" s="189">
        <f>'Charges acoustiques'!D36</f>
        <v>0</v>
      </c>
      <c r="H27" s="189">
        <f>'Charges acoustiques'!G36</f>
        <v>0</v>
      </c>
      <c r="I27" s="189">
        <f>IF('Charges acoustiques'!F36="x",0,1)</f>
        <v>1</v>
      </c>
      <c r="J27" s="189">
        <f>IF(G27&gt;0,VLOOKUP('Détails WTI'!G27,Grundlagen!$A$5:$G$9,3,FALSE),0)</f>
        <v>0</v>
      </c>
      <c r="K27" s="189">
        <f>IF(G27&gt;0,VLOOKUP('Détails WTI'!G27,Grundlagen!$A$5:$G$9,6,FALSE),0)</f>
        <v>0</v>
      </c>
      <c r="L27" s="189">
        <f t="shared" si="20"/>
        <v>0</v>
      </c>
      <c r="M27" s="189">
        <f t="shared" si="21"/>
        <v>0</v>
      </c>
      <c r="N27" s="189">
        <f t="shared" si="22"/>
        <v>0</v>
      </c>
      <c r="O27" s="189">
        <f t="shared" si="26"/>
        <v>0</v>
      </c>
      <c r="P27" s="189">
        <f>IF(G27&gt;0,VLOOKUP('Détails WTI'!G27,Grundlagen!$A$5:$G$9,4,FALSE),0)</f>
        <v>0</v>
      </c>
      <c r="Q27" s="189">
        <f>IF(G27&gt;0,VLOOKUP('Détails WTI'!G27,Grundlagen!$A$5:$G$9,7,FALSE),0)</f>
        <v>0</v>
      </c>
      <c r="R27" s="189">
        <f t="shared" si="27"/>
        <v>0</v>
      </c>
      <c r="S27" s="189">
        <f t="shared" si="27"/>
        <v>0</v>
      </c>
      <c r="T27" s="189">
        <f t="shared" si="28"/>
        <v>0</v>
      </c>
      <c r="U27" s="189">
        <f t="shared" si="29"/>
        <v>0</v>
      </c>
      <c r="V27" s="189">
        <f t="shared" si="23"/>
        <v>0</v>
      </c>
      <c r="W27" s="189">
        <f t="shared" si="24"/>
        <v>0</v>
      </c>
      <c r="X27" s="189">
        <f>IF(OR(E27&gt;IF(G27&gt;0,VLOOKUP('Détails WTI'!G27,Grundlagen!$A$5:$G$9,4,FALSE),0),F27&gt;IF(G27&gt;0,VLOOKUP('Détails WTI'!G27,Grundlagen!$A$5:$G$9,7,FALSE),0)),H27*MAX(V27:W27),0)</f>
        <v>0</v>
      </c>
      <c r="Y27" s="189">
        <f t="shared" si="0"/>
        <v>0</v>
      </c>
      <c r="Z27" s="178">
        <f t="shared" si="25"/>
        <v>0</v>
      </c>
      <c r="AA27" s="190">
        <f t="shared" si="10"/>
        <v>0</v>
      </c>
      <c r="AB27" s="189">
        <f t="shared" si="11"/>
        <v>0</v>
      </c>
      <c r="AC27" s="189">
        <f t="shared" si="12"/>
        <v>0</v>
      </c>
      <c r="AD27" s="178">
        <f t="shared" si="13"/>
        <v>0</v>
      </c>
      <c r="AE27" s="191">
        <f t="shared" si="14"/>
        <v>0</v>
      </c>
      <c r="AF27" s="190">
        <f t="shared" si="15"/>
        <v>0</v>
      </c>
      <c r="AG27" s="189">
        <f t="shared" si="15"/>
        <v>0</v>
      </c>
      <c r="AH27" s="189">
        <f t="shared" si="15"/>
        <v>0</v>
      </c>
      <c r="AI27" s="178">
        <f t="shared" si="16"/>
        <v>0</v>
      </c>
      <c r="AJ27" s="191">
        <f t="shared" si="17"/>
        <v>0</v>
      </c>
      <c r="AK27" s="48"/>
      <c r="AL27" s="48"/>
      <c r="AM27" s="48"/>
    </row>
    <row r="28" spans="1:39" ht="12.75">
      <c r="A28" s="189">
        <f>'Charges acoustiques'!A37</f>
        <v>0</v>
      </c>
      <c r="B28" s="189">
        <f>'Charges acoustiques'!B37</f>
        <v>0</v>
      </c>
      <c r="C28" s="189">
        <f>'Charges acoustiques'!C37</f>
        <v>0</v>
      </c>
      <c r="D28" s="189">
        <f>'Charges acoustiques'!E37</f>
        <v>0</v>
      </c>
      <c r="E28" s="189">
        <f>'Charges acoustiques'!H37</f>
        <v>0</v>
      </c>
      <c r="F28" s="189">
        <f>'Charges acoustiques'!I37</f>
        <v>0</v>
      </c>
      <c r="G28" s="189">
        <f>'Charges acoustiques'!D37</f>
        <v>0</v>
      </c>
      <c r="H28" s="189">
        <f>'Charges acoustiques'!G37</f>
        <v>0</v>
      </c>
      <c r="I28" s="189">
        <f>IF('Charges acoustiques'!F37="x",0,1)</f>
        <v>1</v>
      </c>
      <c r="J28" s="189">
        <f>IF(G28&gt;0,VLOOKUP('Détails WTI'!G28,Grundlagen!$A$5:$G$9,3,FALSE),0)</f>
        <v>0</v>
      </c>
      <c r="K28" s="189">
        <f>IF(G28&gt;0,VLOOKUP('Détails WTI'!G28,Grundlagen!$A$5:$G$9,6,FALSE),0)</f>
        <v>0</v>
      </c>
      <c r="L28" s="189">
        <f t="shared" si="20"/>
        <v>0</v>
      </c>
      <c r="M28" s="189">
        <f t="shared" si="21"/>
        <v>0</v>
      </c>
      <c r="N28" s="189">
        <f t="shared" si="22"/>
        <v>0</v>
      </c>
      <c r="O28" s="189">
        <f t="shared" si="26"/>
        <v>0</v>
      </c>
      <c r="P28" s="189">
        <f>IF(G28&gt;0,VLOOKUP('Détails WTI'!G28,Grundlagen!$A$5:$G$9,4,FALSE),0)</f>
        <v>0</v>
      </c>
      <c r="Q28" s="189">
        <f>IF(G28&gt;0,VLOOKUP('Détails WTI'!G28,Grundlagen!$A$5:$G$9,7,FALSE),0)</f>
        <v>0</v>
      </c>
      <c r="R28" s="189">
        <f t="shared" si="27"/>
        <v>0</v>
      </c>
      <c r="S28" s="189">
        <f t="shared" si="27"/>
        <v>0</v>
      </c>
      <c r="T28" s="189">
        <f t="shared" si="28"/>
        <v>0</v>
      </c>
      <c r="U28" s="189">
        <f t="shared" si="29"/>
        <v>0</v>
      </c>
      <c r="V28" s="189">
        <f t="shared" si="23"/>
        <v>0</v>
      </c>
      <c r="W28" s="189">
        <f t="shared" si="24"/>
        <v>0</v>
      </c>
      <c r="X28" s="189">
        <f>IF(OR(E28&gt;IF(G28&gt;0,VLOOKUP('Détails WTI'!G28,Grundlagen!$A$5:$G$9,4,FALSE),0),F28&gt;IF(G28&gt;0,VLOOKUP('Détails WTI'!G28,Grundlagen!$A$5:$G$9,7,FALSE),0)),H28*MAX(V28:W28),0)</f>
        <v>0</v>
      </c>
      <c r="Y28" s="189">
        <f t="shared" si="0"/>
        <v>0</v>
      </c>
      <c r="Z28" s="178">
        <f t="shared" si="25"/>
        <v>0</v>
      </c>
      <c r="AA28" s="190">
        <f t="shared" si="10"/>
        <v>0</v>
      </c>
      <c r="AB28" s="189">
        <f t="shared" si="11"/>
        <v>0</v>
      </c>
      <c r="AC28" s="189">
        <f t="shared" si="12"/>
        <v>0</v>
      </c>
      <c r="AD28" s="178">
        <f t="shared" si="13"/>
        <v>0</v>
      </c>
      <c r="AE28" s="191">
        <f t="shared" si="14"/>
        <v>0</v>
      </c>
      <c r="AF28" s="190">
        <f t="shared" si="15"/>
        <v>0</v>
      </c>
      <c r="AG28" s="189">
        <f t="shared" si="15"/>
        <v>0</v>
      </c>
      <c r="AH28" s="189">
        <f t="shared" si="15"/>
        <v>0</v>
      </c>
      <c r="AI28" s="178">
        <f t="shared" si="16"/>
        <v>0</v>
      </c>
      <c r="AJ28" s="191">
        <f t="shared" si="17"/>
        <v>0</v>
      </c>
      <c r="AK28" s="48"/>
      <c r="AL28" s="48"/>
      <c r="AM28" s="48"/>
    </row>
    <row r="29" spans="1:39" ht="12.75">
      <c r="A29" s="189">
        <f>'Charges acoustiques'!A38</f>
        <v>0</v>
      </c>
      <c r="B29" s="189">
        <f>'Charges acoustiques'!B38</f>
        <v>0</v>
      </c>
      <c r="C29" s="189">
        <f>'Charges acoustiques'!C38</f>
        <v>0</v>
      </c>
      <c r="D29" s="189">
        <f>'Charges acoustiques'!E38</f>
        <v>0</v>
      </c>
      <c r="E29" s="189">
        <f>'Charges acoustiques'!H38</f>
        <v>0</v>
      </c>
      <c r="F29" s="189">
        <f>'Charges acoustiques'!I38</f>
        <v>0</v>
      </c>
      <c r="G29" s="189">
        <f>'Charges acoustiques'!D38</f>
        <v>0</v>
      </c>
      <c r="H29" s="189">
        <f>'Charges acoustiques'!G38</f>
        <v>0</v>
      </c>
      <c r="I29" s="189">
        <f>IF('Charges acoustiques'!F38="x",0,1)</f>
        <v>1</v>
      </c>
      <c r="J29" s="189">
        <f>IF(G29&gt;0,VLOOKUP('Détails WTI'!G29,Grundlagen!$A$5:$G$9,3,FALSE),0)</f>
        <v>0</v>
      </c>
      <c r="K29" s="189">
        <f>IF(G29&gt;0,VLOOKUP('Détails WTI'!G29,Grundlagen!$A$5:$G$9,6,FALSE),0)</f>
        <v>0</v>
      </c>
      <c r="L29" s="189">
        <f>IF(E29&gt;J29,E29-J29,0)</f>
        <v>0</v>
      </c>
      <c r="M29" s="189">
        <f>IF(F29&gt;K29,F29-K29,0)</f>
        <v>0</v>
      </c>
      <c r="N29" s="189">
        <f>IF(L29&gt;0,1,IF(M29&gt;0,1,0))</f>
        <v>0</v>
      </c>
      <c r="O29" s="189">
        <f t="shared" si="26"/>
        <v>0</v>
      </c>
      <c r="P29" s="189">
        <f>IF(G29&gt;0,VLOOKUP('Détails WTI'!G29,Grundlagen!$A$5:$G$9,4,FALSE),0)</f>
        <v>0</v>
      </c>
      <c r="Q29" s="189">
        <f>IF(G29&gt;0,VLOOKUP('Détails WTI'!G29,Grundlagen!$A$5:$G$9,7,FALSE),0)</f>
        <v>0</v>
      </c>
      <c r="R29" s="189">
        <f>IF(E29&gt;P29,E29-P29,0)</f>
        <v>0</v>
      </c>
      <c r="S29" s="189">
        <f>IF(F29&gt;Q29,F29-Q29,0)</f>
        <v>0</v>
      </c>
      <c r="T29" s="189">
        <f t="shared" si="28"/>
        <v>0</v>
      </c>
      <c r="U29" s="189">
        <f t="shared" si="29"/>
        <v>0</v>
      </c>
      <c r="V29" s="189">
        <f>IF(G29&gt;0,IF(J29&lt;&gt;"",IF(E29&gt;(J29-5),E29-(J29-5),0),""),0)</f>
        <v>0</v>
      </c>
      <c r="W29" s="189">
        <f>IF(G29&gt;0,IF(F29&gt;(K29-5),F29-(K29-5),0),0)</f>
        <v>0</v>
      </c>
      <c r="X29" s="189">
        <f>IF(OR(E29&gt;IF(G29&gt;0,VLOOKUP('Détails WTI'!G29,Grundlagen!$A$5:$G$9,4,FALSE),0),F29&gt;IF(G29&gt;0,VLOOKUP('Détails WTI'!G29,Grundlagen!$A$5:$G$9,7,FALSE),0)),H29*MAX(V29:W29),0)</f>
        <v>0</v>
      </c>
      <c r="Y29" s="189">
        <f t="shared" si="0"/>
        <v>0</v>
      </c>
      <c r="Z29" s="178">
        <f>IF(Y29+X29=0,IF(OR($E29&gt;$J29-5,$F29&gt;$K29-5),$H29*MAX($V29:$W29),0),0)</f>
        <v>0</v>
      </c>
      <c r="AA29" s="190">
        <f t="shared" si="10"/>
        <v>0</v>
      </c>
      <c r="AB29" s="189">
        <f t="shared" si="11"/>
        <v>0</v>
      </c>
      <c r="AC29" s="189">
        <f t="shared" si="12"/>
        <v>0</v>
      </c>
      <c r="AD29" s="178">
        <f>SUM(AA29+AB29+AC29)*$N29</f>
        <v>0</v>
      </c>
      <c r="AE29" s="191">
        <f>MAX(L29:M29)*H29*I29</f>
        <v>0</v>
      </c>
      <c r="AF29" s="190">
        <f t="shared" si="15"/>
        <v>0</v>
      </c>
      <c r="AG29" s="189">
        <f t="shared" si="15"/>
        <v>0</v>
      </c>
      <c r="AH29" s="189">
        <f t="shared" si="15"/>
        <v>0</v>
      </c>
      <c r="AI29" s="178">
        <f>SUM(AF29+AG29+AH29)*$N29</f>
        <v>0</v>
      </c>
      <c r="AJ29" s="191">
        <f>MAX(L29:M29)*H29</f>
        <v>0</v>
      </c>
      <c r="AK29" s="48"/>
      <c r="AL29" s="48"/>
      <c r="AM29" s="48"/>
    </row>
    <row r="30" spans="1:39" ht="13.5" thickBo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192"/>
      <c r="AB30" s="48"/>
      <c r="AC30" s="48"/>
      <c r="AD30" s="48"/>
      <c r="AE30" s="193"/>
      <c r="AF30" s="192"/>
      <c r="AG30" s="48"/>
      <c r="AH30" s="48"/>
      <c r="AI30" s="48"/>
      <c r="AJ30" s="193"/>
      <c r="AK30" s="48"/>
      <c r="AL30" s="48"/>
      <c r="AM30" s="48"/>
    </row>
    <row r="31" spans="1:39"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183" t="s">
        <v>130</v>
      </c>
      <c r="AB31" s="184"/>
      <c r="AC31" s="184"/>
      <c r="AD31" s="184"/>
      <c r="AE31" s="194">
        <f>SUM(AE8:AE30)</f>
        <v>0</v>
      </c>
      <c r="AF31" s="183" t="s">
        <v>130</v>
      </c>
      <c r="AG31" s="184"/>
      <c r="AH31" s="184"/>
      <c r="AI31" s="184"/>
      <c r="AJ31" s="194">
        <f>SUM(AJ8:AJ30)</f>
        <v>0</v>
      </c>
      <c r="AK31" s="48"/>
      <c r="AL31" s="48"/>
      <c r="AM31" s="48"/>
    </row>
    <row r="32" spans="1:39"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192" t="s">
        <v>131</v>
      </c>
      <c r="AB32" s="48"/>
      <c r="AC32" s="48"/>
      <c r="AD32" s="46">
        <f>AC33-SUM(AD8:AD30)</f>
        <v>0</v>
      </c>
      <c r="AE32" s="195"/>
      <c r="AF32" s="192" t="s">
        <v>131</v>
      </c>
      <c r="AG32" s="48"/>
      <c r="AH32" s="48"/>
      <c r="AI32" s="46">
        <f>AH33-SUM(AI8:AI30)</f>
        <v>0</v>
      </c>
      <c r="AJ32" s="195"/>
      <c r="AK32" s="48"/>
      <c r="AL32" s="48"/>
      <c r="AM32" s="48"/>
    </row>
    <row r="33" spans="1:39" ht="13.5" thickBo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196" t="s">
        <v>132</v>
      </c>
      <c r="AB33" s="197"/>
      <c r="AC33" s="198">
        <f>SUM(AA8:AC30)</f>
        <v>0</v>
      </c>
      <c r="AD33" s="197"/>
      <c r="AE33" s="199"/>
      <c r="AF33" s="196" t="s">
        <v>132</v>
      </c>
      <c r="AG33" s="197"/>
      <c r="AH33" s="198">
        <f>SUM(AF8:AH30)</f>
        <v>0</v>
      </c>
      <c r="AI33" s="197"/>
      <c r="AJ33" s="199"/>
      <c r="AK33" s="48"/>
      <c r="AL33" s="48"/>
      <c r="AM33" s="48"/>
    </row>
    <row r="34" spans="1:39" ht="12.75">
      <c r="A34" s="200" t="s">
        <v>170</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row>
    <row r="35" spans="1:39"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row>
    <row r="36" spans="1:39" ht="13.5" thickBo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row>
    <row r="37" spans="1:39" ht="12.75" customHeight="1">
      <c r="A37" s="180" t="s">
        <v>115</v>
      </c>
      <c r="B37" s="181" t="s">
        <v>116</v>
      </c>
      <c r="C37" s="182" t="s">
        <v>3</v>
      </c>
      <c r="D37" s="181" t="s">
        <v>8</v>
      </c>
      <c r="E37" s="352" t="s">
        <v>23</v>
      </c>
      <c r="F37" s="353"/>
      <c r="G37" s="182" t="s">
        <v>48</v>
      </c>
      <c r="H37" s="181" t="s">
        <v>24</v>
      </c>
      <c r="I37" s="358" t="s">
        <v>117</v>
      </c>
      <c r="J37" s="352" t="s">
        <v>118</v>
      </c>
      <c r="K37" s="353"/>
      <c r="L37" s="182" t="s">
        <v>119</v>
      </c>
      <c r="M37" s="182"/>
      <c r="N37" s="182"/>
      <c r="O37" s="182"/>
      <c r="P37" s="352" t="s">
        <v>121</v>
      </c>
      <c r="Q37" s="353"/>
      <c r="R37" s="182" t="s">
        <v>122</v>
      </c>
      <c r="S37" s="182"/>
      <c r="T37" s="182"/>
      <c r="U37" s="182"/>
      <c r="V37" s="182" t="s">
        <v>124</v>
      </c>
      <c r="W37" s="182"/>
      <c r="X37" s="180" t="s">
        <v>125</v>
      </c>
      <c r="Y37" s="182"/>
      <c r="Z37" s="182"/>
      <c r="AA37" s="183" t="s">
        <v>128</v>
      </c>
      <c r="AB37" s="184"/>
      <c r="AC37" s="185"/>
      <c r="AD37" s="356" t="s">
        <v>126</v>
      </c>
      <c r="AE37" s="356" t="s">
        <v>127</v>
      </c>
      <c r="AF37" s="183" t="s">
        <v>157</v>
      </c>
      <c r="AG37" s="184"/>
      <c r="AH37" s="185"/>
      <c r="AI37" s="356" t="s">
        <v>129</v>
      </c>
      <c r="AJ37" s="354" t="s">
        <v>127</v>
      </c>
      <c r="AK37" s="48"/>
      <c r="AL37" s="48"/>
      <c r="AM37" s="48"/>
    </row>
    <row r="38" spans="1:39" ht="12.75">
      <c r="A38" s="186"/>
      <c r="B38" s="187"/>
      <c r="C38" s="188"/>
      <c r="D38" s="187"/>
      <c r="E38" s="189" t="s">
        <v>52</v>
      </c>
      <c r="F38" s="189" t="s">
        <v>53</v>
      </c>
      <c r="G38" s="188"/>
      <c r="H38" s="187"/>
      <c r="I38" s="359"/>
      <c r="J38" s="189" t="s">
        <v>52</v>
      </c>
      <c r="K38" s="189" t="s">
        <v>53</v>
      </c>
      <c r="L38" s="188" t="s">
        <v>52</v>
      </c>
      <c r="M38" s="188" t="s">
        <v>53</v>
      </c>
      <c r="N38" s="188" t="s">
        <v>120</v>
      </c>
      <c r="O38" s="188" t="s">
        <v>123</v>
      </c>
      <c r="P38" s="189" t="s">
        <v>52</v>
      </c>
      <c r="Q38" s="189" t="s">
        <v>53</v>
      </c>
      <c r="R38" s="188" t="s">
        <v>52</v>
      </c>
      <c r="S38" s="188" t="s">
        <v>53</v>
      </c>
      <c r="T38" s="188" t="s">
        <v>120</v>
      </c>
      <c r="U38" s="188" t="s">
        <v>123</v>
      </c>
      <c r="V38" s="189" t="s">
        <v>52</v>
      </c>
      <c r="W38" s="178" t="s">
        <v>53</v>
      </c>
      <c r="X38" s="189" t="s">
        <v>25</v>
      </c>
      <c r="Y38" s="189" t="s">
        <v>26</v>
      </c>
      <c r="Z38" s="178" t="s">
        <v>27</v>
      </c>
      <c r="AA38" s="190" t="s">
        <v>25</v>
      </c>
      <c r="AB38" s="189" t="s">
        <v>26</v>
      </c>
      <c r="AC38" s="189" t="s">
        <v>27</v>
      </c>
      <c r="AD38" s="357"/>
      <c r="AE38" s="357"/>
      <c r="AF38" s="190" t="s">
        <v>25</v>
      </c>
      <c r="AG38" s="189" t="s">
        <v>26</v>
      </c>
      <c r="AH38" s="189" t="s">
        <v>27</v>
      </c>
      <c r="AI38" s="357"/>
      <c r="AJ38" s="355"/>
      <c r="AK38" s="48"/>
      <c r="AL38" s="48"/>
      <c r="AM38" s="48"/>
    </row>
    <row r="39" spans="1:39" ht="12.75">
      <c r="A39" s="189">
        <f>'Charges acoustiques'!A17</f>
        <v>0</v>
      </c>
      <c r="B39" s="189">
        <f>'Charges acoustiques'!B17</f>
        <v>0</v>
      </c>
      <c r="C39" s="189">
        <f>'Charges acoustiques'!C17</f>
        <v>0</v>
      </c>
      <c r="D39" s="189">
        <f>'Charges acoustiques'!E17</f>
        <v>0</v>
      </c>
      <c r="E39" s="189">
        <f>'Charges acoustiques'!J17</f>
        <v>0</v>
      </c>
      <c r="F39" s="189">
        <f>'Charges acoustiques'!K17</f>
        <v>0</v>
      </c>
      <c r="G39" s="189">
        <f>'Charges acoustiques'!D17</f>
        <v>0</v>
      </c>
      <c r="H39" s="189">
        <f>'Charges acoustiques'!G17</f>
        <v>0</v>
      </c>
      <c r="I39" s="189">
        <f>IF('Charges acoustiques'!F17="x",0,1)</f>
        <v>1</v>
      </c>
      <c r="J39" s="189">
        <f>IF(G39&gt;0,VLOOKUP('Détails WTI'!G39,Grundlagen!$A$5:$G$9,3,FALSE),0)</f>
        <v>0</v>
      </c>
      <c r="K39" s="189">
        <f>IF(G39&gt;0,VLOOKUP('Détails WTI'!G39,Grundlagen!$A$5:$G$9,6,FALSE),0)</f>
        <v>0</v>
      </c>
      <c r="L39" s="189">
        <f>IF(E39&gt;J39,E39-J39,0)</f>
        <v>0</v>
      </c>
      <c r="M39" s="189">
        <f>IF(F39&gt;K39,F39-K39,0)</f>
        <v>0</v>
      </c>
      <c r="N39" s="189">
        <f>IF(L39&gt;0,1,IF(M39&gt;0,1,0))</f>
        <v>0</v>
      </c>
      <c r="O39" s="189">
        <f>IF(N39=1,D39*3,0)</f>
        <v>0</v>
      </c>
      <c r="P39" s="189">
        <f>IF(G39&gt;0,VLOOKUP('Détails WTI'!G39,Grundlagen!$A$5:$G$9,4,FALSE),0)</f>
        <v>0</v>
      </c>
      <c r="Q39" s="189">
        <f>IF(G39&gt;0,VLOOKUP('Détails WTI'!G39,Grundlagen!$A$5:$G$9,7,FALSE),0)</f>
        <v>0</v>
      </c>
      <c r="R39" s="189">
        <f>IF(E39&gt;P39,E39-P39,0)</f>
        <v>0</v>
      </c>
      <c r="S39" s="189">
        <f>IF(F39&gt;Q39,F39-Q39,0)</f>
        <v>0</v>
      </c>
      <c r="T39" s="189">
        <f>IF(R39&gt;0,1,IF(S39&gt;0,1,0))</f>
        <v>0</v>
      </c>
      <c r="U39" s="189">
        <f>IF(T39=1,D39*3,0)</f>
        <v>0</v>
      </c>
      <c r="V39" s="189">
        <f>IF(G39&gt;0,IF(J39&lt;&gt;"",IF(E39&gt;(J39-5),E39-(J39-5),0),""),0)</f>
        <v>0</v>
      </c>
      <c r="W39" s="189">
        <f>IF(G39&gt;0,IF(F39&gt;(K39-5),F39-(K39-5),0),0)</f>
        <v>0</v>
      </c>
      <c r="X39" s="189">
        <f>IF(OR(E39&gt;IF(G39&gt;0,VLOOKUP('Détails WTI'!G39,Grundlagen!$A$5:$G$9,4,FALSE),0),F39&gt;IF(G39&gt;0,VLOOKUP('Détails WTI'!G39,Grundlagen!$A$5:$G$9,7,FALSE),0)),H39*MAX(V39:W39),0)</f>
        <v>0</v>
      </c>
      <c r="Y39" s="189">
        <f aca="true" t="shared" si="30" ref="Y39:Y60">IF(X39=0,IF(OR($E39&gt;$J39,$F39&gt;$K39),$H39*MAX($V39:$W39),0),0)</f>
        <v>0</v>
      </c>
      <c r="Z39" s="178">
        <f aca="true" t="shared" si="31" ref="Z39:Z52">IF(Y39+X39=0,IF(OR($E39&gt;$J39-5,$F39&gt;$K39-5),$H39*MAX($V39:$W39),0),0)</f>
        <v>0</v>
      </c>
      <c r="AA39" s="190">
        <f aca="true" t="shared" si="32" ref="AA39:AA60">X39*$AC$2*$AA$4*I39</f>
        <v>0</v>
      </c>
      <c r="AB39" s="189">
        <f aca="true" t="shared" si="33" ref="AB39:AB60">Y39*$AC$2*$AB$4*I39</f>
        <v>0</v>
      </c>
      <c r="AC39" s="189">
        <f aca="true" t="shared" si="34" ref="AC39:AC60">Z39*$AC$2*$AC$4*I39</f>
        <v>0</v>
      </c>
      <c r="AD39" s="178">
        <f>SUM(AA39+AB39+AC39)*$N39</f>
        <v>0</v>
      </c>
      <c r="AE39" s="191">
        <f>MAX(L39:M39)*H39*I39</f>
        <v>0</v>
      </c>
      <c r="AF39" s="190">
        <f>X39*$AC$2*$AA$4</f>
        <v>0</v>
      </c>
      <c r="AG39" s="189">
        <f>Y39*$AC$2*$AB$4</f>
        <v>0</v>
      </c>
      <c r="AH39" s="189">
        <f>Z39*$AC$2*$AC$4</f>
        <v>0</v>
      </c>
      <c r="AI39" s="178">
        <f>SUM(AF39+AG39+AH39)*$N39</f>
        <v>0</v>
      </c>
      <c r="AJ39" s="191">
        <f>MAX(L39:M39)*H39</f>
        <v>0</v>
      </c>
      <c r="AK39" s="48"/>
      <c r="AL39" s="48"/>
      <c r="AM39" s="48"/>
    </row>
    <row r="40" spans="1:39" ht="12.75">
      <c r="A40" s="189">
        <f>'Charges acoustiques'!A18</f>
        <v>0</v>
      </c>
      <c r="B40" s="189">
        <f>'Charges acoustiques'!B18</f>
        <v>0</v>
      </c>
      <c r="C40" s="189">
        <f>'Charges acoustiques'!C18</f>
        <v>0</v>
      </c>
      <c r="D40" s="189">
        <f>'Charges acoustiques'!E18</f>
        <v>0</v>
      </c>
      <c r="E40" s="189">
        <f>'Charges acoustiques'!J18</f>
        <v>0</v>
      </c>
      <c r="F40" s="189">
        <f>'Charges acoustiques'!K18</f>
        <v>0</v>
      </c>
      <c r="G40" s="189">
        <f>'Charges acoustiques'!D18</f>
        <v>0</v>
      </c>
      <c r="H40" s="189">
        <f>'Charges acoustiques'!G18</f>
        <v>0</v>
      </c>
      <c r="I40" s="189">
        <f>IF('Charges acoustiques'!F18="x",0,1)</f>
        <v>1</v>
      </c>
      <c r="J40" s="189">
        <f>IF(G40&gt;0,VLOOKUP('Détails WTI'!G40,Grundlagen!$A$5:$G$9,3,FALSE),0)</f>
        <v>0</v>
      </c>
      <c r="K40" s="189">
        <f>IF(G40&gt;0,VLOOKUP('Détails WTI'!G40,Grundlagen!$A$5:$G$9,6,FALSE),0)</f>
        <v>0</v>
      </c>
      <c r="L40" s="189">
        <f aca="true" t="shared" si="35" ref="L40:L52">IF(E40&gt;J40,E40-J40,0)</f>
        <v>0</v>
      </c>
      <c r="M40" s="189">
        <f aca="true" t="shared" si="36" ref="M40:M52">IF(F40&gt;K40,F40-K40,0)</f>
        <v>0</v>
      </c>
      <c r="N40" s="189">
        <f aca="true" t="shared" si="37" ref="N40:N52">IF(L40&gt;0,1,IF(M40&gt;0,1,0))</f>
        <v>0</v>
      </c>
      <c r="O40" s="189">
        <f aca="true" t="shared" si="38" ref="O40:O54">IF(N40=1,D40*3,0)</f>
        <v>0</v>
      </c>
      <c r="P40" s="189">
        <f>IF(G40&gt;0,VLOOKUP('Détails WTI'!G40,Grundlagen!$A$5:$G$9,4,FALSE),0)</f>
        <v>0</v>
      </c>
      <c r="Q40" s="189">
        <f>IF(G40&gt;0,VLOOKUP('Détails WTI'!G40,Grundlagen!$A$5:$G$9,7,FALSE),0)</f>
        <v>0</v>
      </c>
      <c r="R40" s="189">
        <f aca="true" t="shared" si="39" ref="R40:R54">IF(E40&gt;P40,E40-P40,0)</f>
        <v>0</v>
      </c>
      <c r="S40" s="189">
        <f aca="true" t="shared" si="40" ref="S40:S54">IF(F40&gt;Q40,F40-Q40,0)</f>
        <v>0</v>
      </c>
      <c r="T40" s="189">
        <f aca="true" t="shared" si="41" ref="T40:T54">IF(R40&gt;0,1,IF(S40&gt;0,1,0))</f>
        <v>0</v>
      </c>
      <c r="U40" s="189">
        <f aca="true" t="shared" si="42" ref="U40:U54">IF(T40=1,D40*3,0)</f>
        <v>0</v>
      </c>
      <c r="V40" s="189">
        <f aca="true" t="shared" si="43" ref="V40:V52">IF(G40&gt;0,IF(J40&lt;&gt;"",IF(E40&gt;(J40-5),E40-(J40-5),0),""),0)</f>
        <v>0</v>
      </c>
      <c r="W40" s="189">
        <f aca="true" t="shared" si="44" ref="W40:W52">IF(G40&gt;0,IF(F40&gt;(K40-5),F40-(K40-5),0),0)</f>
        <v>0</v>
      </c>
      <c r="X40" s="189">
        <f>IF(OR(E40&gt;IF(G40&gt;0,VLOOKUP('Détails WTI'!G40,Grundlagen!$A$5:$G$9,4,FALSE),0),F40&gt;IF(G40&gt;0,VLOOKUP('Détails WTI'!G40,Grundlagen!$A$5:$G$9,7,FALSE),0)),H40*MAX(V40:W40),0)</f>
        <v>0</v>
      </c>
      <c r="Y40" s="189">
        <f t="shared" si="30"/>
        <v>0</v>
      </c>
      <c r="Z40" s="178">
        <f t="shared" si="31"/>
        <v>0</v>
      </c>
      <c r="AA40" s="190">
        <f>X40*$AC$2*$AA$4*I40</f>
        <v>0</v>
      </c>
      <c r="AB40" s="189">
        <f t="shared" si="33"/>
        <v>0</v>
      </c>
      <c r="AC40" s="189">
        <f t="shared" si="34"/>
        <v>0</v>
      </c>
      <c r="AD40" s="178">
        <f aca="true" t="shared" si="45" ref="AD40:AD60">SUM(AA40+AB40+AC40)*$N40</f>
        <v>0</v>
      </c>
      <c r="AE40" s="191">
        <f aca="true" t="shared" si="46" ref="AE40:AE59">MAX(L40:M40)*H40*I40</f>
        <v>0</v>
      </c>
      <c r="AF40" s="190">
        <f aca="true" t="shared" si="47" ref="AF40:AF60">X40*$AC$2*$AA$4</f>
        <v>0</v>
      </c>
      <c r="AG40" s="189">
        <f aca="true" t="shared" si="48" ref="AG40:AG60">Y40*$AC$2*$AB$4</f>
        <v>0</v>
      </c>
      <c r="AH40" s="189">
        <f aca="true" t="shared" si="49" ref="AH40:AH60">Z40*$AC$2*$AC$4</f>
        <v>0</v>
      </c>
      <c r="AI40" s="178">
        <f>SUM(AF40+AG40+AH40)*$N40</f>
        <v>0</v>
      </c>
      <c r="AJ40" s="191">
        <f aca="true" t="shared" si="50" ref="AJ40:AJ59">MAX(L40:M40)*H40</f>
        <v>0</v>
      </c>
      <c r="AK40" s="48"/>
      <c r="AL40" s="48"/>
      <c r="AM40" s="48"/>
    </row>
    <row r="41" spans="1:39" ht="12.75">
      <c r="A41" s="189">
        <f>'Charges acoustiques'!A19</f>
        <v>0</v>
      </c>
      <c r="B41" s="189">
        <f>'Charges acoustiques'!B19</f>
        <v>0</v>
      </c>
      <c r="C41" s="189">
        <f>'Charges acoustiques'!C19</f>
        <v>0</v>
      </c>
      <c r="D41" s="189">
        <f>'Charges acoustiques'!E19</f>
        <v>0</v>
      </c>
      <c r="E41" s="189">
        <f>'Charges acoustiques'!J19</f>
        <v>0</v>
      </c>
      <c r="F41" s="189">
        <f>'Charges acoustiques'!K19</f>
        <v>0</v>
      </c>
      <c r="G41" s="189">
        <f>'Charges acoustiques'!D19</f>
        <v>0</v>
      </c>
      <c r="H41" s="189">
        <f>'Charges acoustiques'!G19</f>
        <v>0</v>
      </c>
      <c r="I41" s="189">
        <f>IF('Charges acoustiques'!F19="x",0,1)</f>
        <v>1</v>
      </c>
      <c r="J41" s="189">
        <f>IF(G41&gt;0,VLOOKUP('Détails WTI'!G41,Grundlagen!$A$5:$G$9,3,FALSE),0)</f>
        <v>0</v>
      </c>
      <c r="K41" s="189">
        <f>IF(G41&gt;0,VLOOKUP('Détails WTI'!G41,Grundlagen!$A$5:$G$9,6,FALSE),0)</f>
        <v>0</v>
      </c>
      <c r="L41" s="189">
        <f t="shared" si="35"/>
        <v>0</v>
      </c>
      <c r="M41" s="189">
        <f t="shared" si="36"/>
        <v>0</v>
      </c>
      <c r="N41" s="189">
        <f t="shared" si="37"/>
        <v>0</v>
      </c>
      <c r="O41" s="189">
        <f t="shared" si="38"/>
        <v>0</v>
      </c>
      <c r="P41" s="189">
        <f>IF(G41&gt;0,VLOOKUP('Détails WTI'!G41,Grundlagen!$A$5:$G$9,4,FALSE),0)</f>
        <v>0</v>
      </c>
      <c r="Q41" s="189">
        <f>IF(G41&gt;0,VLOOKUP('Détails WTI'!G41,Grundlagen!$A$5:$G$9,7,FALSE),0)</f>
        <v>0</v>
      </c>
      <c r="R41" s="189">
        <f t="shared" si="39"/>
        <v>0</v>
      </c>
      <c r="S41" s="189">
        <f t="shared" si="40"/>
        <v>0</v>
      </c>
      <c r="T41" s="189">
        <f t="shared" si="41"/>
        <v>0</v>
      </c>
      <c r="U41" s="189">
        <f t="shared" si="42"/>
        <v>0</v>
      </c>
      <c r="V41" s="189">
        <f t="shared" si="43"/>
        <v>0</v>
      </c>
      <c r="W41" s="189">
        <f t="shared" si="44"/>
        <v>0</v>
      </c>
      <c r="X41" s="189">
        <f>IF(OR(E41&gt;IF(G41&gt;0,VLOOKUP('Détails WTI'!G41,Grundlagen!$A$5:$G$9,4,FALSE),0),F41&gt;IF(G41&gt;0,VLOOKUP('Détails WTI'!G41,Grundlagen!$A$5:$G$9,7,FALSE),0)),H41*MAX(V41:W41),0)</f>
        <v>0</v>
      </c>
      <c r="Y41" s="189">
        <f t="shared" si="30"/>
        <v>0</v>
      </c>
      <c r="Z41" s="178">
        <f t="shared" si="31"/>
        <v>0</v>
      </c>
      <c r="AA41" s="190">
        <f t="shared" si="32"/>
        <v>0</v>
      </c>
      <c r="AB41" s="189">
        <f t="shared" si="33"/>
        <v>0</v>
      </c>
      <c r="AC41" s="189">
        <f t="shared" si="34"/>
        <v>0</v>
      </c>
      <c r="AD41" s="178">
        <f t="shared" si="45"/>
        <v>0</v>
      </c>
      <c r="AE41" s="191">
        <f t="shared" si="46"/>
        <v>0</v>
      </c>
      <c r="AF41" s="190">
        <f t="shared" si="47"/>
        <v>0</v>
      </c>
      <c r="AG41" s="189">
        <f t="shared" si="48"/>
        <v>0</v>
      </c>
      <c r="AH41" s="189">
        <f t="shared" si="49"/>
        <v>0</v>
      </c>
      <c r="AI41" s="178">
        <f aca="true" t="shared" si="51" ref="AI41:AI60">SUM(AF41+AG41+AH41)*$N41</f>
        <v>0</v>
      </c>
      <c r="AJ41" s="191">
        <f t="shared" si="50"/>
        <v>0</v>
      </c>
      <c r="AK41" s="48"/>
      <c r="AL41" s="48"/>
      <c r="AM41" s="48"/>
    </row>
    <row r="42" spans="1:39" ht="12.75">
      <c r="A42" s="189">
        <f>'Charges acoustiques'!A20</f>
        <v>0</v>
      </c>
      <c r="B42" s="189">
        <f>'Charges acoustiques'!B20</f>
        <v>0</v>
      </c>
      <c r="C42" s="189">
        <f>'Charges acoustiques'!C20</f>
        <v>0</v>
      </c>
      <c r="D42" s="189">
        <f>'Charges acoustiques'!E20</f>
        <v>0</v>
      </c>
      <c r="E42" s="189">
        <f>'Charges acoustiques'!J20</f>
        <v>0</v>
      </c>
      <c r="F42" s="189">
        <f>'Charges acoustiques'!K20</f>
        <v>0</v>
      </c>
      <c r="G42" s="189">
        <f>'Charges acoustiques'!D20</f>
        <v>0</v>
      </c>
      <c r="H42" s="189">
        <f>'Charges acoustiques'!G20</f>
        <v>0</v>
      </c>
      <c r="I42" s="189">
        <f>IF('Charges acoustiques'!F20="x",0,1)</f>
        <v>1</v>
      </c>
      <c r="J42" s="189">
        <f>IF(G42&gt;0,VLOOKUP('Détails WTI'!G42,Grundlagen!$A$5:$G$9,3,FALSE),0)</f>
        <v>0</v>
      </c>
      <c r="K42" s="189">
        <f>IF(G42&gt;0,VLOOKUP('Détails WTI'!G42,Grundlagen!$A$5:$G$9,6,FALSE),0)</f>
        <v>0</v>
      </c>
      <c r="L42" s="189">
        <f t="shared" si="35"/>
        <v>0</v>
      </c>
      <c r="M42" s="189">
        <f t="shared" si="36"/>
        <v>0</v>
      </c>
      <c r="N42" s="189">
        <f t="shared" si="37"/>
        <v>0</v>
      </c>
      <c r="O42" s="189">
        <f t="shared" si="38"/>
        <v>0</v>
      </c>
      <c r="P42" s="189">
        <f>IF(G42&gt;0,VLOOKUP('Détails WTI'!G42,Grundlagen!$A$5:$G$9,4,FALSE),0)</f>
        <v>0</v>
      </c>
      <c r="Q42" s="189">
        <f>IF(G42&gt;0,VLOOKUP('Détails WTI'!G42,Grundlagen!$A$5:$G$9,7,FALSE),0)</f>
        <v>0</v>
      </c>
      <c r="R42" s="189">
        <f t="shared" si="39"/>
        <v>0</v>
      </c>
      <c r="S42" s="189">
        <f t="shared" si="40"/>
        <v>0</v>
      </c>
      <c r="T42" s="189">
        <f t="shared" si="41"/>
        <v>0</v>
      </c>
      <c r="U42" s="189">
        <f t="shared" si="42"/>
        <v>0</v>
      </c>
      <c r="V42" s="189">
        <f t="shared" si="43"/>
        <v>0</v>
      </c>
      <c r="W42" s="189">
        <f t="shared" si="44"/>
        <v>0</v>
      </c>
      <c r="X42" s="189">
        <f>IF(OR(E42&gt;IF(G42&gt;0,VLOOKUP('Détails WTI'!G42,Grundlagen!$A$5:$G$9,4,FALSE),0),F42&gt;IF(G42&gt;0,VLOOKUP('Détails WTI'!G42,Grundlagen!$A$5:$G$9,7,FALSE),0)),H42*MAX(V42:W42),0)</f>
        <v>0</v>
      </c>
      <c r="Y42" s="189">
        <f t="shared" si="30"/>
        <v>0</v>
      </c>
      <c r="Z42" s="178">
        <f t="shared" si="31"/>
        <v>0</v>
      </c>
      <c r="AA42" s="190">
        <f t="shared" si="32"/>
        <v>0</v>
      </c>
      <c r="AB42" s="189">
        <f t="shared" si="33"/>
        <v>0</v>
      </c>
      <c r="AC42" s="189">
        <f t="shared" si="34"/>
        <v>0</v>
      </c>
      <c r="AD42" s="178">
        <f t="shared" si="45"/>
        <v>0</v>
      </c>
      <c r="AE42" s="191">
        <f t="shared" si="46"/>
        <v>0</v>
      </c>
      <c r="AF42" s="190">
        <f t="shared" si="47"/>
        <v>0</v>
      </c>
      <c r="AG42" s="189">
        <f t="shared" si="48"/>
        <v>0</v>
      </c>
      <c r="AH42" s="189">
        <f t="shared" si="49"/>
        <v>0</v>
      </c>
      <c r="AI42" s="178">
        <f t="shared" si="51"/>
        <v>0</v>
      </c>
      <c r="AJ42" s="191">
        <f>MAX(L42:M42)*H42</f>
        <v>0</v>
      </c>
      <c r="AK42" s="48"/>
      <c r="AL42" s="48"/>
      <c r="AM42" s="48"/>
    </row>
    <row r="43" spans="1:39" ht="12.75">
      <c r="A43" s="189">
        <f>'Charges acoustiques'!A21</f>
        <v>0</v>
      </c>
      <c r="B43" s="189">
        <f>'Charges acoustiques'!B21</f>
        <v>0</v>
      </c>
      <c r="C43" s="189">
        <f>'Charges acoustiques'!C21</f>
        <v>0</v>
      </c>
      <c r="D43" s="189">
        <f>'Charges acoustiques'!E21</f>
        <v>0</v>
      </c>
      <c r="E43" s="189">
        <f>'Charges acoustiques'!J21</f>
        <v>0</v>
      </c>
      <c r="F43" s="189">
        <f>'Charges acoustiques'!K21</f>
        <v>0</v>
      </c>
      <c r="G43" s="189">
        <f>'Charges acoustiques'!D21</f>
        <v>0</v>
      </c>
      <c r="H43" s="189">
        <f>'Charges acoustiques'!G21</f>
        <v>0</v>
      </c>
      <c r="I43" s="189">
        <f>IF('Charges acoustiques'!F21="x",0,1)</f>
        <v>1</v>
      </c>
      <c r="J43" s="189">
        <f>IF(G43&gt;0,VLOOKUP('Détails WTI'!G43,Grundlagen!$A$5:$G$9,3,FALSE),0)</f>
        <v>0</v>
      </c>
      <c r="K43" s="189">
        <f>IF(G43&gt;0,VLOOKUP('Détails WTI'!G43,Grundlagen!$A$5:$G$9,6,FALSE),0)</f>
        <v>0</v>
      </c>
      <c r="L43" s="189">
        <f t="shared" si="35"/>
        <v>0</v>
      </c>
      <c r="M43" s="189">
        <f t="shared" si="36"/>
        <v>0</v>
      </c>
      <c r="N43" s="189">
        <f t="shared" si="37"/>
        <v>0</v>
      </c>
      <c r="O43" s="189">
        <f t="shared" si="38"/>
        <v>0</v>
      </c>
      <c r="P43" s="189">
        <f>IF(G43&gt;0,VLOOKUP('Détails WTI'!G43,Grundlagen!$A$5:$G$9,4,FALSE),0)</f>
        <v>0</v>
      </c>
      <c r="Q43" s="189">
        <f>IF(G43&gt;0,VLOOKUP('Détails WTI'!G43,Grundlagen!$A$5:$G$9,7,FALSE),0)</f>
        <v>0</v>
      </c>
      <c r="R43" s="189">
        <f t="shared" si="39"/>
        <v>0</v>
      </c>
      <c r="S43" s="189">
        <f t="shared" si="40"/>
        <v>0</v>
      </c>
      <c r="T43" s="189">
        <f t="shared" si="41"/>
        <v>0</v>
      </c>
      <c r="U43" s="189">
        <f t="shared" si="42"/>
        <v>0</v>
      </c>
      <c r="V43" s="189">
        <f t="shared" si="43"/>
        <v>0</v>
      </c>
      <c r="W43" s="189">
        <f t="shared" si="44"/>
        <v>0</v>
      </c>
      <c r="X43" s="189">
        <f>IF(OR(E43&gt;IF(G43&gt;0,VLOOKUP('Détails WTI'!G43,Grundlagen!$A$5:$G$9,4,FALSE),0),F43&gt;IF(G43&gt;0,VLOOKUP('Détails WTI'!G43,Grundlagen!$A$5:$G$9,7,FALSE),0)),H43*MAX(V43:W43),0)</f>
        <v>0</v>
      </c>
      <c r="Y43" s="189">
        <f t="shared" si="30"/>
        <v>0</v>
      </c>
      <c r="Z43" s="178">
        <f t="shared" si="31"/>
        <v>0</v>
      </c>
      <c r="AA43" s="190">
        <f t="shared" si="32"/>
        <v>0</v>
      </c>
      <c r="AB43" s="189">
        <f t="shared" si="33"/>
        <v>0</v>
      </c>
      <c r="AC43" s="189">
        <f t="shared" si="34"/>
        <v>0</v>
      </c>
      <c r="AD43" s="178">
        <f t="shared" si="45"/>
        <v>0</v>
      </c>
      <c r="AE43" s="191">
        <f t="shared" si="46"/>
        <v>0</v>
      </c>
      <c r="AF43" s="190">
        <f t="shared" si="47"/>
        <v>0</v>
      </c>
      <c r="AG43" s="189">
        <f t="shared" si="48"/>
        <v>0</v>
      </c>
      <c r="AH43" s="189">
        <f t="shared" si="49"/>
        <v>0</v>
      </c>
      <c r="AI43" s="178">
        <f t="shared" si="51"/>
        <v>0</v>
      </c>
      <c r="AJ43" s="191">
        <f t="shared" si="50"/>
        <v>0</v>
      </c>
      <c r="AK43" s="48"/>
      <c r="AL43" s="48"/>
      <c r="AM43" s="48"/>
    </row>
    <row r="44" spans="1:39" ht="12.75">
      <c r="A44" s="189">
        <f>'Charges acoustiques'!A22</f>
        <v>0</v>
      </c>
      <c r="B44" s="189">
        <f>'Charges acoustiques'!B22</f>
        <v>0</v>
      </c>
      <c r="C44" s="189">
        <f>'Charges acoustiques'!C22</f>
        <v>0</v>
      </c>
      <c r="D44" s="189">
        <f>'Charges acoustiques'!E22</f>
        <v>0</v>
      </c>
      <c r="E44" s="189">
        <f>'Charges acoustiques'!J22</f>
        <v>0</v>
      </c>
      <c r="F44" s="189">
        <f>'Charges acoustiques'!K22</f>
        <v>0</v>
      </c>
      <c r="G44" s="189">
        <f>'Charges acoustiques'!D22</f>
        <v>0</v>
      </c>
      <c r="H44" s="189">
        <f>'Charges acoustiques'!G22</f>
        <v>0</v>
      </c>
      <c r="I44" s="189">
        <f>IF('Charges acoustiques'!F22="x",0,1)</f>
        <v>1</v>
      </c>
      <c r="J44" s="189">
        <f>IF(G44&gt;0,VLOOKUP('Détails WTI'!G44,Grundlagen!$A$5:$G$9,3,FALSE),0)</f>
        <v>0</v>
      </c>
      <c r="K44" s="189">
        <f>IF(G44&gt;0,VLOOKUP('Détails WTI'!G44,Grundlagen!$A$5:$G$9,6,FALSE),0)</f>
        <v>0</v>
      </c>
      <c r="L44" s="189">
        <f t="shared" si="35"/>
        <v>0</v>
      </c>
      <c r="M44" s="189">
        <f t="shared" si="36"/>
        <v>0</v>
      </c>
      <c r="N44" s="189">
        <f t="shared" si="37"/>
        <v>0</v>
      </c>
      <c r="O44" s="189">
        <f t="shared" si="38"/>
        <v>0</v>
      </c>
      <c r="P44" s="189">
        <f>IF(G44&gt;0,VLOOKUP('Détails WTI'!G44,Grundlagen!$A$5:$G$9,4,FALSE),0)</f>
        <v>0</v>
      </c>
      <c r="Q44" s="189">
        <f>IF(G44&gt;0,VLOOKUP('Détails WTI'!G44,Grundlagen!$A$5:$G$9,7,FALSE),0)</f>
        <v>0</v>
      </c>
      <c r="R44" s="189">
        <f t="shared" si="39"/>
        <v>0</v>
      </c>
      <c r="S44" s="189">
        <f t="shared" si="40"/>
        <v>0</v>
      </c>
      <c r="T44" s="189">
        <f t="shared" si="41"/>
        <v>0</v>
      </c>
      <c r="U44" s="189">
        <f t="shared" si="42"/>
        <v>0</v>
      </c>
      <c r="V44" s="189">
        <f t="shared" si="43"/>
        <v>0</v>
      </c>
      <c r="W44" s="189">
        <f t="shared" si="44"/>
        <v>0</v>
      </c>
      <c r="X44" s="189">
        <f>IF(OR(E44&gt;IF(G44&gt;0,VLOOKUP('Détails WTI'!G44,Grundlagen!$A$5:$G$9,4,FALSE),0),F44&gt;IF(G44&gt;0,VLOOKUP('Détails WTI'!G44,Grundlagen!$A$5:$G$9,7,FALSE),0)),H44*MAX(V44:W44),0)</f>
        <v>0</v>
      </c>
      <c r="Y44" s="189">
        <f t="shared" si="30"/>
        <v>0</v>
      </c>
      <c r="Z44" s="178">
        <f t="shared" si="31"/>
        <v>0</v>
      </c>
      <c r="AA44" s="190">
        <f t="shared" si="32"/>
        <v>0</v>
      </c>
      <c r="AB44" s="189">
        <f t="shared" si="33"/>
        <v>0</v>
      </c>
      <c r="AC44" s="189">
        <f t="shared" si="34"/>
        <v>0</v>
      </c>
      <c r="AD44" s="178">
        <f t="shared" si="45"/>
        <v>0</v>
      </c>
      <c r="AE44" s="191">
        <f t="shared" si="46"/>
        <v>0</v>
      </c>
      <c r="AF44" s="190">
        <f t="shared" si="47"/>
        <v>0</v>
      </c>
      <c r="AG44" s="189">
        <f t="shared" si="48"/>
        <v>0</v>
      </c>
      <c r="AH44" s="189">
        <f t="shared" si="49"/>
        <v>0</v>
      </c>
      <c r="AI44" s="178">
        <f t="shared" si="51"/>
        <v>0</v>
      </c>
      <c r="AJ44" s="191">
        <f t="shared" si="50"/>
        <v>0</v>
      </c>
      <c r="AK44" s="48"/>
      <c r="AL44" s="48"/>
      <c r="AM44" s="48"/>
    </row>
    <row r="45" spans="1:39" ht="12.75">
      <c r="A45" s="189">
        <f>'Charges acoustiques'!A23</f>
        <v>0</v>
      </c>
      <c r="B45" s="189">
        <f>'Charges acoustiques'!B23</f>
        <v>0</v>
      </c>
      <c r="C45" s="189">
        <f>'Charges acoustiques'!C23</f>
        <v>0</v>
      </c>
      <c r="D45" s="189">
        <f>'Charges acoustiques'!E23</f>
        <v>0</v>
      </c>
      <c r="E45" s="189">
        <f>'Charges acoustiques'!J23</f>
        <v>0</v>
      </c>
      <c r="F45" s="189">
        <f>'Charges acoustiques'!K23</f>
        <v>0</v>
      </c>
      <c r="G45" s="189">
        <f>'Charges acoustiques'!D23</f>
        <v>0</v>
      </c>
      <c r="H45" s="189">
        <f>'Charges acoustiques'!G23</f>
        <v>0</v>
      </c>
      <c r="I45" s="189">
        <f>IF('Charges acoustiques'!F23="x",0,1)</f>
        <v>1</v>
      </c>
      <c r="J45" s="189">
        <f>IF(G45&gt;0,VLOOKUP('Détails WTI'!G45,Grundlagen!$A$5:$G$9,3,FALSE),0)</f>
        <v>0</v>
      </c>
      <c r="K45" s="189">
        <f>IF(G45&gt;0,VLOOKUP('Détails WTI'!G45,Grundlagen!$A$5:$G$9,6,FALSE),0)</f>
        <v>0</v>
      </c>
      <c r="L45" s="189">
        <f t="shared" si="35"/>
        <v>0</v>
      </c>
      <c r="M45" s="189">
        <f t="shared" si="36"/>
        <v>0</v>
      </c>
      <c r="N45" s="189">
        <f t="shared" si="37"/>
        <v>0</v>
      </c>
      <c r="O45" s="189">
        <f t="shared" si="38"/>
        <v>0</v>
      </c>
      <c r="P45" s="189">
        <f>IF(G45&gt;0,VLOOKUP('Détails WTI'!G45,Grundlagen!$A$5:$G$9,4,FALSE),0)</f>
        <v>0</v>
      </c>
      <c r="Q45" s="189">
        <f>IF(G45&gt;0,VLOOKUP('Détails WTI'!G45,Grundlagen!$A$5:$G$9,7,FALSE),0)</f>
        <v>0</v>
      </c>
      <c r="R45" s="189">
        <f t="shared" si="39"/>
        <v>0</v>
      </c>
      <c r="S45" s="189">
        <f t="shared" si="40"/>
        <v>0</v>
      </c>
      <c r="T45" s="189">
        <f t="shared" si="41"/>
        <v>0</v>
      </c>
      <c r="U45" s="189">
        <f t="shared" si="42"/>
        <v>0</v>
      </c>
      <c r="V45" s="189">
        <f t="shared" si="43"/>
        <v>0</v>
      </c>
      <c r="W45" s="189">
        <f t="shared" si="44"/>
        <v>0</v>
      </c>
      <c r="X45" s="189">
        <f>IF(OR(E45&gt;IF(G45&gt;0,VLOOKUP('Détails WTI'!G45,Grundlagen!$A$5:$G$9,4,FALSE),0),F45&gt;IF(G45&gt;0,VLOOKUP('Détails WTI'!G45,Grundlagen!$A$5:$G$9,7,FALSE),0)),H45*MAX(V45:W45),0)</f>
        <v>0</v>
      </c>
      <c r="Y45" s="189">
        <f t="shared" si="30"/>
        <v>0</v>
      </c>
      <c r="Z45" s="178">
        <f t="shared" si="31"/>
        <v>0</v>
      </c>
      <c r="AA45" s="190">
        <f t="shared" si="32"/>
        <v>0</v>
      </c>
      <c r="AB45" s="189">
        <f t="shared" si="33"/>
        <v>0</v>
      </c>
      <c r="AC45" s="189">
        <f t="shared" si="34"/>
        <v>0</v>
      </c>
      <c r="AD45" s="178">
        <f t="shared" si="45"/>
        <v>0</v>
      </c>
      <c r="AE45" s="191">
        <f t="shared" si="46"/>
        <v>0</v>
      </c>
      <c r="AF45" s="190">
        <f t="shared" si="47"/>
        <v>0</v>
      </c>
      <c r="AG45" s="189">
        <f t="shared" si="48"/>
        <v>0</v>
      </c>
      <c r="AH45" s="189">
        <f t="shared" si="49"/>
        <v>0</v>
      </c>
      <c r="AI45" s="178">
        <f t="shared" si="51"/>
        <v>0</v>
      </c>
      <c r="AJ45" s="191">
        <f t="shared" si="50"/>
        <v>0</v>
      </c>
      <c r="AK45" s="48"/>
      <c r="AL45" s="48"/>
      <c r="AM45" s="48"/>
    </row>
    <row r="46" spans="1:39" ht="12.75">
      <c r="A46" s="189">
        <f>'Charges acoustiques'!A24</f>
        <v>0</v>
      </c>
      <c r="B46" s="189">
        <f>'Charges acoustiques'!B24</f>
        <v>0</v>
      </c>
      <c r="C46" s="189">
        <f>'Charges acoustiques'!C24</f>
        <v>0</v>
      </c>
      <c r="D46" s="189">
        <f>'Charges acoustiques'!E24</f>
        <v>0</v>
      </c>
      <c r="E46" s="189">
        <f>'Charges acoustiques'!J24</f>
        <v>0</v>
      </c>
      <c r="F46" s="189">
        <f>'Charges acoustiques'!K24</f>
        <v>0</v>
      </c>
      <c r="G46" s="189">
        <f>'Charges acoustiques'!D24</f>
        <v>0</v>
      </c>
      <c r="H46" s="189">
        <f>'Charges acoustiques'!G24</f>
        <v>0</v>
      </c>
      <c r="I46" s="189">
        <f>IF('Charges acoustiques'!F24="x",0,1)</f>
        <v>1</v>
      </c>
      <c r="J46" s="189">
        <f>IF(G46&gt;0,VLOOKUP('Détails WTI'!G46,Grundlagen!$A$5:$G$9,3,FALSE),0)</f>
        <v>0</v>
      </c>
      <c r="K46" s="189">
        <f>IF(G46&gt;0,VLOOKUP('Détails WTI'!G46,Grundlagen!$A$5:$G$9,6,FALSE),0)</f>
        <v>0</v>
      </c>
      <c r="L46" s="189">
        <f t="shared" si="35"/>
        <v>0</v>
      </c>
      <c r="M46" s="189">
        <f t="shared" si="36"/>
        <v>0</v>
      </c>
      <c r="N46" s="189">
        <f t="shared" si="37"/>
        <v>0</v>
      </c>
      <c r="O46" s="189">
        <f t="shared" si="38"/>
        <v>0</v>
      </c>
      <c r="P46" s="189">
        <f>IF(G46&gt;0,VLOOKUP('Détails WTI'!G46,Grundlagen!$A$5:$G$9,4,FALSE),0)</f>
        <v>0</v>
      </c>
      <c r="Q46" s="189">
        <f>IF(G46&gt;0,VLOOKUP('Détails WTI'!G46,Grundlagen!$A$5:$G$9,7,FALSE),0)</f>
        <v>0</v>
      </c>
      <c r="R46" s="189">
        <f t="shared" si="39"/>
        <v>0</v>
      </c>
      <c r="S46" s="189">
        <f t="shared" si="40"/>
        <v>0</v>
      </c>
      <c r="T46" s="189">
        <f t="shared" si="41"/>
        <v>0</v>
      </c>
      <c r="U46" s="189">
        <f t="shared" si="42"/>
        <v>0</v>
      </c>
      <c r="V46" s="189">
        <f t="shared" si="43"/>
        <v>0</v>
      </c>
      <c r="W46" s="189">
        <f t="shared" si="44"/>
        <v>0</v>
      </c>
      <c r="X46" s="189">
        <f>IF(OR(E46&gt;IF(G46&gt;0,VLOOKUP('Détails WTI'!G46,Grundlagen!$A$5:$G$9,4,FALSE),0),F46&gt;IF(G46&gt;0,VLOOKUP('Détails WTI'!G46,Grundlagen!$A$5:$G$9,7,FALSE),0)),H46*MAX(V46:W46),0)</f>
        <v>0</v>
      </c>
      <c r="Y46" s="189">
        <f t="shared" si="30"/>
        <v>0</v>
      </c>
      <c r="Z46" s="178">
        <f t="shared" si="31"/>
        <v>0</v>
      </c>
      <c r="AA46" s="190">
        <f t="shared" si="32"/>
        <v>0</v>
      </c>
      <c r="AB46" s="189">
        <f t="shared" si="33"/>
        <v>0</v>
      </c>
      <c r="AC46" s="189">
        <f t="shared" si="34"/>
        <v>0</v>
      </c>
      <c r="AD46" s="178">
        <f t="shared" si="45"/>
        <v>0</v>
      </c>
      <c r="AE46" s="191">
        <f>MAX(L46:M46)*H46*I46</f>
        <v>0</v>
      </c>
      <c r="AF46" s="190">
        <f t="shared" si="47"/>
        <v>0</v>
      </c>
      <c r="AG46" s="189">
        <f t="shared" si="48"/>
        <v>0</v>
      </c>
      <c r="AH46" s="189">
        <f t="shared" si="49"/>
        <v>0</v>
      </c>
      <c r="AI46" s="178">
        <f t="shared" si="51"/>
        <v>0</v>
      </c>
      <c r="AJ46" s="191">
        <f t="shared" si="50"/>
        <v>0</v>
      </c>
      <c r="AK46" s="48"/>
      <c r="AL46" s="48"/>
      <c r="AM46" s="48"/>
    </row>
    <row r="47" spans="1:39" ht="12.75">
      <c r="A47" s="189">
        <f>'Charges acoustiques'!A25</f>
        <v>0</v>
      </c>
      <c r="B47" s="189">
        <f>'Charges acoustiques'!B25</f>
        <v>0</v>
      </c>
      <c r="C47" s="189">
        <f>'Charges acoustiques'!C25</f>
        <v>0</v>
      </c>
      <c r="D47" s="189">
        <f>'Charges acoustiques'!E25</f>
        <v>0</v>
      </c>
      <c r="E47" s="189">
        <f>'Charges acoustiques'!J25</f>
        <v>0</v>
      </c>
      <c r="F47" s="189">
        <f>'Charges acoustiques'!K25</f>
        <v>0</v>
      </c>
      <c r="G47" s="189">
        <f>'Charges acoustiques'!D25</f>
        <v>0</v>
      </c>
      <c r="H47" s="189">
        <f>'Charges acoustiques'!G25</f>
        <v>0</v>
      </c>
      <c r="I47" s="189">
        <f>IF('Charges acoustiques'!F25="x",0,1)</f>
        <v>1</v>
      </c>
      <c r="J47" s="189">
        <f>IF(G47&gt;0,VLOOKUP('Détails WTI'!G47,Grundlagen!$A$5:$G$9,3,FALSE),0)</f>
        <v>0</v>
      </c>
      <c r="K47" s="189">
        <f>IF(G47&gt;0,VLOOKUP('Détails WTI'!G47,Grundlagen!$A$5:$G$9,6,FALSE),0)</f>
        <v>0</v>
      </c>
      <c r="L47" s="189">
        <f t="shared" si="35"/>
        <v>0</v>
      </c>
      <c r="M47" s="189">
        <f t="shared" si="36"/>
        <v>0</v>
      </c>
      <c r="N47" s="189">
        <f t="shared" si="37"/>
        <v>0</v>
      </c>
      <c r="O47" s="189">
        <f t="shared" si="38"/>
        <v>0</v>
      </c>
      <c r="P47" s="189">
        <f>IF(G47&gt;0,VLOOKUP('Détails WTI'!G47,Grundlagen!$A$5:$G$9,4,FALSE),0)</f>
        <v>0</v>
      </c>
      <c r="Q47" s="189">
        <f>IF(G47&gt;0,VLOOKUP('Détails WTI'!G47,Grundlagen!$A$5:$G$9,7,FALSE),0)</f>
        <v>0</v>
      </c>
      <c r="R47" s="189">
        <f t="shared" si="39"/>
        <v>0</v>
      </c>
      <c r="S47" s="189">
        <f t="shared" si="40"/>
        <v>0</v>
      </c>
      <c r="T47" s="189">
        <f t="shared" si="41"/>
        <v>0</v>
      </c>
      <c r="U47" s="189">
        <f t="shared" si="42"/>
        <v>0</v>
      </c>
      <c r="V47" s="189">
        <f t="shared" si="43"/>
        <v>0</v>
      </c>
      <c r="W47" s="189">
        <f t="shared" si="44"/>
        <v>0</v>
      </c>
      <c r="X47" s="189">
        <f>IF(OR(E47&gt;IF(G47&gt;0,VLOOKUP('Détails WTI'!G47,Grundlagen!$A$5:$G$9,4,FALSE),0),F47&gt;IF(G47&gt;0,VLOOKUP('Détails WTI'!G47,Grundlagen!$A$5:$G$9,7,FALSE),0)),H47*MAX(V47:W47),0)</f>
        <v>0</v>
      </c>
      <c r="Y47" s="189">
        <f t="shared" si="30"/>
        <v>0</v>
      </c>
      <c r="Z47" s="178">
        <f t="shared" si="31"/>
        <v>0</v>
      </c>
      <c r="AA47" s="190">
        <f t="shared" si="32"/>
        <v>0</v>
      </c>
      <c r="AB47" s="189">
        <f t="shared" si="33"/>
        <v>0</v>
      </c>
      <c r="AC47" s="189">
        <f t="shared" si="34"/>
        <v>0</v>
      </c>
      <c r="AD47" s="178">
        <f t="shared" si="45"/>
        <v>0</v>
      </c>
      <c r="AE47" s="191">
        <f t="shared" si="46"/>
        <v>0</v>
      </c>
      <c r="AF47" s="190">
        <f t="shared" si="47"/>
        <v>0</v>
      </c>
      <c r="AG47" s="189">
        <f t="shared" si="48"/>
        <v>0</v>
      </c>
      <c r="AH47" s="189">
        <f t="shared" si="49"/>
        <v>0</v>
      </c>
      <c r="AI47" s="178">
        <f t="shared" si="51"/>
        <v>0</v>
      </c>
      <c r="AJ47" s="191">
        <f t="shared" si="50"/>
        <v>0</v>
      </c>
      <c r="AK47" s="48"/>
      <c r="AL47" s="48"/>
      <c r="AM47" s="48"/>
    </row>
    <row r="48" spans="1:39" ht="12.75">
      <c r="A48" s="189">
        <f>'Charges acoustiques'!A26</f>
        <v>0</v>
      </c>
      <c r="B48" s="189">
        <f>'Charges acoustiques'!B26</f>
        <v>0</v>
      </c>
      <c r="C48" s="189">
        <f>'Charges acoustiques'!C26</f>
        <v>0</v>
      </c>
      <c r="D48" s="189">
        <f>'Charges acoustiques'!E26</f>
        <v>0</v>
      </c>
      <c r="E48" s="189">
        <f>'Charges acoustiques'!J26</f>
        <v>0</v>
      </c>
      <c r="F48" s="189">
        <f>'Charges acoustiques'!K26</f>
        <v>0</v>
      </c>
      <c r="G48" s="189">
        <f>'Charges acoustiques'!D26</f>
        <v>0</v>
      </c>
      <c r="H48" s="189">
        <f>'Charges acoustiques'!G26</f>
        <v>0</v>
      </c>
      <c r="I48" s="189">
        <f>IF('Charges acoustiques'!F26="x",0,1)</f>
        <v>1</v>
      </c>
      <c r="J48" s="189">
        <f>IF(G48&gt;0,VLOOKUP('Détails WTI'!G48,Grundlagen!$A$5:$G$9,3,FALSE),0)</f>
        <v>0</v>
      </c>
      <c r="K48" s="189">
        <f>IF(G48&gt;0,VLOOKUP('Détails WTI'!G48,Grundlagen!$A$5:$G$9,6,FALSE),0)</f>
        <v>0</v>
      </c>
      <c r="L48" s="189">
        <f t="shared" si="35"/>
        <v>0</v>
      </c>
      <c r="M48" s="189">
        <f t="shared" si="36"/>
        <v>0</v>
      </c>
      <c r="N48" s="189">
        <f t="shared" si="37"/>
        <v>0</v>
      </c>
      <c r="O48" s="189">
        <f t="shared" si="38"/>
        <v>0</v>
      </c>
      <c r="P48" s="189">
        <f>IF(G48&gt;0,VLOOKUP('Détails WTI'!G48,Grundlagen!$A$5:$G$9,4,FALSE),0)</f>
        <v>0</v>
      </c>
      <c r="Q48" s="189">
        <f>IF(G48&gt;0,VLOOKUP('Détails WTI'!G48,Grundlagen!$A$5:$G$9,7,FALSE),0)</f>
        <v>0</v>
      </c>
      <c r="R48" s="189">
        <f t="shared" si="39"/>
        <v>0</v>
      </c>
      <c r="S48" s="189">
        <f t="shared" si="40"/>
        <v>0</v>
      </c>
      <c r="T48" s="189">
        <f t="shared" si="41"/>
        <v>0</v>
      </c>
      <c r="U48" s="189">
        <f t="shared" si="42"/>
        <v>0</v>
      </c>
      <c r="V48" s="189">
        <f t="shared" si="43"/>
        <v>0</v>
      </c>
      <c r="W48" s="189">
        <f t="shared" si="44"/>
        <v>0</v>
      </c>
      <c r="X48" s="189">
        <f>IF(OR(E48&gt;IF(G48&gt;0,VLOOKUP('Détails WTI'!G48,Grundlagen!$A$5:$G$9,4,FALSE),0),F48&gt;IF(G48&gt;0,VLOOKUP('Détails WTI'!G48,Grundlagen!$A$5:$G$9,7,FALSE),0)),H48*MAX(V48:W48),0)</f>
        <v>0</v>
      </c>
      <c r="Y48" s="189">
        <f t="shared" si="30"/>
        <v>0</v>
      </c>
      <c r="Z48" s="178">
        <f t="shared" si="31"/>
        <v>0</v>
      </c>
      <c r="AA48" s="190">
        <f t="shared" si="32"/>
        <v>0</v>
      </c>
      <c r="AB48" s="189">
        <f>Y48*$AC$2*$AB$4*I48</f>
        <v>0</v>
      </c>
      <c r="AC48" s="189">
        <f t="shared" si="34"/>
        <v>0</v>
      </c>
      <c r="AD48" s="178">
        <f t="shared" si="45"/>
        <v>0</v>
      </c>
      <c r="AE48" s="191">
        <f t="shared" si="46"/>
        <v>0</v>
      </c>
      <c r="AF48" s="190">
        <f t="shared" si="47"/>
        <v>0</v>
      </c>
      <c r="AG48" s="189">
        <f t="shared" si="48"/>
        <v>0</v>
      </c>
      <c r="AH48" s="189">
        <f t="shared" si="49"/>
        <v>0</v>
      </c>
      <c r="AI48" s="178">
        <f t="shared" si="51"/>
        <v>0</v>
      </c>
      <c r="AJ48" s="191">
        <f t="shared" si="50"/>
        <v>0</v>
      </c>
      <c r="AK48" s="48"/>
      <c r="AL48" s="48"/>
      <c r="AM48" s="48"/>
    </row>
    <row r="49" spans="1:39" ht="12.75">
      <c r="A49" s="189">
        <f>'Charges acoustiques'!A27</f>
        <v>0</v>
      </c>
      <c r="B49" s="189">
        <f>'Charges acoustiques'!B27</f>
        <v>0</v>
      </c>
      <c r="C49" s="189">
        <f>'Charges acoustiques'!C27</f>
        <v>0</v>
      </c>
      <c r="D49" s="189">
        <f>'Charges acoustiques'!E27</f>
        <v>0</v>
      </c>
      <c r="E49" s="189">
        <f>'Charges acoustiques'!J27</f>
        <v>0</v>
      </c>
      <c r="F49" s="189">
        <f>'Charges acoustiques'!K27</f>
        <v>0</v>
      </c>
      <c r="G49" s="189">
        <f>'Charges acoustiques'!D27</f>
        <v>0</v>
      </c>
      <c r="H49" s="189">
        <f>'Charges acoustiques'!G27</f>
        <v>0</v>
      </c>
      <c r="I49" s="189">
        <f>IF('Charges acoustiques'!F27="x",0,1)</f>
        <v>1</v>
      </c>
      <c r="J49" s="189">
        <f>IF(G49&gt;0,VLOOKUP('Détails WTI'!G49,Grundlagen!$A$5:$G$9,3,FALSE),0)</f>
        <v>0</v>
      </c>
      <c r="K49" s="189">
        <f>IF(G49&gt;0,VLOOKUP('Détails WTI'!G49,Grundlagen!$A$5:$G$9,6,FALSE),0)</f>
        <v>0</v>
      </c>
      <c r="L49" s="189">
        <f t="shared" si="35"/>
        <v>0</v>
      </c>
      <c r="M49" s="189">
        <f t="shared" si="36"/>
        <v>0</v>
      </c>
      <c r="N49" s="189">
        <f t="shared" si="37"/>
        <v>0</v>
      </c>
      <c r="O49" s="189">
        <f t="shared" si="38"/>
        <v>0</v>
      </c>
      <c r="P49" s="189">
        <f>IF(G49&gt;0,VLOOKUP('Détails WTI'!G49,Grundlagen!$A$5:$G$9,4,FALSE),0)</f>
        <v>0</v>
      </c>
      <c r="Q49" s="189">
        <f>IF(G49&gt;0,VLOOKUP('Détails WTI'!G49,Grundlagen!$A$5:$G$9,7,FALSE),0)</f>
        <v>0</v>
      </c>
      <c r="R49" s="189">
        <f t="shared" si="39"/>
        <v>0</v>
      </c>
      <c r="S49" s="189">
        <f t="shared" si="40"/>
        <v>0</v>
      </c>
      <c r="T49" s="189">
        <f t="shared" si="41"/>
        <v>0</v>
      </c>
      <c r="U49" s="189">
        <f t="shared" si="42"/>
        <v>0</v>
      </c>
      <c r="V49" s="189">
        <f t="shared" si="43"/>
        <v>0</v>
      </c>
      <c r="W49" s="189">
        <f t="shared" si="44"/>
        <v>0</v>
      </c>
      <c r="X49" s="189">
        <f>IF(OR(E49&gt;IF(G49&gt;0,VLOOKUP('Détails WTI'!G49,Grundlagen!$A$5:$G$9,4,FALSE),0),F49&gt;IF(G49&gt;0,VLOOKUP('Détails WTI'!G49,Grundlagen!$A$5:$G$9,7,FALSE),0)),H49*MAX(V49:W49),0)</f>
        <v>0</v>
      </c>
      <c r="Y49" s="189">
        <f t="shared" si="30"/>
        <v>0</v>
      </c>
      <c r="Z49" s="178">
        <f t="shared" si="31"/>
        <v>0</v>
      </c>
      <c r="AA49" s="190">
        <f t="shared" si="32"/>
        <v>0</v>
      </c>
      <c r="AB49" s="189">
        <f t="shared" si="33"/>
        <v>0</v>
      </c>
      <c r="AC49" s="189">
        <f t="shared" si="34"/>
        <v>0</v>
      </c>
      <c r="AD49" s="178">
        <f>SUM(AA49+AB49+AC49)*$N49</f>
        <v>0</v>
      </c>
      <c r="AE49" s="191">
        <f t="shared" si="46"/>
        <v>0</v>
      </c>
      <c r="AF49" s="190">
        <f t="shared" si="47"/>
        <v>0</v>
      </c>
      <c r="AG49" s="189">
        <f t="shared" si="48"/>
        <v>0</v>
      </c>
      <c r="AH49" s="189">
        <f t="shared" si="49"/>
        <v>0</v>
      </c>
      <c r="AI49" s="178">
        <f t="shared" si="51"/>
        <v>0</v>
      </c>
      <c r="AJ49" s="191">
        <f t="shared" si="50"/>
        <v>0</v>
      </c>
      <c r="AK49" s="48"/>
      <c r="AL49" s="48"/>
      <c r="AM49" s="48"/>
    </row>
    <row r="50" spans="1:39" ht="12.75">
      <c r="A50" s="189">
        <f>'Charges acoustiques'!A28</f>
        <v>0</v>
      </c>
      <c r="B50" s="189">
        <f>'Charges acoustiques'!B28</f>
        <v>0</v>
      </c>
      <c r="C50" s="189">
        <f>'Charges acoustiques'!C28</f>
        <v>0</v>
      </c>
      <c r="D50" s="189">
        <f>'Charges acoustiques'!E28</f>
        <v>0</v>
      </c>
      <c r="E50" s="189">
        <f>'Charges acoustiques'!J28</f>
        <v>0</v>
      </c>
      <c r="F50" s="189">
        <f>'Charges acoustiques'!K28</f>
        <v>0</v>
      </c>
      <c r="G50" s="189">
        <f>'Charges acoustiques'!D28</f>
        <v>0</v>
      </c>
      <c r="H50" s="189">
        <f>'Charges acoustiques'!G28</f>
        <v>0</v>
      </c>
      <c r="I50" s="189">
        <f>IF('Charges acoustiques'!F28="x",0,1)</f>
        <v>1</v>
      </c>
      <c r="J50" s="189">
        <f>IF(G50&gt;0,VLOOKUP('Détails WTI'!G50,Grundlagen!$A$5:$G$9,3,FALSE),0)</f>
        <v>0</v>
      </c>
      <c r="K50" s="189">
        <f>IF(G50&gt;0,VLOOKUP('Détails WTI'!G50,Grundlagen!$A$5:$G$9,6,FALSE),0)</f>
        <v>0</v>
      </c>
      <c r="L50" s="189">
        <f t="shared" si="35"/>
        <v>0</v>
      </c>
      <c r="M50" s="189">
        <f t="shared" si="36"/>
        <v>0</v>
      </c>
      <c r="N50" s="189">
        <f t="shared" si="37"/>
        <v>0</v>
      </c>
      <c r="O50" s="189">
        <f t="shared" si="38"/>
        <v>0</v>
      </c>
      <c r="P50" s="189">
        <f>IF(G50&gt;0,VLOOKUP('Détails WTI'!G50,Grundlagen!$A$5:$G$9,4,FALSE),0)</f>
        <v>0</v>
      </c>
      <c r="Q50" s="189">
        <f>IF(G50&gt;0,VLOOKUP('Détails WTI'!G50,Grundlagen!$A$5:$G$9,7,FALSE),0)</f>
        <v>0</v>
      </c>
      <c r="R50" s="189">
        <f t="shared" si="39"/>
        <v>0</v>
      </c>
      <c r="S50" s="189">
        <f t="shared" si="40"/>
        <v>0</v>
      </c>
      <c r="T50" s="189">
        <f t="shared" si="41"/>
        <v>0</v>
      </c>
      <c r="U50" s="189">
        <f t="shared" si="42"/>
        <v>0</v>
      </c>
      <c r="V50" s="189">
        <f t="shared" si="43"/>
        <v>0</v>
      </c>
      <c r="W50" s="189">
        <f t="shared" si="44"/>
        <v>0</v>
      </c>
      <c r="X50" s="189">
        <f>IF(OR(E50&gt;IF(G50&gt;0,VLOOKUP('Détails WTI'!G50,Grundlagen!$A$5:$G$9,4,FALSE),0),F50&gt;IF(G50&gt;0,VLOOKUP('Détails WTI'!G50,Grundlagen!$A$5:$G$9,7,FALSE),0)),H50*MAX(V50:W50),0)</f>
        <v>0</v>
      </c>
      <c r="Y50" s="189">
        <f t="shared" si="30"/>
        <v>0</v>
      </c>
      <c r="Z50" s="178">
        <f t="shared" si="31"/>
        <v>0</v>
      </c>
      <c r="AA50" s="190">
        <f t="shared" si="32"/>
        <v>0</v>
      </c>
      <c r="AB50" s="189">
        <f t="shared" si="33"/>
        <v>0</v>
      </c>
      <c r="AC50" s="189">
        <f t="shared" si="34"/>
        <v>0</v>
      </c>
      <c r="AD50" s="178">
        <f t="shared" si="45"/>
        <v>0</v>
      </c>
      <c r="AE50" s="191">
        <f t="shared" si="46"/>
        <v>0</v>
      </c>
      <c r="AF50" s="190">
        <f t="shared" si="47"/>
        <v>0</v>
      </c>
      <c r="AG50" s="189">
        <f t="shared" si="48"/>
        <v>0</v>
      </c>
      <c r="AH50" s="189">
        <f t="shared" si="49"/>
        <v>0</v>
      </c>
      <c r="AI50" s="178">
        <f t="shared" si="51"/>
        <v>0</v>
      </c>
      <c r="AJ50" s="191">
        <f t="shared" si="50"/>
        <v>0</v>
      </c>
      <c r="AK50" s="48"/>
      <c r="AL50" s="48"/>
      <c r="AM50" s="48"/>
    </row>
    <row r="51" spans="1:39" ht="12.75">
      <c r="A51" s="189">
        <f>'Charges acoustiques'!A29</f>
        <v>0</v>
      </c>
      <c r="B51" s="189">
        <f>'Charges acoustiques'!B29</f>
        <v>0</v>
      </c>
      <c r="C51" s="189">
        <f>'Charges acoustiques'!C29</f>
        <v>0</v>
      </c>
      <c r="D51" s="189">
        <f>'Charges acoustiques'!E29</f>
        <v>0</v>
      </c>
      <c r="E51" s="189">
        <f>'Charges acoustiques'!J29</f>
        <v>0</v>
      </c>
      <c r="F51" s="189">
        <f>'Charges acoustiques'!K29</f>
        <v>0</v>
      </c>
      <c r="G51" s="189">
        <f>'Charges acoustiques'!D29</f>
        <v>0</v>
      </c>
      <c r="H51" s="189">
        <f>'Charges acoustiques'!G29</f>
        <v>0</v>
      </c>
      <c r="I51" s="189">
        <f>IF('Charges acoustiques'!F29="x",0,1)</f>
        <v>1</v>
      </c>
      <c r="J51" s="189">
        <f>IF(G51&gt;0,VLOOKUP('Détails WTI'!G51,Grundlagen!$A$5:$G$9,3,FALSE),0)</f>
        <v>0</v>
      </c>
      <c r="K51" s="189">
        <f>IF(G51&gt;0,VLOOKUP('Détails WTI'!G51,Grundlagen!$A$5:$G$9,6,FALSE),0)</f>
        <v>0</v>
      </c>
      <c r="L51" s="189">
        <f t="shared" si="35"/>
        <v>0</v>
      </c>
      <c r="M51" s="189">
        <f t="shared" si="36"/>
        <v>0</v>
      </c>
      <c r="N51" s="189">
        <f t="shared" si="37"/>
        <v>0</v>
      </c>
      <c r="O51" s="189">
        <f t="shared" si="38"/>
        <v>0</v>
      </c>
      <c r="P51" s="189">
        <f>IF(G51&gt;0,VLOOKUP('Détails WTI'!G51,Grundlagen!$A$5:$G$9,4,FALSE),0)</f>
        <v>0</v>
      </c>
      <c r="Q51" s="189">
        <f>IF(G51&gt;0,VLOOKUP('Détails WTI'!G51,Grundlagen!$A$5:$G$9,7,FALSE),0)</f>
        <v>0</v>
      </c>
      <c r="R51" s="189">
        <f t="shared" si="39"/>
        <v>0</v>
      </c>
      <c r="S51" s="189">
        <f t="shared" si="40"/>
        <v>0</v>
      </c>
      <c r="T51" s="189">
        <f t="shared" si="41"/>
        <v>0</v>
      </c>
      <c r="U51" s="189">
        <f t="shared" si="42"/>
        <v>0</v>
      </c>
      <c r="V51" s="189">
        <f t="shared" si="43"/>
        <v>0</v>
      </c>
      <c r="W51" s="189">
        <f t="shared" si="44"/>
        <v>0</v>
      </c>
      <c r="X51" s="189">
        <f>IF(OR(E51&gt;IF(G51&gt;0,VLOOKUP('Détails WTI'!G51,Grundlagen!$A$5:$G$9,4,FALSE),0),F51&gt;IF(G51&gt;0,VLOOKUP('Détails WTI'!G51,Grundlagen!$A$5:$G$9,7,FALSE),0)),H51*MAX(V51:W51),0)</f>
        <v>0</v>
      </c>
      <c r="Y51" s="189">
        <f t="shared" si="30"/>
        <v>0</v>
      </c>
      <c r="Z51" s="178">
        <f t="shared" si="31"/>
        <v>0</v>
      </c>
      <c r="AA51" s="190">
        <f t="shared" si="32"/>
        <v>0</v>
      </c>
      <c r="AB51" s="189">
        <f t="shared" si="33"/>
        <v>0</v>
      </c>
      <c r="AC51" s="189">
        <f t="shared" si="34"/>
        <v>0</v>
      </c>
      <c r="AD51" s="178">
        <f t="shared" si="45"/>
        <v>0</v>
      </c>
      <c r="AE51" s="191">
        <f t="shared" si="46"/>
        <v>0</v>
      </c>
      <c r="AF51" s="190">
        <f t="shared" si="47"/>
        <v>0</v>
      </c>
      <c r="AG51" s="189">
        <f t="shared" si="48"/>
        <v>0</v>
      </c>
      <c r="AH51" s="189">
        <f t="shared" si="49"/>
        <v>0</v>
      </c>
      <c r="AI51" s="178">
        <f t="shared" si="51"/>
        <v>0</v>
      </c>
      <c r="AJ51" s="191">
        <f t="shared" si="50"/>
        <v>0</v>
      </c>
      <c r="AK51" s="48"/>
      <c r="AL51" s="48"/>
      <c r="AM51" s="48"/>
    </row>
    <row r="52" spans="1:39" ht="12.75">
      <c r="A52" s="189">
        <f>'Charges acoustiques'!A30</f>
        <v>0</v>
      </c>
      <c r="B52" s="189">
        <f>'Charges acoustiques'!B30</f>
        <v>0</v>
      </c>
      <c r="C52" s="189">
        <f>'Charges acoustiques'!C30</f>
        <v>0</v>
      </c>
      <c r="D52" s="189">
        <f>'Charges acoustiques'!E30</f>
        <v>0</v>
      </c>
      <c r="E52" s="189">
        <f>'Charges acoustiques'!J30</f>
        <v>0</v>
      </c>
      <c r="F52" s="189">
        <f>'Charges acoustiques'!K30</f>
        <v>0</v>
      </c>
      <c r="G52" s="189">
        <f>'Charges acoustiques'!D30</f>
        <v>0</v>
      </c>
      <c r="H52" s="189">
        <f>'Charges acoustiques'!G30</f>
        <v>0</v>
      </c>
      <c r="I52" s="189">
        <f>IF('Charges acoustiques'!F30="x",0,1)</f>
        <v>1</v>
      </c>
      <c r="J52" s="189">
        <f>IF(G52&gt;0,VLOOKUP('Détails WTI'!G52,Grundlagen!$A$5:$G$9,3,FALSE),0)</f>
        <v>0</v>
      </c>
      <c r="K52" s="189">
        <f>IF(G52&gt;0,VLOOKUP('Détails WTI'!G52,Grundlagen!$A$5:$G$9,6,FALSE),0)</f>
        <v>0</v>
      </c>
      <c r="L52" s="189">
        <f t="shared" si="35"/>
        <v>0</v>
      </c>
      <c r="M52" s="189">
        <f t="shared" si="36"/>
        <v>0</v>
      </c>
      <c r="N52" s="189">
        <f t="shared" si="37"/>
        <v>0</v>
      </c>
      <c r="O52" s="189">
        <f t="shared" si="38"/>
        <v>0</v>
      </c>
      <c r="P52" s="189">
        <f>IF(G52&gt;0,VLOOKUP('Détails WTI'!G52,Grundlagen!$A$5:$G$9,4,FALSE),0)</f>
        <v>0</v>
      </c>
      <c r="Q52" s="189">
        <f>IF(G52&gt;0,VLOOKUP('Détails WTI'!G52,Grundlagen!$A$5:$G$9,7,FALSE),0)</f>
        <v>0</v>
      </c>
      <c r="R52" s="189">
        <f t="shared" si="39"/>
        <v>0</v>
      </c>
      <c r="S52" s="189">
        <f t="shared" si="40"/>
        <v>0</v>
      </c>
      <c r="T52" s="189">
        <f t="shared" si="41"/>
        <v>0</v>
      </c>
      <c r="U52" s="189">
        <f t="shared" si="42"/>
        <v>0</v>
      </c>
      <c r="V52" s="189">
        <f t="shared" si="43"/>
        <v>0</v>
      </c>
      <c r="W52" s="189">
        <f t="shared" si="44"/>
        <v>0</v>
      </c>
      <c r="X52" s="189">
        <f>IF(OR(E52&gt;IF(G52&gt;0,VLOOKUP('Détails WTI'!G52,Grundlagen!$A$5:$G$9,4,FALSE),0),F52&gt;IF(G52&gt;0,VLOOKUP('Détails WTI'!G52,Grundlagen!$A$5:$G$9,7,FALSE),0)),H52*MAX(V52:W52),0)</f>
        <v>0</v>
      </c>
      <c r="Y52" s="189">
        <f t="shared" si="30"/>
        <v>0</v>
      </c>
      <c r="Z52" s="178">
        <f t="shared" si="31"/>
        <v>0</v>
      </c>
      <c r="AA52" s="190">
        <f t="shared" si="32"/>
        <v>0</v>
      </c>
      <c r="AB52" s="189">
        <f t="shared" si="33"/>
        <v>0</v>
      </c>
      <c r="AC52" s="189">
        <f t="shared" si="34"/>
        <v>0</v>
      </c>
      <c r="AD52" s="178">
        <f t="shared" si="45"/>
        <v>0</v>
      </c>
      <c r="AE52" s="191">
        <f t="shared" si="46"/>
        <v>0</v>
      </c>
      <c r="AF52" s="190">
        <f t="shared" si="47"/>
        <v>0</v>
      </c>
      <c r="AG52" s="189">
        <f>Y52*$AC$2*$AB$4</f>
        <v>0</v>
      </c>
      <c r="AH52" s="189">
        <f t="shared" si="49"/>
        <v>0</v>
      </c>
      <c r="AI52" s="178">
        <f>SUM(AF52+AG52+AH52)*$N52</f>
        <v>0</v>
      </c>
      <c r="AJ52" s="191">
        <f t="shared" si="50"/>
        <v>0</v>
      </c>
      <c r="AK52" s="48"/>
      <c r="AL52" s="48"/>
      <c r="AM52" s="48"/>
    </row>
    <row r="53" spans="1:39" ht="12.75">
      <c r="A53" s="189">
        <f>'Charges acoustiques'!A31</f>
        <v>0</v>
      </c>
      <c r="B53" s="189">
        <f>'Charges acoustiques'!B31</f>
        <v>0</v>
      </c>
      <c r="C53" s="189">
        <f>'Charges acoustiques'!C31</f>
        <v>0</v>
      </c>
      <c r="D53" s="189">
        <f>'Charges acoustiques'!E31</f>
        <v>0</v>
      </c>
      <c r="E53" s="189">
        <f>'Charges acoustiques'!J31</f>
        <v>0</v>
      </c>
      <c r="F53" s="189">
        <f>'Charges acoustiques'!K31</f>
        <v>0</v>
      </c>
      <c r="G53" s="189">
        <f>'Charges acoustiques'!D31</f>
        <v>0</v>
      </c>
      <c r="H53" s="189">
        <f>'Charges acoustiques'!G31</f>
        <v>0</v>
      </c>
      <c r="I53" s="189">
        <f>IF('Charges acoustiques'!F31="x",0,1)</f>
        <v>1</v>
      </c>
      <c r="J53" s="189">
        <f>IF(G53&gt;0,VLOOKUP('Détails WTI'!G53,Grundlagen!$A$5:$G$9,3,FALSE),0)</f>
        <v>0</v>
      </c>
      <c r="K53" s="189">
        <f>IF(G53&gt;0,VLOOKUP('Détails WTI'!G53,Grundlagen!$A$5:$G$9,6,FALSE),0)</f>
        <v>0</v>
      </c>
      <c r="L53" s="189">
        <f aca="true" t="shared" si="52" ref="L53:L59">IF(E53&gt;J53,E53-J53,0)</f>
        <v>0</v>
      </c>
      <c r="M53" s="189">
        <f aca="true" t="shared" si="53" ref="M53:M59">IF(F53&gt;K53,F53-K53,0)</f>
        <v>0</v>
      </c>
      <c r="N53" s="189">
        <f aca="true" t="shared" si="54" ref="N53:N59">IF(L53&gt;0,1,IF(M53&gt;0,1,0))</f>
        <v>0</v>
      </c>
      <c r="O53" s="189">
        <f t="shared" si="38"/>
        <v>0</v>
      </c>
      <c r="P53" s="189">
        <f>IF(G53&gt;0,VLOOKUP('Détails WTI'!G53,Grundlagen!$A$5:$G$9,4,FALSE),0)</f>
        <v>0</v>
      </c>
      <c r="Q53" s="189">
        <f>IF(G53&gt;0,VLOOKUP('Détails WTI'!G53,Grundlagen!$A$5:$G$9,7,FALSE),0)</f>
        <v>0</v>
      </c>
      <c r="R53" s="189">
        <f t="shared" si="39"/>
        <v>0</v>
      </c>
      <c r="S53" s="189">
        <f t="shared" si="40"/>
        <v>0</v>
      </c>
      <c r="T53" s="189">
        <f t="shared" si="41"/>
        <v>0</v>
      </c>
      <c r="U53" s="189">
        <f t="shared" si="42"/>
        <v>0</v>
      </c>
      <c r="V53" s="189">
        <f aca="true" t="shared" si="55" ref="V53:V59">IF(G53&gt;0,IF(J53&lt;&gt;"",IF(E53&gt;(J53-5),E53-(J53-5),0),""),0)</f>
        <v>0</v>
      </c>
      <c r="W53" s="189">
        <f aca="true" t="shared" si="56" ref="W53:W59">IF(G53&gt;0,IF(F53&gt;(K53-5),F53-(K53-5),0),0)</f>
        <v>0</v>
      </c>
      <c r="X53" s="189">
        <f>IF(OR(E53&gt;IF(G53&gt;0,VLOOKUP('Détails WTI'!G53,Grundlagen!$A$5:$G$9,4,FALSE),0),F53&gt;IF(G53&gt;0,VLOOKUP('Détails WTI'!G53,Grundlagen!$A$5:$G$9,7,FALSE),0)),H53*MAX(V53:W53),0)</f>
        <v>0</v>
      </c>
      <c r="Y53" s="189">
        <f t="shared" si="30"/>
        <v>0</v>
      </c>
      <c r="Z53" s="178">
        <f aca="true" t="shared" si="57" ref="Z53:Z59">IF(Y53+X53=0,IF(OR($E53&gt;$J53-5,$F53&gt;$K53-5),$H53*MAX($V53:$W53),0),0)</f>
        <v>0</v>
      </c>
      <c r="AA53" s="190">
        <f t="shared" si="32"/>
        <v>0</v>
      </c>
      <c r="AB53" s="189">
        <f t="shared" si="33"/>
        <v>0</v>
      </c>
      <c r="AC53" s="189">
        <f t="shared" si="34"/>
        <v>0</v>
      </c>
      <c r="AD53" s="178">
        <f t="shared" si="45"/>
        <v>0</v>
      </c>
      <c r="AE53" s="191">
        <f t="shared" si="46"/>
        <v>0</v>
      </c>
      <c r="AF53" s="190">
        <f t="shared" si="47"/>
        <v>0</v>
      </c>
      <c r="AG53" s="189">
        <f t="shared" si="48"/>
        <v>0</v>
      </c>
      <c r="AH53" s="189">
        <f t="shared" si="49"/>
        <v>0</v>
      </c>
      <c r="AI53" s="178">
        <f t="shared" si="51"/>
        <v>0</v>
      </c>
      <c r="AJ53" s="191">
        <f t="shared" si="50"/>
        <v>0</v>
      </c>
      <c r="AK53" s="48"/>
      <c r="AL53" s="48"/>
      <c r="AM53" s="48"/>
    </row>
    <row r="54" spans="1:39" ht="12.75">
      <c r="A54" s="189">
        <f>'Charges acoustiques'!A32</f>
        <v>0</v>
      </c>
      <c r="B54" s="189">
        <f>'Charges acoustiques'!B32</f>
        <v>0</v>
      </c>
      <c r="C54" s="189">
        <f>'Charges acoustiques'!C32</f>
        <v>0</v>
      </c>
      <c r="D54" s="189">
        <f>'Charges acoustiques'!E32</f>
        <v>0</v>
      </c>
      <c r="E54" s="189">
        <f>'Charges acoustiques'!J32</f>
        <v>0</v>
      </c>
      <c r="F54" s="189">
        <f>'Charges acoustiques'!K32</f>
        <v>0</v>
      </c>
      <c r="G54" s="189">
        <f>'Charges acoustiques'!D32</f>
        <v>0</v>
      </c>
      <c r="H54" s="189">
        <f>'Charges acoustiques'!G32</f>
        <v>0</v>
      </c>
      <c r="I54" s="189">
        <f>IF('Charges acoustiques'!F32="x",0,1)</f>
        <v>1</v>
      </c>
      <c r="J54" s="189">
        <f>IF(G54&gt;0,VLOOKUP('Détails WTI'!G54,Grundlagen!$A$5:$G$9,3,FALSE),0)</f>
        <v>0</v>
      </c>
      <c r="K54" s="189">
        <f>IF(G54&gt;0,VLOOKUP('Détails WTI'!G54,Grundlagen!$A$5:$G$9,6,FALSE),0)</f>
        <v>0</v>
      </c>
      <c r="L54" s="189">
        <f t="shared" si="52"/>
        <v>0</v>
      </c>
      <c r="M54" s="189">
        <f t="shared" si="53"/>
        <v>0</v>
      </c>
      <c r="N54" s="189">
        <f t="shared" si="54"/>
        <v>0</v>
      </c>
      <c r="O54" s="189">
        <f t="shared" si="38"/>
        <v>0</v>
      </c>
      <c r="P54" s="189">
        <f>IF(G54&gt;0,VLOOKUP('Détails WTI'!G54,Grundlagen!$A$5:$G$9,4,FALSE),0)</f>
        <v>0</v>
      </c>
      <c r="Q54" s="189">
        <f>IF(G54&gt;0,VLOOKUP('Détails WTI'!G54,Grundlagen!$A$5:$G$9,7,FALSE),0)</f>
        <v>0</v>
      </c>
      <c r="R54" s="189">
        <f t="shared" si="39"/>
        <v>0</v>
      </c>
      <c r="S54" s="189">
        <f t="shared" si="40"/>
        <v>0</v>
      </c>
      <c r="T54" s="189">
        <f t="shared" si="41"/>
        <v>0</v>
      </c>
      <c r="U54" s="189">
        <f t="shared" si="42"/>
        <v>0</v>
      </c>
      <c r="V54" s="189">
        <f t="shared" si="55"/>
        <v>0</v>
      </c>
      <c r="W54" s="189">
        <f t="shared" si="56"/>
        <v>0</v>
      </c>
      <c r="X54" s="189">
        <f>IF(OR(E54&gt;IF(G54&gt;0,VLOOKUP('Détails WTI'!G54,Grundlagen!$A$5:$G$9,4,FALSE),0),F54&gt;IF(G54&gt;0,VLOOKUP('Détails WTI'!G54,Grundlagen!$A$5:$G$9,7,FALSE),0)),H54*MAX(V54:W54),0)</f>
        <v>0</v>
      </c>
      <c r="Y54" s="189">
        <f t="shared" si="30"/>
        <v>0</v>
      </c>
      <c r="Z54" s="178">
        <f t="shared" si="57"/>
        <v>0</v>
      </c>
      <c r="AA54" s="190">
        <f t="shared" si="32"/>
        <v>0</v>
      </c>
      <c r="AB54" s="189">
        <f t="shared" si="33"/>
        <v>0</v>
      </c>
      <c r="AC54" s="189">
        <f t="shared" si="34"/>
        <v>0</v>
      </c>
      <c r="AD54" s="178">
        <f t="shared" si="45"/>
        <v>0</v>
      </c>
      <c r="AE54" s="191">
        <f t="shared" si="46"/>
        <v>0</v>
      </c>
      <c r="AF54" s="190">
        <f t="shared" si="47"/>
        <v>0</v>
      </c>
      <c r="AG54" s="189">
        <f t="shared" si="48"/>
        <v>0</v>
      </c>
      <c r="AH54" s="189">
        <f t="shared" si="49"/>
        <v>0</v>
      </c>
      <c r="AI54" s="178">
        <f t="shared" si="51"/>
        <v>0</v>
      </c>
      <c r="AJ54" s="191">
        <f t="shared" si="50"/>
        <v>0</v>
      </c>
      <c r="AK54" s="48"/>
      <c r="AL54" s="48"/>
      <c r="AM54" s="48"/>
    </row>
    <row r="55" spans="1:39" ht="12.75">
      <c r="A55" s="189">
        <f>'Charges acoustiques'!A33</f>
        <v>0</v>
      </c>
      <c r="B55" s="189">
        <f>'Charges acoustiques'!B33</f>
        <v>0</v>
      </c>
      <c r="C55" s="189">
        <f>'Charges acoustiques'!C33</f>
        <v>0</v>
      </c>
      <c r="D55" s="189">
        <f>'Charges acoustiques'!E33</f>
        <v>0</v>
      </c>
      <c r="E55" s="189">
        <f>'Charges acoustiques'!J33</f>
        <v>0</v>
      </c>
      <c r="F55" s="189">
        <f>'Charges acoustiques'!K33</f>
        <v>0</v>
      </c>
      <c r="G55" s="189">
        <f>'Charges acoustiques'!D33</f>
        <v>0</v>
      </c>
      <c r="H55" s="189">
        <f>'Charges acoustiques'!G33</f>
        <v>0</v>
      </c>
      <c r="I55" s="189">
        <f>IF('Charges acoustiques'!F33="x",0,1)</f>
        <v>1</v>
      </c>
      <c r="J55" s="189">
        <f>IF(G55&gt;0,VLOOKUP('Détails WTI'!G55,Grundlagen!$A$5:$G$9,3,FALSE),0)</f>
        <v>0</v>
      </c>
      <c r="K55" s="189">
        <f>IF(G55&gt;0,VLOOKUP('Détails WTI'!G55,Grundlagen!$A$5:$G$9,6,FALSE),0)</f>
        <v>0</v>
      </c>
      <c r="L55" s="189">
        <f t="shared" si="52"/>
        <v>0</v>
      </c>
      <c r="M55" s="189">
        <f t="shared" si="53"/>
        <v>0</v>
      </c>
      <c r="N55" s="189">
        <f t="shared" si="54"/>
        <v>0</v>
      </c>
      <c r="O55" s="189">
        <f aca="true" t="shared" si="58" ref="O55:O60">IF(N55=1,D55*3,0)</f>
        <v>0</v>
      </c>
      <c r="P55" s="189">
        <f>IF(G55&gt;0,VLOOKUP('Détails WTI'!G55,Grundlagen!$A$5:$G$9,4,FALSE),0)</f>
        <v>0</v>
      </c>
      <c r="Q55" s="189">
        <f>IF(G55&gt;0,VLOOKUP('Détails WTI'!G55,Grundlagen!$A$5:$G$9,7,FALSE),0)</f>
        <v>0</v>
      </c>
      <c r="R55" s="189">
        <f aca="true" t="shared" si="59" ref="R55:S59">IF(E55&gt;P55,E55-P55,0)</f>
        <v>0</v>
      </c>
      <c r="S55" s="189">
        <f t="shared" si="59"/>
        <v>0</v>
      </c>
      <c r="T55" s="189">
        <f aca="true" t="shared" si="60" ref="T55:T60">IF(R55&gt;0,1,IF(S55&gt;0,1,0))</f>
        <v>0</v>
      </c>
      <c r="U55" s="189">
        <f aca="true" t="shared" si="61" ref="U55:U60">IF(T55=1,D55*3,0)</f>
        <v>0</v>
      </c>
      <c r="V55" s="189">
        <f t="shared" si="55"/>
        <v>0</v>
      </c>
      <c r="W55" s="189">
        <f t="shared" si="56"/>
        <v>0</v>
      </c>
      <c r="X55" s="189">
        <f>IF(OR(E55&gt;IF(G55&gt;0,VLOOKUP('Détails WTI'!G55,Grundlagen!$A$5:$G$9,4,FALSE),0),F55&gt;IF(G55&gt;0,VLOOKUP('Détails WTI'!G55,Grundlagen!$A$5:$G$9,7,FALSE),0)),H55*MAX(V55:W55),0)</f>
        <v>0</v>
      </c>
      <c r="Y55" s="189">
        <f t="shared" si="30"/>
        <v>0</v>
      </c>
      <c r="Z55" s="178">
        <f t="shared" si="57"/>
        <v>0</v>
      </c>
      <c r="AA55" s="190">
        <f t="shared" si="32"/>
        <v>0</v>
      </c>
      <c r="AB55" s="189">
        <f t="shared" si="33"/>
        <v>0</v>
      </c>
      <c r="AC55" s="189">
        <f t="shared" si="34"/>
        <v>0</v>
      </c>
      <c r="AD55" s="178">
        <f t="shared" si="45"/>
        <v>0</v>
      </c>
      <c r="AE55" s="191">
        <f t="shared" si="46"/>
        <v>0</v>
      </c>
      <c r="AF55" s="190">
        <f t="shared" si="47"/>
        <v>0</v>
      </c>
      <c r="AG55" s="189">
        <f t="shared" si="48"/>
        <v>0</v>
      </c>
      <c r="AH55" s="189">
        <f t="shared" si="49"/>
        <v>0</v>
      </c>
      <c r="AI55" s="178">
        <f t="shared" si="51"/>
        <v>0</v>
      </c>
      <c r="AJ55" s="191">
        <f t="shared" si="50"/>
        <v>0</v>
      </c>
      <c r="AK55" s="48"/>
      <c r="AL55" s="48"/>
      <c r="AM55" s="48"/>
    </row>
    <row r="56" spans="1:39" ht="12.75">
      <c r="A56" s="189">
        <f>'Charges acoustiques'!A34</f>
        <v>0</v>
      </c>
      <c r="B56" s="189">
        <f>'Charges acoustiques'!B34</f>
        <v>0</v>
      </c>
      <c r="C56" s="189">
        <f>'Charges acoustiques'!C34</f>
        <v>0</v>
      </c>
      <c r="D56" s="189">
        <f>'Charges acoustiques'!E34</f>
        <v>0</v>
      </c>
      <c r="E56" s="189">
        <f>'Charges acoustiques'!J34</f>
        <v>0</v>
      </c>
      <c r="F56" s="189">
        <f>'Charges acoustiques'!K34</f>
        <v>0</v>
      </c>
      <c r="G56" s="189">
        <f>'Charges acoustiques'!D34</f>
        <v>0</v>
      </c>
      <c r="H56" s="189">
        <f>'Charges acoustiques'!G34</f>
        <v>0</v>
      </c>
      <c r="I56" s="189">
        <f>IF('Charges acoustiques'!F34="x",0,1)</f>
        <v>1</v>
      </c>
      <c r="J56" s="189">
        <f>IF(G56&gt;0,VLOOKUP('Détails WTI'!G56,Grundlagen!$A$5:$G$9,3,FALSE),0)</f>
        <v>0</v>
      </c>
      <c r="K56" s="189">
        <f>IF(G56&gt;0,VLOOKUP('Détails WTI'!G56,Grundlagen!$A$5:$G$9,6,FALSE),0)</f>
        <v>0</v>
      </c>
      <c r="L56" s="189">
        <f t="shared" si="52"/>
        <v>0</v>
      </c>
      <c r="M56" s="189">
        <f t="shared" si="53"/>
        <v>0</v>
      </c>
      <c r="N56" s="189">
        <f t="shared" si="54"/>
        <v>0</v>
      </c>
      <c r="O56" s="189">
        <f t="shared" si="58"/>
        <v>0</v>
      </c>
      <c r="P56" s="189">
        <f>IF(G56&gt;0,VLOOKUP('Détails WTI'!G56,Grundlagen!$A$5:$G$9,4,FALSE),0)</f>
        <v>0</v>
      </c>
      <c r="Q56" s="189">
        <f>IF(G56&gt;0,VLOOKUP('Détails WTI'!G56,Grundlagen!$A$5:$G$9,7,FALSE),0)</f>
        <v>0</v>
      </c>
      <c r="R56" s="189">
        <f t="shared" si="59"/>
        <v>0</v>
      </c>
      <c r="S56" s="189">
        <f t="shared" si="59"/>
        <v>0</v>
      </c>
      <c r="T56" s="189">
        <f t="shared" si="60"/>
        <v>0</v>
      </c>
      <c r="U56" s="189">
        <f t="shared" si="61"/>
        <v>0</v>
      </c>
      <c r="V56" s="189">
        <f t="shared" si="55"/>
        <v>0</v>
      </c>
      <c r="W56" s="189">
        <f t="shared" si="56"/>
        <v>0</v>
      </c>
      <c r="X56" s="189">
        <f>IF(OR(E56&gt;IF(G56&gt;0,VLOOKUP('Détails WTI'!G56,Grundlagen!$A$5:$G$9,4,FALSE),0),F56&gt;IF(G56&gt;0,VLOOKUP('Détails WTI'!G56,Grundlagen!$A$5:$G$9,7,FALSE),0)),H56*MAX(V56:W56),0)</f>
        <v>0</v>
      </c>
      <c r="Y56" s="189">
        <f t="shared" si="30"/>
        <v>0</v>
      </c>
      <c r="Z56" s="178">
        <f t="shared" si="57"/>
        <v>0</v>
      </c>
      <c r="AA56" s="190">
        <f t="shared" si="32"/>
        <v>0</v>
      </c>
      <c r="AB56" s="189">
        <f t="shared" si="33"/>
        <v>0</v>
      </c>
      <c r="AC56" s="189">
        <f>Z56*$AC$2*$AC$4*I56</f>
        <v>0</v>
      </c>
      <c r="AD56" s="178">
        <f t="shared" si="45"/>
        <v>0</v>
      </c>
      <c r="AE56" s="191">
        <f t="shared" si="46"/>
        <v>0</v>
      </c>
      <c r="AF56" s="190">
        <f t="shared" si="47"/>
        <v>0</v>
      </c>
      <c r="AG56" s="189">
        <f t="shared" si="48"/>
        <v>0</v>
      </c>
      <c r="AH56" s="189">
        <f t="shared" si="49"/>
        <v>0</v>
      </c>
      <c r="AI56" s="178">
        <f t="shared" si="51"/>
        <v>0</v>
      </c>
      <c r="AJ56" s="191">
        <f t="shared" si="50"/>
        <v>0</v>
      </c>
      <c r="AK56" s="48"/>
      <c r="AL56" s="48"/>
      <c r="AM56" s="48"/>
    </row>
    <row r="57" spans="1:39" ht="12.75">
      <c r="A57" s="189">
        <f>'Charges acoustiques'!A35</f>
        <v>0</v>
      </c>
      <c r="B57" s="189">
        <f>'Charges acoustiques'!B35</f>
        <v>0</v>
      </c>
      <c r="C57" s="189">
        <f>'Charges acoustiques'!C35</f>
        <v>0</v>
      </c>
      <c r="D57" s="189">
        <f>'Charges acoustiques'!E35</f>
        <v>0</v>
      </c>
      <c r="E57" s="189">
        <f>'Charges acoustiques'!J35</f>
        <v>0</v>
      </c>
      <c r="F57" s="189">
        <f>'Charges acoustiques'!K35</f>
        <v>0</v>
      </c>
      <c r="G57" s="189">
        <f>'Charges acoustiques'!D35</f>
        <v>0</v>
      </c>
      <c r="H57" s="189">
        <f>'Charges acoustiques'!G35</f>
        <v>0</v>
      </c>
      <c r="I57" s="189">
        <f>IF('Charges acoustiques'!F35="x",0,1)</f>
        <v>1</v>
      </c>
      <c r="J57" s="189">
        <f>IF(G57&gt;0,VLOOKUP('Détails WTI'!G57,Grundlagen!$A$5:$G$9,3,FALSE),0)</f>
        <v>0</v>
      </c>
      <c r="K57" s="189">
        <f>IF(G57&gt;0,VLOOKUP('Détails WTI'!G57,Grundlagen!$A$5:$G$9,6,FALSE),0)</f>
        <v>0</v>
      </c>
      <c r="L57" s="189">
        <f t="shared" si="52"/>
        <v>0</v>
      </c>
      <c r="M57" s="189">
        <f t="shared" si="53"/>
        <v>0</v>
      </c>
      <c r="N57" s="189">
        <f t="shared" si="54"/>
        <v>0</v>
      </c>
      <c r="O57" s="189">
        <f t="shared" si="58"/>
        <v>0</v>
      </c>
      <c r="P57" s="189">
        <f>IF(G57&gt;0,VLOOKUP('Détails WTI'!G57,Grundlagen!$A$5:$G$9,4,FALSE),0)</f>
        <v>0</v>
      </c>
      <c r="Q57" s="189">
        <f>IF(G57&gt;0,VLOOKUP('Détails WTI'!G57,Grundlagen!$A$5:$G$9,7,FALSE),0)</f>
        <v>0</v>
      </c>
      <c r="R57" s="189">
        <f t="shared" si="59"/>
        <v>0</v>
      </c>
      <c r="S57" s="189">
        <f t="shared" si="59"/>
        <v>0</v>
      </c>
      <c r="T57" s="189">
        <f t="shared" si="60"/>
        <v>0</v>
      </c>
      <c r="U57" s="189">
        <f t="shared" si="61"/>
        <v>0</v>
      </c>
      <c r="V57" s="189">
        <f t="shared" si="55"/>
        <v>0</v>
      </c>
      <c r="W57" s="189">
        <f t="shared" si="56"/>
        <v>0</v>
      </c>
      <c r="X57" s="189">
        <f>IF(OR(E57&gt;IF(G57&gt;0,VLOOKUP('Détails WTI'!G57,Grundlagen!$A$5:$G$9,4,FALSE),0),F57&gt;IF(G57&gt;0,VLOOKUP('Détails WTI'!G57,Grundlagen!$A$5:$G$9,7,FALSE),0)),H57*MAX(V57:W57),0)</f>
        <v>0</v>
      </c>
      <c r="Y57" s="189">
        <f t="shared" si="30"/>
        <v>0</v>
      </c>
      <c r="Z57" s="178">
        <f t="shared" si="57"/>
        <v>0</v>
      </c>
      <c r="AA57" s="190">
        <f t="shared" si="32"/>
        <v>0</v>
      </c>
      <c r="AB57" s="189">
        <f t="shared" si="33"/>
        <v>0</v>
      </c>
      <c r="AC57" s="189">
        <f t="shared" si="34"/>
        <v>0</v>
      </c>
      <c r="AD57" s="178">
        <f t="shared" si="45"/>
        <v>0</v>
      </c>
      <c r="AE57" s="191">
        <f t="shared" si="46"/>
        <v>0</v>
      </c>
      <c r="AF57" s="190">
        <f t="shared" si="47"/>
        <v>0</v>
      </c>
      <c r="AG57" s="189">
        <f t="shared" si="48"/>
        <v>0</v>
      </c>
      <c r="AH57" s="189">
        <f t="shared" si="49"/>
        <v>0</v>
      </c>
      <c r="AI57" s="178">
        <f t="shared" si="51"/>
        <v>0</v>
      </c>
      <c r="AJ57" s="191">
        <f t="shared" si="50"/>
        <v>0</v>
      </c>
      <c r="AK57" s="48"/>
      <c r="AL57" s="48"/>
      <c r="AM57" s="48"/>
    </row>
    <row r="58" spans="1:39" ht="12.75">
      <c r="A58" s="189">
        <f>'Charges acoustiques'!A36</f>
        <v>0</v>
      </c>
      <c r="B58" s="189">
        <f>'Charges acoustiques'!B36</f>
        <v>0</v>
      </c>
      <c r="C58" s="189">
        <f>'Charges acoustiques'!C36</f>
        <v>0</v>
      </c>
      <c r="D58" s="189">
        <f>'Charges acoustiques'!E36</f>
        <v>0</v>
      </c>
      <c r="E58" s="189">
        <f>'Charges acoustiques'!J36</f>
        <v>0</v>
      </c>
      <c r="F58" s="189">
        <f>'Charges acoustiques'!K36</f>
        <v>0</v>
      </c>
      <c r="G58" s="189">
        <f>'Charges acoustiques'!D36</f>
        <v>0</v>
      </c>
      <c r="H58" s="189">
        <f>'Charges acoustiques'!G36</f>
        <v>0</v>
      </c>
      <c r="I58" s="189">
        <f>IF('Charges acoustiques'!F36="x",0,1)</f>
        <v>1</v>
      </c>
      <c r="J58" s="189">
        <f>IF(G58&gt;0,VLOOKUP('Détails WTI'!G58,Grundlagen!$A$5:$G$9,3,FALSE),0)</f>
        <v>0</v>
      </c>
      <c r="K58" s="189">
        <f>IF(G58&gt;0,VLOOKUP('Détails WTI'!G58,Grundlagen!$A$5:$G$9,6,FALSE),0)</f>
        <v>0</v>
      </c>
      <c r="L58" s="189">
        <f t="shared" si="52"/>
        <v>0</v>
      </c>
      <c r="M58" s="189">
        <f t="shared" si="53"/>
        <v>0</v>
      </c>
      <c r="N58" s="189">
        <f t="shared" si="54"/>
        <v>0</v>
      </c>
      <c r="O58" s="189">
        <f t="shared" si="58"/>
        <v>0</v>
      </c>
      <c r="P58" s="189">
        <f>IF(G58&gt;0,VLOOKUP('Détails WTI'!G58,Grundlagen!$A$5:$G$9,4,FALSE),0)</f>
        <v>0</v>
      </c>
      <c r="Q58" s="189">
        <f>IF(G58&gt;0,VLOOKUP('Détails WTI'!G58,Grundlagen!$A$5:$G$9,7,FALSE),0)</f>
        <v>0</v>
      </c>
      <c r="R58" s="189">
        <f t="shared" si="59"/>
        <v>0</v>
      </c>
      <c r="S58" s="189">
        <f t="shared" si="59"/>
        <v>0</v>
      </c>
      <c r="T58" s="189">
        <f t="shared" si="60"/>
        <v>0</v>
      </c>
      <c r="U58" s="189">
        <f t="shared" si="61"/>
        <v>0</v>
      </c>
      <c r="V58" s="189">
        <f t="shared" si="55"/>
        <v>0</v>
      </c>
      <c r="W58" s="189">
        <f t="shared" si="56"/>
        <v>0</v>
      </c>
      <c r="X58" s="189">
        <f>IF(OR(E58&gt;IF(G58&gt;0,VLOOKUP('Détails WTI'!G58,Grundlagen!$A$5:$G$9,4,FALSE),0),F58&gt;IF(G58&gt;0,VLOOKUP('Détails WTI'!G58,Grundlagen!$A$5:$G$9,7,FALSE),0)),H58*MAX(V58:W58),0)</f>
        <v>0</v>
      </c>
      <c r="Y58" s="189">
        <f t="shared" si="30"/>
        <v>0</v>
      </c>
      <c r="Z58" s="178">
        <f t="shared" si="57"/>
        <v>0</v>
      </c>
      <c r="AA58" s="190">
        <f t="shared" si="32"/>
        <v>0</v>
      </c>
      <c r="AB58" s="189">
        <f t="shared" si="33"/>
        <v>0</v>
      </c>
      <c r="AC58" s="189">
        <f t="shared" si="34"/>
        <v>0</v>
      </c>
      <c r="AD58" s="178">
        <f t="shared" si="45"/>
        <v>0</v>
      </c>
      <c r="AE58" s="191">
        <f t="shared" si="46"/>
        <v>0</v>
      </c>
      <c r="AF58" s="190">
        <f t="shared" si="47"/>
        <v>0</v>
      </c>
      <c r="AG58" s="189">
        <f t="shared" si="48"/>
        <v>0</v>
      </c>
      <c r="AH58" s="189">
        <f t="shared" si="49"/>
        <v>0</v>
      </c>
      <c r="AI58" s="178">
        <f t="shared" si="51"/>
        <v>0</v>
      </c>
      <c r="AJ58" s="191">
        <f t="shared" si="50"/>
        <v>0</v>
      </c>
      <c r="AK58" s="48"/>
      <c r="AL58" s="48"/>
      <c r="AM58" s="48"/>
    </row>
    <row r="59" spans="1:39" ht="12.75">
      <c r="A59" s="189">
        <f>'Charges acoustiques'!A37</f>
        <v>0</v>
      </c>
      <c r="B59" s="189">
        <f>'Charges acoustiques'!B37</f>
        <v>0</v>
      </c>
      <c r="C59" s="189">
        <f>'Charges acoustiques'!C37</f>
        <v>0</v>
      </c>
      <c r="D59" s="189">
        <f>'Charges acoustiques'!E37</f>
        <v>0</v>
      </c>
      <c r="E59" s="189">
        <f>'Charges acoustiques'!J37</f>
        <v>0</v>
      </c>
      <c r="F59" s="189">
        <f>'Charges acoustiques'!K37</f>
        <v>0</v>
      </c>
      <c r="G59" s="189">
        <f>'Charges acoustiques'!D37</f>
        <v>0</v>
      </c>
      <c r="H59" s="189">
        <f>'Charges acoustiques'!G37</f>
        <v>0</v>
      </c>
      <c r="I59" s="189">
        <f>IF('Charges acoustiques'!F37="x",0,1)</f>
        <v>1</v>
      </c>
      <c r="J59" s="189">
        <f>IF(G59&gt;0,VLOOKUP('Détails WTI'!G59,Grundlagen!$A$5:$G$9,3,FALSE),0)</f>
        <v>0</v>
      </c>
      <c r="K59" s="189">
        <f>IF(G59&gt;0,VLOOKUP('Détails WTI'!G59,Grundlagen!$A$5:$G$9,6,FALSE),0)</f>
        <v>0</v>
      </c>
      <c r="L59" s="189">
        <f t="shared" si="52"/>
        <v>0</v>
      </c>
      <c r="M59" s="189">
        <f t="shared" si="53"/>
        <v>0</v>
      </c>
      <c r="N59" s="189">
        <f t="shared" si="54"/>
        <v>0</v>
      </c>
      <c r="O59" s="189">
        <f t="shared" si="58"/>
        <v>0</v>
      </c>
      <c r="P59" s="189">
        <f>IF(G59&gt;0,VLOOKUP('Détails WTI'!G59,Grundlagen!$A$5:$G$9,4,FALSE),0)</f>
        <v>0</v>
      </c>
      <c r="Q59" s="189">
        <f>IF(G59&gt;0,VLOOKUP('Détails WTI'!G59,Grundlagen!$A$5:$G$9,7,FALSE),0)</f>
        <v>0</v>
      </c>
      <c r="R59" s="189">
        <f t="shared" si="59"/>
        <v>0</v>
      </c>
      <c r="S59" s="189">
        <f t="shared" si="59"/>
        <v>0</v>
      </c>
      <c r="T59" s="189">
        <f t="shared" si="60"/>
        <v>0</v>
      </c>
      <c r="U59" s="189">
        <f t="shared" si="61"/>
        <v>0</v>
      </c>
      <c r="V59" s="189">
        <f t="shared" si="55"/>
        <v>0</v>
      </c>
      <c r="W59" s="189">
        <f t="shared" si="56"/>
        <v>0</v>
      </c>
      <c r="X59" s="189">
        <f>IF(OR(E59&gt;IF(G59&gt;0,VLOOKUP('Détails WTI'!G59,Grundlagen!$A$5:$G$9,4,FALSE),0),F59&gt;IF(G59&gt;0,VLOOKUP('Détails WTI'!G59,Grundlagen!$A$5:$G$9,7,FALSE),0)),H59*MAX(V59:W59),0)</f>
        <v>0</v>
      </c>
      <c r="Y59" s="189">
        <f t="shared" si="30"/>
        <v>0</v>
      </c>
      <c r="Z59" s="178">
        <f t="shared" si="57"/>
        <v>0</v>
      </c>
      <c r="AA59" s="190">
        <f t="shared" si="32"/>
        <v>0</v>
      </c>
      <c r="AB59" s="189">
        <f t="shared" si="33"/>
        <v>0</v>
      </c>
      <c r="AC59" s="189">
        <f t="shared" si="34"/>
        <v>0</v>
      </c>
      <c r="AD59" s="178">
        <f t="shared" si="45"/>
        <v>0</v>
      </c>
      <c r="AE59" s="191">
        <f t="shared" si="46"/>
        <v>0</v>
      </c>
      <c r="AF59" s="190">
        <f t="shared" si="47"/>
        <v>0</v>
      </c>
      <c r="AG59" s="189">
        <f t="shared" si="48"/>
        <v>0</v>
      </c>
      <c r="AH59" s="189">
        <f t="shared" si="49"/>
        <v>0</v>
      </c>
      <c r="AI59" s="178">
        <f t="shared" si="51"/>
        <v>0</v>
      </c>
      <c r="AJ59" s="191">
        <f t="shared" si="50"/>
        <v>0</v>
      </c>
      <c r="AK59" s="48"/>
      <c r="AL59" s="48"/>
      <c r="AM59" s="48"/>
    </row>
    <row r="60" spans="1:39" ht="12.75">
      <c r="A60" s="189">
        <f>'Charges acoustiques'!A38</f>
        <v>0</v>
      </c>
      <c r="B60" s="189">
        <f>'Charges acoustiques'!B38</f>
        <v>0</v>
      </c>
      <c r="C60" s="189">
        <f>'Charges acoustiques'!C38</f>
        <v>0</v>
      </c>
      <c r="D60" s="189">
        <f>'Charges acoustiques'!E38</f>
        <v>0</v>
      </c>
      <c r="E60" s="189">
        <f>'Charges acoustiques'!J38</f>
        <v>0</v>
      </c>
      <c r="F60" s="189">
        <f>'Charges acoustiques'!K38</f>
        <v>0</v>
      </c>
      <c r="G60" s="189">
        <f>'Charges acoustiques'!D38</f>
        <v>0</v>
      </c>
      <c r="H60" s="189">
        <f>'Charges acoustiques'!G38</f>
        <v>0</v>
      </c>
      <c r="I60" s="189">
        <f>IF('Charges acoustiques'!F38="x",0,1)</f>
        <v>1</v>
      </c>
      <c r="J60" s="189">
        <f>IF(G60&gt;0,VLOOKUP('Détails WTI'!G60,Grundlagen!$A$5:$G$9,3,FALSE),0)</f>
        <v>0</v>
      </c>
      <c r="K60" s="189">
        <f>IF(G60&gt;0,VLOOKUP('Détails WTI'!G60,Grundlagen!$A$5:$G$9,6,FALSE),0)</f>
        <v>0</v>
      </c>
      <c r="L60" s="189">
        <f>IF(E60&gt;J60,E60-J60,0)</f>
        <v>0</v>
      </c>
      <c r="M60" s="189">
        <f>IF(F60&gt;K60,F60-K60,0)</f>
        <v>0</v>
      </c>
      <c r="N60" s="189">
        <f>IF(L60&gt;0,1,IF(M60&gt;0,1,0))</f>
        <v>0</v>
      </c>
      <c r="O60" s="189">
        <f t="shared" si="58"/>
        <v>0</v>
      </c>
      <c r="P60" s="189">
        <f>IF(G60&gt;0,VLOOKUP('Détails WTI'!G60,Grundlagen!$A$5:$G$9,4,FALSE),0)</f>
        <v>0</v>
      </c>
      <c r="Q60" s="189">
        <f>IF(G60&gt;0,VLOOKUP('Détails WTI'!G60,Grundlagen!$A$5:$G$9,7,FALSE),0)</f>
        <v>0</v>
      </c>
      <c r="R60" s="189">
        <f>IF(E60&gt;P60,E60-P60,0)</f>
        <v>0</v>
      </c>
      <c r="S60" s="189">
        <f>IF(F60&gt;Q60,F60-Q60,0)</f>
        <v>0</v>
      </c>
      <c r="T60" s="189">
        <f t="shared" si="60"/>
        <v>0</v>
      </c>
      <c r="U60" s="189">
        <f t="shared" si="61"/>
        <v>0</v>
      </c>
      <c r="V60" s="189">
        <f>IF(G60&gt;0,IF(J60&lt;&gt;"",IF(E60&gt;(J60-5),E60-(J60-5),0),""),0)</f>
        <v>0</v>
      </c>
      <c r="W60" s="189">
        <f>IF(G60&gt;0,IF(F60&gt;(K60-5),F60-(K60-5),0),0)</f>
        <v>0</v>
      </c>
      <c r="X60" s="189">
        <f>IF(OR(E60&gt;IF(G60&gt;0,VLOOKUP('Détails WTI'!G60,Grundlagen!$A$5:$G$9,4,FALSE),0),F60&gt;IF(G60&gt;0,VLOOKUP('Détails WTI'!G60,Grundlagen!$A$5:$G$9,7,FALSE),0)),H60*MAX(V60:W60),0)</f>
        <v>0</v>
      </c>
      <c r="Y60" s="189">
        <f t="shared" si="30"/>
        <v>0</v>
      </c>
      <c r="Z60" s="178">
        <f>IF(Y60+X60=0,IF(OR($E60&gt;$J60-5,$F60&gt;$K60-5),$H60*MAX($V60:$W60),0),0)</f>
        <v>0</v>
      </c>
      <c r="AA60" s="190">
        <f t="shared" si="32"/>
        <v>0</v>
      </c>
      <c r="AB60" s="189">
        <f t="shared" si="33"/>
        <v>0</v>
      </c>
      <c r="AC60" s="189">
        <f t="shared" si="34"/>
        <v>0</v>
      </c>
      <c r="AD60" s="178">
        <f t="shared" si="45"/>
        <v>0</v>
      </c>
      <c r="AE60" s="191">
        <f>MAX(L60:M60)*H60*I60</f>
        <v>0</v>
      </c>
      <c r="AF60" s="190">
        <f t="shared" si="47"/>
        <v>0</v>
      </c>
      <c r="AG60" s="189">
        <f t="shared" si="48"/>
        <v>0</v>
      </c>
      <c r="AH60" s="189">
        <f t="shared" si="49"/>
        <v>0</v>
      </c>
      <c r="AI60" s="178">
        <f t="shared" si="51"/>
        <v>0</v>
      </c>
      <c r="AJ60" s="191">
        <f>MAX(L60:M60)*H60</f>
        <v>0</v>
      </c>
      <c r="AK60" s="48"/>
      <c r="AL60" s="48"/>
      <c r="AM60" s="48"/>
    </row>
    <row r="61" spans="1:39" ht="13.5" thickBo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192"/>
      <c r="AB61" s="48"/>
      <c r="AC61" s="48"/>
      <c r="AD61" s="48"/>
      <c r="AE61" s="193"/>
      <c r="AF61" s="192"/>
      <c r="AG61" s="48"/>
      <c r="AH61" s="48"/>
      <c r="AI61" s="48"/>
      <c r="AJ61" s="193"/>
      <c r="AK61" s="48"/>
      <c r="AL61" s="48"/>
      <c r="AM61" s="48"/>
    </row>
    <row r="62" spans="1:39" ht="12.7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183" t="s">
        <v>130</v>
      </c>
      <c r="AB62" s="184"/>
      <c r="AC62" s="184"/>
      <c r="AD62" s="184"/>
      <c r="AE62" s="194">
        <f>SUM(AE39:AE61)</f>
        <v>0</v>
      </c>
      <c r="AF62" s="183" t="s">
        <v>130</v>
      </c>
      <c r="AG62" s="184"/>
      <c r="AH62" s="184"/>
      <c r="AI62" s="184"/>
      <c r="AJ62" s="194">
        <f>SUM(AJ39:AJ61)</f>
        <v>0</v>
      </c>
      <c r="AK62" s="48"/>
      <c r="AL62" s="48"/>
      <c r="AM62" s="48"/>
    </row>
    <row r="63" spans="1:39" ht="12.7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192" t="s">
        <v>131</v>
      </c>
      <c r="AB63" s="48"/>
      <c r="AC63" s="48"/>
      <c r="AD63" s="46">
        <f>AC64-SUM(AD39:AD61)</f>
        <v>0</v>
      </c>
      <c r="AE63" s="195"/>
      <c r="AF63" s="192" t="s">
        <v>131</v>
      </c>
      <c r="AG63" s="48"/>
      <c r="AH63" s="48"/>
      <c r="AI63" s="46">
        <f>AH64-SUM(AI39:AI61)</f>
        <v>0</v>
      </c>
      <c r="AJ63" s="195"/>
      <c r="AK63" s="48"/>
      <c r="AL63" s="48"/>
      <c r="AM63" s="48"/>
    </row>
    <row r="64" spans="1:39" ht="13.5" thickBo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196" t="s">
        <v>132</v>
      </c>
      <c r="AB64" s="197"/>
      <c r="AC64" s="198">
        <f>SUM(AA39:AC61)</f>
        <v>0</v>
      </c>
      <c r="AD64" s="197"/>
      <c r="AE64" s="199"/>
      <c r="AF64" s="196" t="s">
        <v>132</v>
      </c>
      <c r="AG64" s="197"/>
      <c r="AH64" s="198">
        <f>SUM(AF39:AH61)</f>
        <v>0</v>
      </c>
      <c r="AI64" s="197"/>
      <c r="AJ64" s="199"/>
      <c r="AK64" s="48"/>
      <c r="AL64" s="48"/>
      <c r="AM64" s="48"/>
    </row>
    <row r="65" spans="1:39" ht="12.7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row>
    <row r="66" spans="1:39" ht="13.5" thickBo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row>
    <row r="67" spans="1:39" ht="12.7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183" t="s">
        <v>133</v>
      </c>
      <c r="AB67" s="184"/>
      <c r="AC67" s="201">
        <f>AC33-AC64</f>
        <v>0</v>
      </c>
      <c r="AD67" s="184"/>
      <c r="AE67" s="184"/>
      <c r="AF67" s="184"/>
      <c r="AG67" s="184"/>
      <c r="AH67" s="201">
        <f>AH33-AH64</f>
        <v>0</v>
      </c>
      <c r="AI67" s="48"/>
      <c r="AJ67" s="48"/>
      <c r="AK67" s="48"/>
      <c r="AL67" s="48"/>
      <c r="AM67" s="48"/>
    </row>
    <row r="68" spans="1:39" ht="12.7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192" t="s">
        <v>134</v>
      </c>
      <c r="AB68" s="48"/>
      <c r="AC68" s="202">
        <f>IF(AD63&gt;AD32,0,AD32-AD63)</f>
        <v>0</v>
      </c>
      <c r="AD68" s="48"/>
      <c r="AE68" s="48"/>
      <c r="AF68" s="48"/>
      <c r="AG68" s="48"/>
      <c r="AH68" s="202">
        <f>IF(AI63&gt;AI32,0,AI32-AI63)</f>
        <v>0</v>
      </c>
      <c r="AI68" s="48"/>
      <c r="AJ68" s="48"/>
      <c r="AK68" s="48"/>
      <c r="AL68" s="48"/>
      <c r="AM68" s="48"/>
    </row>
    <row r="69" spans="1:39" ht="12.7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192" t="s">
        <v>135</v>
      </c>
      <c r="AB69" s="48"/>
      <c r="AC69" s="203">
        <f>Coûts!O22</f>
        <v>0</v>
      </c>
      <c r="AD69" s="48"/>
      <c r="AE69" s="48"/>
      <c r="AF69" s="48"/>
      <c r="AG69" s="48"/>
      <c r="AH69" s="203">
        <f>Coûts!O22</f>
        <v>0</v>
      </c>
      <c r="AI69" s="48"/>
      <c r="AJ69" s="48"/>
      <c r="AK69" s="48"/>
      <c r="AL69" s="48"/>
      <c r="AM69" s="48"/>
    </row>
    <row r="70" spans="1:39" ht="12.7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192" t="s">
        <v>96</v>
      </c>
      <c r="AB70" s="48"/>
      <c r="AC70" s="204">
        <f>IF(AC69&gt;0,AC67/AC69,0)</f>
        <v>0</v>
      </c>
      <c r="AD70" s="205"/>
      <c r="AE70" s="205"/>
      <c r="AF70" s="48"/>
      <c r="AG70" s="48"/>
      <c r="AH70" s="204">
        <f>IF(AH69&gt;0,AH67/AH69,0)</f>
        <v>0</v>
      </c>
      <c r="AI70" s="205"/>
      <c r="AJ70" s="48"/>
      <c r="AK70" s="48"/>
      <c r="AL70" s="48"/>
      <c r="AM70" s="48"/>
    </row>
    <row r="71" spans="1:39" ht="12.7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192"/>
      <c r="AB71" s="48"/>
      <c r="AC71" s="202"/>
      <c r="AD71" s="48"/>
      <c r="AE71" s="48"/>
      <c r="AF71" s="48"/>
      <c r="AG71" s="48"/>
      <c r="AH71" s="202"/>
      <c r="AI71" s="48"/>
      <c r="AJ71" s="48"/>
      <c r="AK71" s="48"/>
      <c r="AL71" s="48"/>
      <c r="AM71" s="48"/>
    </row>
    <row r="72" spans="1:39" ht="13.5" thickBo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196" t="s">
        <v>54</v>
      </c>
      <c r="AB72" s="197"/>
      <c r="AC72" s="206">
        <f>IF(AE31&gt;0,(AE31-AE62)/AE31*100,0)</f>
        <v>0</v>
      </c>
      <c r="AD72" s="207"/>
      <c r="AE72" s="197"/>
      <c r="AF72" s="197"/>
      <c r="AG72" s="197"/>
      <c r="AH72" s="206">
        <f>IF(AJ31&gt;0,(AJ31-AJ62)/AJ31*100,0)</f>
        <v>0</v>
      </c>
      <c r="AI72" s="208"/>
      <c r="AJ72" s="48"/>
      <c r="AK72" s="48"/>
      <c r="AL72" s="48"/>
      <c r="AM72" s="48"/>
    </row>
    <row r="73" spans="1:39" ht="12.7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row>
    <row r="74" spans="1:39" ht="12.7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row>
    <row r="75" spans="1:39" ht="12.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row>
    <row r="76" spans="1:39" ht="12.7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row>
  </sheetData>
  <sheetProtection sheet="1" objects="1" scenarios="1"/>
  <mergeCells count="16">
    <mergeCell ref="E6:F6"/>
    <mergeCell ref="J6:K6"/>
    <mergeCell ref="E37:F37"/>
    <mergeCell ref="J37:K37"/>
    <mergeCell ref="I6:I7"/>
    <mergeCell ref="I37:I38"/>
    <mergeCell ref="P6:Q6"/>
    <mergeCell ref="P37:Q37"/>
    <mergeCell ref="AJ37:AJ38"/>
    <mergeCell ref="AJ6:AJ7"/>
    <mergeCell ref="AE6:AE7"/>
    <mergeCell ref="AE37:AE38"/>
    <mergeCell ref="AD6:AD7"/>
    <mergeCell ref="AD37:AD38"/>
    <mergeCell ref="AI6:AI7"/>
    <mergeCell ref="AI37:AI38"/>
  </mergeCells>
  <printOptions/>
  <pageMargins left="0.58" right="0.39" top="0.56" bottom="0.54" header="0.4921259845" footer="0.492125984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codeName="Tabelle2">
    <pageSetUpPr fitToPage="1"/>
  </sheetPr>
  <dimension ref="A2:AS41"/>
  <sheetViews>
    <sheetView workbookViewId="0" topLeftCell="A1">
      <selection activeCell="A7" sqref="A7"/>
    </sheetView>
  </sheetViews>
  <sheetFormatPr defaultColWidth="11.421875" defaultRowHeight="12.75"/>
  <cols>
    <col min="1" max="1" width="11.28125" style="0" customWidth="1"/>
    <col min="2" max="2" width="7.421875" style="0" customWidth="1"/>
    <col min="3" max="3" width="6.7109375" style="0" customWidth="1"/>
    <col min="4" max="4" width="5.421875" style="0" customWidth="1"/>
    <col min="5" max="5" width="6.57421875" style="0" customWidth="1"/>
    <col min="6" max="6" width="8.140625" style="0" customWidth="1"/>
    <col min="7" max="7" width="6.140625" style="0" customWidth="1"/>
    <col min="8" max="9" width="8.7109375" style="0" customWidth="1"/>
    <col min="10" max="10" width="9.28125" style="0" customWidth="1"/>
    <col min="11" max="11" width="7.8515625" style="0" hidden="1" customWidth="1"/>
    <col min="12" max="12" width="8.28125" style="0" hidden="1" customWidth="1"/>
    <col min="13" max="17" width="11.421875" style="0" hidden="1" customWidth="1"/>
    <col min="18" max="18" width="10.7109375" style="0" customWidth="1"/>
    <col min="19" max="19" width="11.421875" style="0" hidden="1" customWidth="1"/>
    <col min="20" max="20" width="9.57421875" style="0" hidden="1" customWidth="1"/>
    <col min="21" max="21" width="10.8515625" style="0" hidden="1" customWidth="1"/>
    <col min="22" max="22" width="9.140625" style="0" hidden="1" customWidth="1"/>
    <col min="23" max="23" width="10.7109375" style="0" customWidth="1"/>
    <col min="24" max="24" width="11.421875" style="0" hidden="1" customWidth="1"/>
    <col min="25" max="25" width="9.57421875" style="0" hidden="1" customWidth="1"/>
    <col min="26" max="26" width="11.421875" style="0" hidden="1" customWidth="1"/>
    <col min="27" max="27" width="9.28125" style="0" hidden="1" customWidth="1"/>
    <col min="28" max="28" width="10.7109375" style="0" customWidth="1"/>
    <col min="29" max="29" width="11.421875" style="0" hidden="1" customWidth="1"/>
    <col min="30" max="30" width="9.57421875" style="0" hidden="1" customWidth="1"/>
    <col min="31" max="31" width="11.421875" style="0" hidden="1" customWidth="1"/>
    <col min="32" max="32" width="8.57421875" style="0" hidden="1" customWidth="1"/>
    <col min="33" max="33" width="10.7109375" style="0" customWidth="1"/>
    <col min="34" max="34" width="11.140625" style="0" hidden="1" customWidth="1"/>
    <col min="35" max="35" width="9.57421875" style="0" hidden="1" customWidth="1"/>
    <col min="36" max="36" width="11.421875" style="0" hidden="1" customWidth="1"/>
    <col min="37" max="37" width="9.140625" style="0" hidden="1" customWidth="1"/>
    <col min="38" max="38" width="10.7109375" style="0" customWidth="1"/>
    <col min="39" max="39" width="11.421875" style="0" hidden="1" customWidth="1"/>
    <col min="40" max="40" width="9.57421875" style="0" hidden="1" customWidth="1"/>
    <col min="42" max="42" width="10.7109375" style="0" customWidth="1"/>
    <col min="43" max="43" width="10.7109375" style="22" customWidth="1"/>
    <col min="44" max="44" width="10.8515625" style="0" customWidth="1"/>
    <col min="45" max="45" width="10.57421875" style="0" customWidth="1"/>
    <col min="46" max="46" width="9.28125" style="0" customWidth="1"/>
    <col min="47" max="47" width="9.421875" style="0" customWidth="1"/>
  </cols>
  <sheetData>
    <row r="2" ht="15.75">
      <c r="A2" s="6" t="s">
        <v>158</v>
      </c>
    </row>
    <row r="3" spans="18:43" ht="12.75">
      <c r="R3" s="263" t="s">
        <v>165</v>
      </c>
      <c r="S3" s="2"/>
      <c r="T3" s="2"/>
      <c r="U3" s="2"/>
      <c r="V3" s="2"/>
      <c r="W3" s="2"/>
      <c r="X3" s="2"/>
      <c r="Y3" s="2"/>
      <c r="Z3" s="2"/>
      <c r="AA3" s="2"/>
      <c r="AB3" s="2"/>
      <c r="AC3" s="2"/>
      <c r="AD3" s="2"/>
      <c r="AE3" s="2"/>
      <c r="AF3" s="2"/>
      <c r="AG3" s="2"/>
      <c r="AH3" s="2"/>
      <c r="AI3" s="2"/>
      <c r="AJ3" s="2"/>
      <c r="AK3" s="2"/>
      <c r="AL3" s="13"/>
      <c r="AO3" s="22"/>
      <c r="AQ3"/>
    </row>
    <row r="4" spans="16:45" ht="12.75">
      <c r="P4" s="10" t="s">
        <v>146</v>
      </c>
      <c r="Q4" s="10"/>
      <c r="R4" s="253">
        <v>3</v>
      </c>
      <c r="S4" s="249"/>
      <c r="T4" s="249"/>
      <c r="U4" s="37" t="s">
        <v>152</v>
      </c>
      <c r="V4" s="37"/>
      <c r="W4" s="254">
        <v>2</v>
      </c>
      <c r="X4" s="37"/>
      <c r="Y4" s="37"/>
      <c r="Z4" s="250" t="s">
        <v>152</v>
      </c>
      <c r="AA4" s="250"/>
      <c r="AB4" s="255">
        <v>1</v>
      </c>
      <c r="AC4" s="250"/>
      <c r="AD4" s="250"/>
      <c r="AE4" s="38" t="s">
        <v>146</v>
      </c>
      <c r="AF4" s="38"/>
      <c r="AG4" s="256">
        <v>0.5</v>
      </c>
      <c r="AH4" s="38"/>
      <c r="AI4" s="38"/>
      <c r="AJ4" s="251" t="s">
        <v>146</v>
      </c>
      <c r="AK4" s="251"/>
      <c r="AL4" s="257">
        <v>0.2</v>
      </c>
      <c r="AM4" s="12"/>
      <c r="AN4" s="12"/>
      <c r="AO4" s="30"/>
      <c r="AP4" s="371" t="s">
        <v>154</v>
      </c>
      <c r="AQ4" s="372"/>
      <c r="AR4" s="373" t="s">
        <v>155</v>
      </c>
      <c r="AS4" s="374"/>
    </row>
    <row r="5" spans="1:45" ht="12.75" customHeight="1">
      <c r="A5" s="1" t="s">
        <v>115</v>
      </c>
      <c r="B5" s="19" t="s">
        <v>116</v>
      </c>
      <c r="C5" s="2" t="s">
        <v>3</v>
      </c>
      <c r="D5" s="19" t="s">
        <v>48</v>
      </c>
      <c r="E5" s="2" t="s">
        <v>8</v>
      </c>
      <c r="F5" s="5" t="s">
        <v>50</v>
      </c>
      <c r="G5" s="5"/>
      <c r="H5" s="5" t="s">
        <v>51</v>
      </c>
      <c r="I5" s="5"/>
      <c r="J5" s="30" t="s">
        <v>54</v>
      </c>
      <c r="K5" s="7" t="s">
        <v>143</v>
      </c>
      <c r="L5" s="7"/>
      <c r="M5" s="7"/>
      <c r="N5" s="378" t="s">
        <v>144</v>
      </c>
      <c r="O5" t="s">
        <v>145</v>
      </c>
      <c r="P5" s="11" t="s">
        <v>23</v>
      </c>
      <c r="Q5" s="11" t="s">
        <v>147</v>
      </c>
      <c r="R5" s="239" t="s">
        <v>54</v>
      </c>
      <c r="S5" s="379" t="s">
        <v>150</v>
      </c>
      <c r="T5" s="379" t="s">
        <v>151</v>
      </c>
      <c r="U5" s="240" t="s">
        <v>23</v>
      </c>
      <c r="V5" s="240" t="s">
        <v>147</v>
      </c>
      <c r="W5" s="241" t="s">
        <v>54</v>
      </c>
      <c r="X5" s="360" t="s">
        <v>150</v>
      </c>
      <c r="Y5" s="360" t="s">
        <v>151</v>
      </c>
      <c r="Z5" s="242" t="s">
        <v>23</v>
      </c>
      <c r="AA5" s="242" t="s">
        <v>147</v>
      </c>
      <c r="AB5" s="243" t="s">
        <v>54</v>
      </c>
      <c r="AC5" s="369" t="s">
        <v>150</v>
      </c>
      <c r="AD5" s="369" t="s">
        <v>151</v>
      </c>
      <c r="AE5" s="244" t="s">
        <v>23</v>
      </c>
      <c r="AF5" s="244" t="s">
        <v>153</v>
      </c>
      <c r="AG5" s="245" t="s">
        <v>54</v>
      </c>
      <c r="AH5" s="366" t="s">
        <v>150</v>
      </c>
      <c r="AI5" s="366" t="s">
        <v>151</v>
      </c>
      <c r="AJ5" s="246" t="s">
        <v>23</v>
      </c>
      <c r="AK5" s="247" t="s">
        <v>153</v>
      </c>
      <c r="AL5" s="248" t="s">
        <v>54</v>
      </c>
      <c r="AM5" s="368" t="s">
        <v>150</v>
      </c>
      <c r="AN5" s="368" t="s">
        <v>151</v>
      </c>
      <c r="AO5" s="364" t="s">
        <v>117</v>
      </c>
      <c r="AP5" s="375" t="s">
        <v>133</v>
      </c>
      <c r="AQ5" s="362" t="s">
        <v>139</v>
      </c>
      <c r="AR5" s="362" t="s">
        <v>133</v>
      </c>
      <c r="AS5" s="362" t="s">
        <v>139</v>
      </c>
    </row>
    <row r="6" spans="1:45" ht="12.75">
      <c r="A6" s="3"/>
      <c r="B6" s="20"/>
      <c r="C6" s="4"/>
      <c r="D6" s="20"/>
      <c r="E6" s="4"/>
      <c r="F6" s="5" t="s">
        <v>52</v>
      </c>
      <c r="G6" s="5" t="s">
        <v>53</v>
      </c>
      <c r="H6" s="5" t="s">
        <v>52</v>
      </c>
      <c r="I6" s="5" t="s">
        <v>53</v>
      </c>
      <c r="J6" s="20"/>
      <c r="K6" t="s">
        <v>52</v>
      </c>
      <c r="L6" t="s">
        <v>53</v>
      </c>
      <c r="M6" t="s">
        <v>120</v>
      </c>
      <c r="N6" s="378"/>
      <c r="P6" s="10"/>
      <c r="Q6" s="10" t="s">
        <v>148</v>
      </c>
      <c r="R6" s="31" t="s">
        <v>149</v>
      </c>
      <c r="S6" s="380"/>
      <c r="T6" s="380"/>
      <c r="U6" s="32"/>
      <c r="V6" s="32" t="s">
        <v>148</v>
      </c>
      <c r="W6" s="37" t="s">
        <v>149</v>
      </c>
      <c r="X6" s="361"/>
      <c r="Y6" s="361"/>
      <c r="Z6" s="33"/>
      <c r="AA6" s="33" t="s">
        <v>148</v>
      </c>
      <c r="AB6" s="33" t="s">
        <v>149</v>
      </c>
      <c r="AC6" s="370"/>
      <c r="AD6" s="370"/>
      <c r="AE6" s="34"/>
      <c r="AF6" s="34" t="s">
        <v>148</v>
      </c>
      <c r="AG6" s="38" t="s">
        <v>149</v>
      </c>
      <c r="AH6" s="367"/>
      <c r="AI6" s="367"/>
      <c r="AJ6" s="35"/>
      <c r="AK6" s="35" t="s">
        <v>148</v>
      </c>
      <c r="AL6" s="36" t="s">
        <v>149</v>
      </c>
      <c r="AM6" s="368"/>
      <c r="AN6" s="368"/>
      <c r="AO6" s="365"/>
      <c r="AP6" s="375"/>
      <c r="AQ6" s="362"/>
      <c r="AR6" s="362"/>
      <c r="AS6" s="362"/>
    </row>
    <row r="7" spans="1:45" ht="12.75">
      <c r="A7" s="5">
        <f>'Charges acoustiques'!A17</f>
        <v>0</v>
      </c>
      <c r="B7" s="5">
        <f>'Charges acoustiques'!B17</f>
        <v>0</v>
      </c>
      <c r="C7" s="5">
        <f>'Charges acoustiques'!C17</f>
        <v>0</v>
      </c>
      <c r="D7" s="5">
        <f>'Charges acoustiques'!D17</f>
        <v>0</v>
      </c>
      <c r="E7" s="5">
        <f>'Charges acoustiques'!E17</f>
        <v>0</v>
      </c>
      <c r="F7" s="5">
        <f>'Charges acoustiques'!H17</f>
        <v>0</v>
      </c>
      <c r="G7" s="5">
        <f>'Charges acoustiques'!I17</f>
        <v>0</v>
      </c>
      <c r="H7" s="5">
        <f>'Charges acoustiques'!J17</f>
        <v>0</v>
      </c>
      <c r="I7" s="5">
        <f>'Charges acoustiques'!K17</f>
        <v>0</v>
      </c>
      <c r="J7" s="5">
        <f>IF(N7="Jour",F7-H7,G7-I7)</f>
        <v>0</v>
      </c>
      <c r="K7" s="5" t="str">
        <f>IF(D7&gt;0,IF(F7&gt;VLOOKUP(D7,Grundlagen!$A$5:$G$9,3,FALSE),F7-VLOOKUP(D7,Grundlagen!$A$5:$G$9,3,FALSE),"-"),"-")</f>
        <v>-</v>
      </c>
      <c r="L7" s="5" t="str">
        <f>IF(D7&gt;0,IF(G7&gt;VLOOKUP(D7,Grundlagen!$A$5:$G$9,6,FALSE),G7-VLOOKUP(D7,Grundlagen!$A$5:$G$9,6,FALSE),"-"),"-")</f>
        <v>-</v>
      </c>
      <c r="M7" s="5">
        <f>IF(K7&lt;&gt;"-",1,IF(L7&lt;&gt;"-",1,0))</f>
        <v>0</v>
      </c>
      <c r="N7" s="5" t="str">
        <f>IF(G7-10&gt;F7,"Jour","Nuit")</f>
        <v>Nuit</v>
      </c>
      <c r="O7" s="5" t="str">
        <f>IF(D7="IIB","Exploitation",IF(D7="IIIB","Exploitation","Habitation"))</f>
        <v>Habitation</v>
      </c>
      <c r="P7" s="24">
        <f>IF(N7="Nuit",G7,F7)</f>
        <v>0</v>
      </c>
      <c r="Q7" s="24">
        <f>IF(N7="Nuit",IF(O7="Exploitation",65,60),IF(O7="Exploitation",75,70))</f>
        <v>60</v>
      </c>
      <c r="R7" s="24">
        <f>IF($P7&gt;Q7,IF($P7-J7&gt;Q7,J7,P7-Q7),0)</f>
        <v>0</v>
      </c>
      <c r="S7" s="24">
        <f>R7*R$4</f>
        <v>0</v>
      </c>
      <c r="T7" s="24">
        <f>J7-R7</f>
        <v>0</v>
      </c>
      <c r="U7" s="25">
        <f>P7-R7</f>
        <v>0</v>
      </c>
      <c r="V7" s="25">
        <f>Q7-5</f>
        <v>55</v>
      </c>
      <c r="W7" s="25">
        <f>IF(U7&gt;V7,IF(U7-T7&gt;V7,T7,U7-V7),0)</f>
        <v>0</v>
      </c>
      <c r="X7" s="25">
        <f>W7*W$4</f>
        <v>0</v>
      </c>
      <c r="Y7" s="25">
        <f>T7-W7</f>
        <v>0</v>
      </c>
      <c r="Z7" s="26">
        <f>U7-W7</f>
        <v>0</v>
      </c>
      <c r="AA7" s="26">
        <f>V7-5</f>
        <v>50</v>
      </c>
      <c r="AB7" s="26">
        <f>IF(Z7&gt;AA7,IF(Z7-Y7&gt;AA7,Y7,Z7-AA7),0)</f>
        <v>0</v>
      </c>
      <c r="AC7" s="26">
        <f>AB7*AB$4</f>
        <v>0</v>
      </c>
      <c r="AD7" s="26">
        <f>Y7-AB7</f>
        <v>0</v>
      </c>
      <c r="AE7" s="27">
        <f>Z7-AB7</f>
        <v>0</v>
      </c>
      <c r="AF7" s="27">
        <f>AA7-5</f>
        <v>45</v>
      </c>
      <c r="AG7" s="27">
        <f>IF(AE7&gt;AF7,IF(AE7-AD7&gt;AF7,AD7,AE7-AF7),0)</f>
        <v>0</v>
      </c>
      <c r="AH7" s="27">
        <f>AG7*AG$4</f>
        <v>0</v>
      </c>
      <c r="AI7" s="27">
        <f>AD7-AG7</f>
        <v>0</v>
      </c>
      <c r="AJ7" s="28">
        <f>AE7-AG7</f>
        <v>0</v>
      </c>
      <c r="AK7" s="28">
        <f>AF7-5</f>
        <v>40</v>
      </c>
      <c r="AL7" s="28">
        <f>IF(AJ7&gt;AK7,IF(AJ7-AI7&gt;AK7,AI7,AJ7-AK7),0)</f>
        <v>0</v>
      </c>
      <c r="AM7" s="28">
        <f>AL7*AL$4</f>
        <v>0</v>
      </c>
      <c r="AN7" s="28">
        <f>AI7-AL7</f>
        <v>0</v>
      </c>
      <c r="AO7" s="29">
        <f>IF('Charges acoustiques'!F17="x",0,1)</f>
        <v>1</v>
      </c>
      <c r="AP7" s="5">
        <f>E7*M7*(R7+W7+AB7+AG7+AL7)*3*AO7</f>
        <v>0</v>
      </c>
      <c r="AQ7" s="5">
        <f>E7*M7*(S7+X7+AC7+AH7+AM7)*3*AO7</f>
        <v>0</v>
      </c>
      <c r="AR7" s="5">
        <f>E7*M7*(R7+W7+AB7+AG7+AL7)*3</f>
        <v>0</v>
      </c>
      <c r="AS7" s="5">
        <f>E7*M7*(S7+X7+AC7+AH7+AM7)*3</f>
        <v>0</v>
      </c>
    </row>
    <row r="8" spans="1:45" ht="12.75">
      <c r="A8" s="5">
        <f>'Charges acoustiques'!A18</f>
        <v>0</v>
      </c>
      <c r="B8" s="5">
        <f>'Charges acoustiques'!B18</f>
        <v>0</v>
      </c>
      <c r="C8" s="5">
        <f>'Charges acoustiques'!C18</f>
        <v>0</v>
      </c>
      <c r="D8" s="5">
        <f>'Charges acoustiques'!D18</f>
        <v>0</v>
      </c>
      <c r="E8" s="5">
        <f>'Charges acoustiques'!E18</f>
        <v>0</v>
      </c>
      <c r="F8" s="5">
        <f>'Charges acoustiques'!H18</f>
        <v>0</v>
      </c>
      <c r="G8" s="5">
        <f>'Charges acoustiques'!I18</f>
        <v>0</v>
      </c>
      <c r="H8" s="5">
        <f>'Charges acoustiques'!J18</f>
        <v>0</v>
      </c>
      <c r="I8" s="5">
        <f>'Charges acoustiques'!K18</f>
        <v>0</v>
      </c>
      <c r="J8" s="5">
        <f aca="true" t="shared" si="0" ref="J8:J28">IF(N8="Jour",F8-H8,G8-I8)</f>
        <v>0</v>
      </c>
      <c r="K8" s="5" t="str">
        <f>IF(D8&gt;0,IF(F8&gt;VLOOKUP(D8,Grundlagen!$A$5:$G$9,3,FALSE),F8-VLOOKUP(D8,Grundlagen!$A$5:$G$9,3,FALSE),"-"),"-")</f>
        <v>-</v>
      </c>
      <c r="L8" s="5" t="str">
        <f>IF(D8&gt;0,IF(G8&gt;VLOOKUP(D8,Grundlagen!$A$5:$G$9,6,FALSE),G8-VLOOKUP(D8,Grundlagen!$A$5:$G$9,6,FALSE),"-"),"-")</f>
        <v>-</v>
      </c>
      <c r="M8" s="5">
        <f aca="true" t="shared" si="1" ref="M8:M20">IF(K8&lt;&gt;"-",1,IF(L8&lt;&gt;"-",1,0))</f>
        <v>0</v>
      </c>
      <c r="N8" s="5" t="str">
        <f aca="true" t="shared" si="2" ref="N8:N28">IF(G8-10&gt;F8,"Jour","Nuit")</f>
        <v>Nuit</v>
      </c>
      <c r="O8" s="5" t="str">
        <f aca="true" t="shared" si="3" ref="O8:O28">IF(D8="IIB","Exploitation",IF(D8="IIIB","Exploitation","Habitation"))</f>
        <v>Habitation</v>
      </c>
      <c r="P8" s="24">
        <f aca="true" t="shared" si="4" ref="P8:P28">IF(N8="Nuit",G8,F8)</f>
        <v>0</v>
      </c>
      <c r="Q8" s="24">
        <f aca="true" t="shared" si="5" ref="Q8:Q28">IF(N8="Nuit",IF(O8="Exploitation",65,60),IF(O8="Exploitation",75,70))</f>
        <v>60</v>
      </c>
      <c r="R8" s="24">
        <f aca="true" t="shared" si="6" ref="R8:R20">IF($P8&gt;Q8,IF($P8-J8&gt;Q8,J8,P8-Q8),0)</f>
        <v>0</v>
      </c>
      <c r="S8" s="24">
        <f aca="true" t="shared" si="7" ref="S8:S28">R8*R$4</f>
        <v>0</v>
      </c>
      <c r="T8" s="24">
        <f aca="true" t="shared" si="8" ref="T8:T20">J8-R8</f>
        <v>0</v>
      </c>
      <c r="U8" s="25">
        <f aca="true" t="shared" si="9" ref="U8:U20">P8-R8</f>
        <v>0</v>
      </c>
      <c r="V8" s="25">
        <f aca="true" t="shared" si="10" ref="V8:V20">Q8-5</f>
        <v>55</v>
      </c>
      <c r="W8" s="25">
        <f>IF(U8&gt;V8,IF(U8-T8&gt;V8,T8,U8-V8),0)</f>
        <v>0</v>
      </c>
      <c r="X8" s="25">
        <f aca="true" t="shared" si="11" ref="X8:X28">W8*W$4</f>
        <v>0</v>
      </c>
      <c r="Y8" s="25">
        <f aca="true" t="shared" si="12" ref="Y8:Y20">T8-W8</f>
        <v>0</v>
      </c>
      <c r="Z8" s="26">
        <f aca="true" t="shared" si="13" ref="Z8:Z20">U8-W8</f>
        <v>0</v>
      </c>
      <c r="AA8" s="26">
        <f aca="true" t="shared" si="14" ref="AA8:AA20">V8-5</f>
        <v>50</v>
      </c>
      <c r="AB8" s="26">
        <f>IF(Z8&gt;AA8,IF(Z8-Y8&gt;AA8,Y8,Z8-AA8),0)</f>
        <v>0</v>
      </c>
      <c r="AC8" s="26">
        <f aca="true" t="shared" si="15" ref="AC8:AC28">AB8*AB$4</f>
        <v>0</v>
      </c>
      <c r="AD8" s="26">
        <f>Y8-AB8</f>
        <v>0</v>
      </c>
      <c r="AE8" s="27">
        <f aca="true" t="shared" si="16" ref="AE8:AE20">Z8-AB8</f>
        <v>0</v>
      </c>
      <c r="AF8" s="27">
        <f aca="true" t="shared" si="17" ref="AF8:AF20">AA8-5</f>
        <v>45</v>
      </c>
      <c r="AG8" s="27">
        <f>IF(AE8&gt;AF8,IF(AE8-AD8&gt;AF8,AD8,AE8-AF8),0)</f>
        <v>0</v>
      </c>
      <c r="AH8" s="27">
        <f aca="true" t="shared" si="18" ref="AH8:AH28">AG8*AG$4</f>
        <v>0</v>
      </c>
      <c r="AI8" s="27">
        <f aca="true" t="shared" si="19" ref="AI8:AI20">AD8-AG8</f>
        <v>0</v>
      </c>
      <c r="AJ8" s="28">
        <f aca="true" t="shared" si="20" ref="AJ8:AJ20">AE8-AG8</f>
        <v>0</v>
      </c>
      <c r="AK8" s="28">
        <f aca="true" t="shared" si="21" ref="AK8:AK20">AF8-5</f>
        <v>40</v>
      </c>
      <c r="AL8" s="28">
        <f>IF(AJ8&gt;AK8,IF(AJ8-AI8&gt;AK8,AI8,AJ8-AK8),0)</f>
        <v>0</v>
      </c>
      <c r="AM8" s="28">
        <f>AL8*AL$4</f>
        <v>0</v>
      </c>
      <c r="AN8" s="28">
        <f aca="true" t="shared" si="22" ref="AN8:AN20">AI8-AL8</f>
        <v>0</v>
      </c>
      <c r="AO8" s="8">
        <f>IF('Charges acoustiques'!F18="x",0,1)</f>
        <v>1</v>
      </c>
      <c r="AP8" s="5">
        <f aca="true" t="shared" si="23" ref="AP8:AP20">E8*M8*(R8+W8+AB8+AG8+AL8)*3*AO8</f>
        <v>0</v>
      </c>
      <c r="AQ8" s="5">
        <f aca="true" t="shared" si="24" ref="AQ8:AQ20">E8*M8*(S8+X8+AC8+AH8+AM8)*3*AO8</f>
        <v>0</v>
      </c>
      <c r="AR8" s="5">
        <f aca="true" t="shared" si="25" ref="AR8:AR20">E8*M8*(R8+W8+AB8+AG8+AL8)*3</f>
        <v>0</v>
      </c>
      <c r="AS8" s="5">
        <f aca="true" t="shared" si="26" ref="AS8:AS20">E8*M8*(S8+X8+AC8+AH8+AM8)*3</f>
        <v>0</v>
      </c>
    </row>
    <row r="9" spans="1:45" ht="12.75">
      <c r="A9" s="5">
        <f>'Charges acoustiques'!A19</f>
        <v>0</v>
      </c>
      <c r="B9" s="5">
        <f>'Charges acoustiques'!B19</f>
        <v>0</v>
      </c>
      <c r="C9" s="5">
        <f>'Charges acoustiques'!C19</f>
        <v>0</v>
      </c>
      <c r="D9" s="5">
        <f>'Charges acoustiques'!D19</f>
        <v>0</v>
      </c>
      <c r="E9" s="5">
        <f>'Charges acoustiques'!E19</f>
        <v>0</v>
      </c>
      <c r="F9" s="5">
        <f>'Charges acoustiques'!H19</f>
        <v>0</v>
      </c>
      <c r="G9" s="5">
        <f>'Charges acoustiques'!I19</f>
        <v>0</v>
      </c>
      <c r="H9" s="5">
        <f>'Charges acoustiques'!J19</f>
        <v>0</v>
      </c>
      <c r="I9" s="5">
        <f>'Charges acoustiques'!K19</f>
        <v>0</v>
      </c>
      <c r="J9" s="5">
        <f t="shared" si="0"/>
        <v>0</v>
      </c>
      <c r="K9" s="5" t="str">
        <f>IF(D9&gt;0,IF(F9&gt;VLOOKUP(D9,Grundlagen!$A$5:$G$9,3,FALSE),F9-VLOOKUP(D9,Grundlagen!$A$5:$G$9,3,FALSE),"-"),"-")</f>
        <v>-</v>
      </c>
      <c r="L9" s="5" t="str">
        <f>IF(D9&gt;0,IF(G9&gt;VLOOKUP(D9,Grundlagen!$A$5:$G$9,6,FALSE),G9-VLOOKUP(D9,Grundlagen!$A$5:$G$9,6,FALSE),"-"),"-")</f>
        <v>-</v>
      </c>
      <c r="M9" s="5">
        <f t="shared" si="1"/>
        <v>0</v>
      </c>
      <c r="N9" s="5" t="str">
        <f t="shared" si="2"/>
        <v>Nuit</v>
      </c>
      <c r="O9" s="5" t="str">
        <f t="shared" si="3"/>
        <v>Habitation</v>
      </c>
      <c r="P9" s="24">
        <f t="shared" si="4"/>
        <v>0</v>
      </c>
      <c r="Q9" s="24">
        <f t="shared" si="5"/>
        <v>60</v>
      </c>
      <c r="R9" s="24">
        <f t="shared" si="6"/>
        <v>0</v>
      </c>
      <c r="S9" s="24">
        <f t="shared" si="7"/>
        <v>0</v>
      </c>
      <c r="T9" s="24">
        <f t="shared" si="8"/>
        <v>0</v>
      </c>
      <c r="U9" s="25">
        <f t="shared" si="9"/>
        <v>0</v>
      </c>
      <c r="V9" s="25">
        <f t="shared" si="10"/>
        <v>55</v>
      </c>
      <c r="W9" s="25">
        <f aca="true" t="shared" si="27" ref="W9:W20">IF(U9&gt;V9,IF(U9-T9&gt;V9,T9,U9-V9),0)</f>
        <v>0</v>
      </c>
      <c r="X9" s="25">
        <f t="shared" si="11"/>
        <v>0</v>
      </c>
      <c r="Y9" s="25">
        <f t="shared" si="12"/>
        <v>0</v>
      </c>
      <c r="Z9" s="26">
        <f t="shared" si="13"/>
        <v>0</v>
      </c>
      <c r="AA9" s="26">
        <f t="shared" si="14"/>
        <v>50</v>
      </c>
      <c r="AB9" s="26">
        <f aca="true" t="shared" si="28" ref="AB9:AB20">IF(Z9&gt;AA9,IF(Z9-Y9&gt;AA9,Y9,Z9-AA9),0)</f>
        <v>0</v>
      </c>
      <c r="AC9" s="26">
        <f t="shared" si="15"/>
        <v>0</v>
      </c>
      <c r="AD9" s="26">
        <f>Y9-AB9</f>
        <v>0</v>
      </c>
      <c r="AE9" s="27">
        <f t="shared" si="16"/>
        <v>0</v>
      </c>
      <c r="AF9" s="27">
        <f t="shared" si="17"/>
        <v>45</v>
      </c>
      <c r="AG9" s="27">
        <f aca="true" t="shared" si="29" ref="AG9:AG20">IF(AE9&gt;AF9,IF(AE9-AD9&gt;AF9,AD9,AE9-AF9),0)</f>
        <v>0</v>
      </c>
      <c r="AH9" s="27">
        <f t="shared" si="18"/>
        <v>0</v>
      </c>
      <c r="AI9" s="27">
        <f t="shared" si="19"/>
        <v>0</v>
      </c>
      <c r="AJ9" s="28">
        <f t="shared" si="20"/>
        <v>0</v>
      </c>
      <c r="AK9" s="28">
        <f t="shared" si="21"/>
        <v>40</v>
      </c>
      <c r="AL9" s="28">
        <f aca="true" t="shared" si="30" ref="AL9:AL20">IF(AJ9&gt;AK9,IF(AJ9-AI9&gt;AK9,AI9,AJ9-AK9),0)</f>
        <v>0</v>
      </c>
      <c r="AM9" s="28">
        <f aca="true" t="shared" si="31" ref="AM9:AM28">AL9*AL$4</f>
        <v>0</v>
      </c>
      <c r="AN9" s="28">
        <f t="shared" si="22"/>
        <v>0</v>
      </c>
      <c r="AO9" s="8">
        <f>IF('Charges acoustiques'!F19="x",0,1)</f>
        <v>1</v>
      </c>
      <c r="AP9" s="5">
        <f t="shared" si="23"/>
        <v>0</v>
      </c>
      <c r="AQ9" s="5">
        <f t="shared" si="24"/>
        <v>0</v>
      </c>
      <c r="AR9" s="5">
        <f t="shared" si="25"/>
        <v>0</v>
      </c>
      <c r="AS9" s="5">
        <f t="shared" si="26"/>
        <v>0</v>
      </c>
    </row>
    <row r="10" spans="1:45" ht="12.75">
      <c r="A10" s="5">
        <f>'Charges acoustiques'!A20</f>
        <v>0</v>
      </c>
      <c r="B10" s="5">
        <f>'Charges acoustiques'!B20</f>
        <v>0</v>
      </c>
      <c r="C10" s="5">
        <f>'Charges acoustiques'!C20</f>
        <v>0</v>
      </c>
      <c r="D10" s="5">
        <f>'Charges acoustiques'!D20</f>
        <v>0</v>
      </c>
      <c r="E10" s="5">
        <f>'Charges acoustiques'!E20</f>
        <v>0</v>
      </c>
      <c r="F10" s="5">
        <f>'Charges acoustiques'!H20</f>
        <v>0</v>
      </c>
      <c r="G10" s="5">
        <f>'Charges acoustiques'!I20</f>
        <v>0</v>
      </c>
      <c r="H10" s="5">
        <f>'Charges acoustiques'!J20</f>
        <v>0</v>
      </c>
      <c r="I10" s="5">
        <f>'Charges acoustiques'!K20</f>
        <v>0</v>
      </c>
      <c r="J10" s="5">
        <f t="shared" si="0"/>
        <v>0</v>
      </c>
      <c r="K10" s="5" t="str">
        <f>IF(D10&gt;0,IF(F10&gt;VLOOKUP(D10,Grundlagen!$A$5:$G$9,3,FALSE),F10-VLOOKUP(D10,Grundlagen!$A$5:$G$9,3,FALSE),"-"),"-")</f>
        <v>-</v>
      </c>
      <c r="L10" s="5" t="str">
        <f>IF(D10&gt;0,IF(G10&gt;VLOOKUP(D10,Grundlagen!$A$5:$G$9,6,FALSE),G10-VLOOKUP(D10,Grundlagen!$A$5:$G$9,6,FALSE),"-"),"-")</f>
        <v>-</v>
      </c>
      <c r="M10" s="5">
        <f t="shared" si="1"/>
        <v>0</v>
      </c>
      <c r="N10" s="5" t="str">
        <f t="shared" si="2"/>
        <v>Nuit</v>
      </c>
      <c r="O10" s="5" t="str">
        <f t="shared" si="3"/>
        <v>Habitation</v>
      </c>
      <c r="P10" s="24">
        <f t="shared" si="4"/>
        <v>0</v>
      </c>
      <c r="Q10" s="24">
        <f t="shared" si="5"/>
        <v>60</v>
      </c>
      <c r="R10" s="24">
        <f t="shared" si="6"/>
        <v>0</v>
      </c>
      <c r="S10" s="24">
        <f t="shared" si="7"/>
        <v>0</v>
      </c>
      <c r="T10" s="24">
        <f t="shared" si="8"/>
        <v>0</v>
      </c>
      <c r="U10" s="25">
        <f t="shared" si="9"/>
        <v>0</v>
      </c>
      <c r="V10" s="25">
        <f t="shared" si="10"/>
        <v>55</v>
      </c>
      <c r="W10" s="25">
        <f t="shared" si="27"/>
        <v>0</v>
      </c>
      <c r="X10" s="25">
        <f t="shared" si="11"/>
        <v>0</v>
      </c>
      <c r="Y10" s="25">
        <f t="shared" si="12"/>
        <v>0</v>
      </c>
      <c r="Z10" s="26">
        <f t="shared" si="13"/>
        <v>0</v>
      </c>
      <c r="AA10" s="26">
        <f t="shared" si="14"/>
        <v>50</v>
      </c>
      <c r="AB10" s="26">
        <f t="shared" si="28"/>
        <v>0</v>
      </c>
      <c r="AC10" s="26">
        <f t="shared" si="15"/>
        <v>0</v>
      </c>
      <c r="AD10" s="26">
        <f>Y10-AB10</f>
        <v>0</v>
      </c>
      <c r="AE10" s="27">
        <f t="shared" si="16"/>
        <v>0</v>
      </c>
      <c r="AF10" s="27">
        <f t="shared" si="17"/>
        <v>45</v>
      </c>
      <c r="AG10" s="27">
        <f t="shared" si="29"/>
        <v>0</v>
      </c>
      <c r="AH10" s="27">
        <f t="shared" si="18"/>
        <v>0</v>
      </c>
      <c r="AI10" s="27">
        <f t="shared" si="19"/>
        <v>0</v>
      </c>
      <c r="AJ10" s="28">
        <f t="shared" si="20"/>
        <v>0</v>
      </c>
      <c r="AK10" s="28">
        <f t="shared" si="21"/>
        <v>40</v>
      </c>
      <c r="AL10" s="28">
        <f t="shared" si="30"/>
        <v>0</v>
      </c>
      <c r="AM10" s="28">
        <f t="shared" si="31"/>
        <v>0</v>
      </c>
      <c r="AN10" s="28">
        <f t="shared" si="22"/>
        <v>0</v>
      </c>
      <c r="AO10" s="8">
        <f>IF('Charges acoustiques'!F20="x",0,1)</f>
        <v>1</v>
      </c>
      <c r="AP10" s="5">
        <f t="shared" si="23"/>
        <v>0</v>
      </c>
      <c r="AQ10" s="5">
        <f t="shared" si="24"/>
        <v>0</v>
      </c>
      <c r="AR10" s="5">
        <f t="shared" si="25"/>
        <v>0</v>
      </c>
      <c r="AS10" s="5">
        <f t="shared" si="26"/>
        <v>0</v>
      </c>
    </row>
    <row r="11" spans="1:45" ht="12.75">
      <c r="A11" s="5">
        <f>'Charges acoustiques'!A21</f>
        <v>0</v>
      </c>
      <c r="B11" s="5">
        <f>'Charges acoustiques'!B21</f>
        <v>0</v>
      </c>
      <c r="C11" s="5">
        <f>'Charges acoustiques'!C21</f>
        <v>0</v>
      </c>
      <c r="D11" s="5">
        <f>'Charges acoustiques'!D21</f>
        <v>0</v>
      </c>
      <c r="E11" s="5">
        <f>'Charges acoustiques'!E21</f>
        <v>0</v>
      </c>
      <c r="F11" s="5">
        <f>'Charges acoustiques'!H21</f>
        <v>0</v>
      </c>
      <c r="G11" s="5">
        <f>'Charges acoustiques'!I21</f>
        <v>0</v>
      </c>
      <c r="H11" s="5">
        <f>'Charges acoustiques'!J21</f>
        <v>0</v>
      </c>
      <c r="I11" s="5">
        <f>'Charges acoustiques'!K21</f>
        <v>0</v>
      </c>
      <c r="J11" s="5">
        <f t="shared" si="0"/>
        <v>0</v>
      </c>
      <c r="K11" s="5" t="str">
        <f>IF(D11&gt;0,IF(F11&gt;VLOOKUP(D11,Grundlagen!$A$5:$G$9,3,FALSE),F11-VLOOKUP(D11,Grundlagen!$A$5:$G$9,3,FALSE),"-"),"-")</f>
        <v>-</v>
      </c>
      <c r="L11" s="5" t="str">
        <f>IF(D11&gt;0,IF(G11&gt;VLOOKUP(D11,Grundlagen!$A$5:$G$9,6,FALSE),G11-VLOOKUP(D11,Grundlagen!$A$5:$G$9,6,FALSE),"-"),"-")</f>
        <v>-</v>
      </c>
      <c r="M11" s="5">
        <f t="shared" si="1"/>
        <v>0</v>
      </c>
      <c r="N11" s="5" t="str">
        <f t="shared" si="2"/>
        <v>Nuit</v>
      </c>
      <c r="O11" s="5" t="str">
        <f t="shared" si="3"/>
        <v>Habitation</v>
      </c>
      <c r="P11" s="24">
        <f t="shared" si="4"/>
        <v>0</v>
      </c>
      <c r="Q11" s="24">
        <f t="shared" si="5"/>
        <v>60</v>
      </c>
      <c r="R11" s="24">
        <f t="shared" si="6"/>
        <v>0</v>
      </c>
      <c r="S11" s="24">
        <f t="shared" si="7"/>
        <v>0</v>
      </c>
      <c r="T11" s="24">
        <f t="shared" si="8"/>
        <v>0</v>
      </c>
      <c r="U11" s="25">
        <f t="shared" si="9"/>
        <v>0</v>
      </c>
      <c r="V11" s="25">
        <f t="shared" si="10"/>
        <v>55</v>
      </c>
      <c r="W11" s="25">
        <f t="shared" si="27"/>
        <v>0</v>
      </c>
      <c r="X11" s="25">
        <f t="shared" si="11"/>
        <v>0</v>
      </c>
      <c r="Y11" s="25">
        <f t="shared" si="12"/>
        <v>0</v>
      </c>
      <c r="Z11" s="26">
        <f t="shared" si="13"/>
        <v>0</v>
      </c>
      <c r="AA11" s="26">
        <f t="shared" si="14"/>
        <v>50</v>
      </c>
      <c r="AB11" s="26">
        <f t="shared" si="28"/>
        <v>0</v>
      </c>
      <c r="AC11" s="26">
        <f t="shared" si="15"/>
        <v>0</v>
      </c>
      <c r="AD11" s="26">
        <f>Y11-AB11</f>
        <v>0</v>
      </c>
      <c r="AE11" s="27">
        <f t="shared" si="16"/>
        <v>0</v>
      </c>
      <c r="AF11" s="27">
        <f t="shared" si="17"/>
        <v>45</v>
      </c>
      <c r="AG11" s="27">
        <f t="shared" si="29"/>
        <v>0</v>
      </c>
      <c r="AH11" s="27">
        <f t="shared" si="18"/>
        <v>0</v>
      </c>
      <c r="AI11" s="27">
        <f t="shared" si="19"/>
        <v>0</v>
      </c>
      <c r="AJ11" s="28">
        <f t="shared" si="20"/>
        <v>0</v>
      </c>
      <c r="AK11" s="28">
        <f t="shared" si="21"/>
        <v>40</v>
      </c>
      <c r="AL11" s="28">
        <f t="shared" si="30"/>
        <v>0</v>
      </c>
      <c r="AM11" s="28">
        <f t="shared" si="31"/>
        <v>0</v>
      </c>
      <c r="AN11" s="28">
        <f t="shared" si="22"/>
        <v>0</v>
      </c>
      <c r="AO11" s="8">
        <f>IF('Charges acoustiques'!F21="x",0,1)</f>
        <v>1</v>
      </c>
      <c r="AP11" s="5">
        <f t="shared" si="23"/>
        <v>0</v>
      </c>
      <c r="AQ11" s="5">
        <f t="shared" si="24"/>
        <v>0</v>
      </c>
      <c r="AR11" s="5">
        <f t="shared" si="25"/>
        <v>0</v>
      </c>
      <c r="AS11" s="5">
        <f t="shared" si="26"/>
        <v>0</v>
      </c>
    </row>
    <row r="12" spans="1:45" ht="12.75">
      <c r="A12" s="5">
        <f>'Charges acoustiques'!A22</f>
        <v>0</v>
      </c>
      <c r="B12" s="5">
        <f>'Charges acoustiques'!B22</f>
        <v>0</v>
      </c>
      <c r="C12" s="5">
        <f>'Charges acoustiques'!C22</f>
        <v>0</v>
      </c>
      <c r="D12" s="5">
        <f>'Charges acoustiques'!D22</f>
        <v>0</v>
      </c>
      <c r="E12" s="5">
        <f>'Charges acoustiques'!E22</f>
        <v>0</v>
      </c>
      <c r="F12" s="5">
        <f>'Charges acoustiques'!H22</f>
        <v>0</v>
      </c>
      <c r="G12" s="5">
        <f>'Charges acoustiques'!I22</f>
        <v>0</v>
      </c>
      <c r="H12" s="5">
        <f>'Charges acoustiques'!J22</f>
        <v>0</v>
      </c>
      <c r="I12" s="5">
        <f>'Charges acoustiques'!K22</f>
        <v>0</v>
      </c>
      <c r="J12" s="5">
        <f t="shared" si="0"/>
        <v>0</v>
      </c>
      <c r="K12" s="5" t="str">
        <f>IF(D12&gt;0,IF(F12&gt;VLOOKUP(D12,Grundlagen!$A$5:$G$9,3,FALSE),F12-VLOOKUP(D12,Grundlagen!$A$5:$G$9,3,FALSE),"-"),"-")</f>
        <v>-</v>
      </c>
      <c r="L12" s="5" t="str">
        <f>IF(D12&gt;0,IF(G12&gt;VLOOKUP(D12,Grundlagen!$A$5:$G$9,6,FALSE),G12-VLOOKUP(D12,Grundlagen!$A$5:$G$9,6,FALSE),"-"),"-")</f>
        <v>-</v>
      </c>
      <c r="M12" s="5">
        <f t="shared" si="1"/>
        <v>0</v>
      </c>
      <c r="N12" s="5" t="str">
        <f t="shared" si="2"/>
        <v>Nuit</v>
      </c>
      <c r="O12" s="5" t="str">
        <f t="shared" si="3"/>
        <v>Habitation</v>
      </c>
      <c r="P12" s="24">
        <f t="shared" si="4"/>
        <v>0</v>
      </c>
      <c r="Q12" s="24">
        <f t="shared" si="5"/>
        <v>60</v>
      </c>
      <c r="R12" s="24">
        <f t="shared" si="6"/>
        <v>0</v>
      </c>
      <c r="S12" s="24">
        <f t="shared" si="7"/>
        <v>0</v>
      </c>
      <c r="T12" s="24">
        <f t="shared" si="8"/>
        <v>0</v>
      </c>
      <c r="U12" s="25">
        <f t="shared" si="9"/>
        <v>0</v>
      </c>
      <c r="V12" s="25">
        <f t="shared" si="10"/>
        <v>55</v>
      </c>
      <c r="W12" s="25">
        <f t="shared" si="27"/>
        <v>0</v>
      </c>
      <c r="X12" s="25">
        <f t="shared" si="11"/>
        <v>0</v>
      </c>
      <c r="Y12" s="25">
        <f t="shared" si="12"/>
        <v>0</v>
      </c>
      <c r="Z12" s="26">
        <f t="shared" si="13"/>
        <v>0</v>
      </c>
      <c r="AA12" s="26">
        <f t="shared" si="14"/>
        <v>50</v>
      </c>
      <c r="AB12" s="26">
        <f t="shared" si="28"/>
        <v>0</v>
      </c>
      <c r="AC12" s="26">
        <f t="shared" si="15"/>
        <v>0</v>
      </c>
      <c r="AD12" s="26">
        <f aca="true" t="shared" si="32" ref="AD12:AD20">Y12-AB12</f>
        <v>0</v>
      </c>
      <c r="AE12" s="27">
        <f t="shared" si="16"/>
        <v>0</v>
      </c>
      <c r="AF12" s="27">
        <f t="shared" si="17"/>
        <v>45</v>
      </c>
      <c r="AG12" s="27">
        <f t="shared" si="29"/>
        <v>0</v>
      </c>
      <c r="AH12" s="27">
        <f t="shared" si="18"/>
        <v>0</v>
      </c>
      <c r="AI12" s="27">
        <f t="shared" si="19"/>
        <v>0</v>
      </c>
      <c r="AJ12" s="28">
        <f t="shared" si="20"/>
        <v>0</v>
      </c>
      <c r="AK12" s="28">
        <f t="shared" si="21"/>
        <v>40</v>
      </c>
      <c r="AL12" s="28">
        <f t="shared" si="30"/>
        <v>0</v>
      </c>
      <c r="AM12" s="28">
        <f t="shared" si="31"/>
        <v>0</v>
      </c>
      <c r="AN12" s="28">
        <f t="shared" si="22"/>
        <v>0</v>
      </c>
      <c r="AO12" s="8">
        <f>IF('Charges acoustiques'!F22="x",0,1)</f>
        <v>1</v>
      </c>
      <c r="AP12" s="5">
        <f t="shared" si="23"/>
        <v>0</v>
      </c>
      <c r="AQ12" s="5">
        <f t="shared" si="24"/>
        <v>0</v>
      </c>
      <c r="AR12" s="5">
        <f t="shared" si="25"/>
        <v>0</v>
      </c>
      <c r="AS12" s="5">
        <f t="shared" si="26"/>
        <v>0</v>
      </c>
    </row>
    <row r="13" spans="1:45" ht="12.75">
      <c r="A13" s="5">
        <f>'Charges acoustiques'!A23</f>
        <v>0</v>
      </c>
      <c r="B13" s="5">
        <f>'Charges acoustiques'!B23</f>
        <v>0</v>
      </c>
      <c r="C13" s="5">
        <f>'Charges acoustiques'!C23</f>
        <v>0</v>
      </c>
      <c r="D13" s="5">
        <f>'Charges acoustiques'!D23</f>
        <v>0</v>
      </c>
      <c r="E13" s="5">
        <f>'Charges acoustiques'!E23</f>
        <v>0</v>
      </c>
      <c r="F13" s="5">
        <f>'Charges acoustiques'!H23</f>
        <v>0</v>
      </c>
      <c r="G13" s="5">
        <f>'Charges acoustiques'!I23</f>
        <v>0</v>
      </c>
      <c r="H13" s="5">
        <f>'Charges acoustiques'!J23</f>
        <v>0</v>
      </c>
      <c r="I13" s="5">
        <f>'Charges acoustiques'!K23</f>
        <v>0</v>
      </c>
      <c r="J13" s="5">
        <f t="shared" si="0"/>
        <v>0</v>
      </c>
      <c r="K13" s="5" t="str">
        <f>IF(D13&gt;0,IF(F13&gt;VLOOKUP(D13,Grundlagen!$A$5:$G$9,3,FALSE),F13-VLOOKUP(D13,Grundlagen!$A$5:$G$9,3,FALSE),"-"),"-")</f>
        <v>-</v>
      </c>
      <c r="L13" s="5" t="str">
        <f>IF(D13&gt;0,IF(G13&gt;VLOOKUP(D13,Grundlagen!$A$5:$G$9,6,FALSE),G13-VLOOKUP(D13,Grundlagen!$A$5:$G$9,6,FALSE),"-"),"-")</f>
        <v>-</v>
      </c>
      <c r="M13" s="5">
        <f t="shared" si="1"/>
        <v>0</v>
      </c>
      <c r="N13" s="5" t="str">
        <f t="shared" si="2"/>
        <v>Nuit</v>
      </c>
      <c r="O13" s="5" t="str">
        <f t="shared" si="3"/>
        <v>Habitation</v>
      </c>
      <c r="P13" s="24">
        <f t="shared" si="4"/>
        <v>0</v>
      </c>
      <c r="Q13" s="24">
        <f t="shared" si="5"/>
        <v>60</v>
      </c>
      <c r="R13" s="24">
        <f t="shared" si="6"/>
        <v>0</v>
      </c>
      <c r="S13" s="24">
        <f t="shared" si="7"/>
        <v>0</v>
      </c>
      <c r="T13" s="24">
        <f t="shared" si="8"/>
        <v>0</v>
      </c>
      <c r="U13" s="25">
        <f t="shared" si="9"/>
        <v>0</v>
      </c>
      <c r="V13" s="25">
        <f t="shared" si="10"/>
        <v>55</v>
      </c>
      <c r="W13" s="25">
        <f t="shared" si="27"/>
        <v>0</v>
      </c>
      <c r="X13" s="25">
        <f t="shared" si="11"/>
        <v>0</v>
      </c>
      <c r="Y13" s="25">
        <f t="shared" si="12"/>
        <v>0</v>
      </c>
      <c r="Z13" s="26">
        <f t="shared" si="13"/>
        <v>0</v>
      </c>
      <c r="AA13" s="26">
        <f t="shared" si="14"/>
        <v>50</v>
      </c>
      <c r="AB13" s="26">
        <f t="shared" si="28"/>
        <v>0</v>
      </c>
      <c r="AC13" s="26">
        <f t="shared" si="15"/>
        <v>0</v>
      </c>
      <c r="AD13" s="26">
        <f t="shared" si="32"/>
        <v>0</v>
      </c>
      <c r="AE13" s="27">
        <f t="shared" si="16"/>
        <v>0</v>
      </c>
      <c r="AF13" s="27">
        <f t="shared" si="17"/>
        <v>45</v>
      </c>
      <c r="AG13" s="27">
        <f t="shared" si="29"/>
        <v>0</v>
      </c>
      <c r="AH13" s="27">
        <f t="shared" si="18"/>
        <v>0</v>
      </c>
      <c r="AI13" s="27">
        <f t="shared" si="19"/>
        <v>0</v>
      </c>
      <c r="AJ13" s="28">
        <f t="shared" si="20"/>
        <v>0</v>
      </c>
      <c r="AK13" s="28">
        <f t="shared" si="21"/>
        <v>40</v>
      </c>
      <c r="AL13" s="28">
        <f t="shared" si="30"/>
        <v>0</v>
      </c>
      <c r="AM13" s="28">
        <f t="shared" si="31"/>
        <v>0</v>
      </c>
      <c r="AN13" s="28">
        <f t="shared" si="22"/>
        <v>0</v>
      </c>
      <c r="AO13" s="8">
        <f>IF('Charges acoustiques'!F23="x",0,1)</f>
        <v>1</v>
      </c>
      <c r="AP13" s="5">
        <f t="shared" si="23"/>
        <v>0</v>
      </c>
      <c r="AQ13" s="5">
        <f t="shared" si="24"/>
        <v>0</v>
      </c>
      <c r="AR13" s="5">
        <f t="shared" si="25"/>
        <v>0</v>
      </c>
      <c r="AS13" s="5">
        <f t="shared" si="26"/>
        <v>0</v>
      </c>
    </row>
    <row r="14" spans="1:45" ht="12.75">
      <c r="A14" s="5">
        <f>'Charges acoustiques'!A24</f>
        <v>0</v>
      </c>
      <c r="B14" s="5">
        <f>'Charges acoustiques'!B24</f>
        <v>0</v>
      </c>
      <c r="C14" s="5">
        <f>'Charges acoustiques'!C24</f>
        <v>0</v>
      </c>
      <c r="D14" s="5">
        <f>'Charges acoustiques'!D24</f>
        <v>0</v>
      </c>
      <c r="E14" s="5">
        <f>'Charges acoustiques'!E24</f>
        <v>0</v>
      </c>
      <c r="F14" s="5">
        <f>'Charges acoustiques'!H24</f>
        <v>0</v>
      </c>
      <c r="G14" s="5">
        <f>'Charges acoustiques'!I24</f>
        <v>0</v>
      </c>
      <c r="H14" s="5">
        <f>'Charges acoustiques'!J24</f>
        <v>0</v>
      </c>
      <c r="I14" s="5">
        <f>'Charges acoustiques'!K24</f>
        <v>0</v>
      </c>
      <c r="J14" s="5">
        <f t="shared" si="0"/>
        <v>0</v>
      </c>
      <c r="K14" s="5" t="str">
        <f>IF(D14&gt;0,IF(F14&gt;VLOOKUP(D14,Grundlagen!$A$5:$G$9,3,FALSE),F14-VLOOKUP(D14,Grundlagen!$A$5:$G$9,3,FALSE),"-"),"-")</f>
        <v>-</v>
      </c>
      <c r="L14" s="5" t="str">
        <f>IF(D14&gt;0,IF(G14&gt;VLOOKUP(D14,Grundlagen!$A$5:$G$9,6,FALSE),G14-VLOOKUP(D14,Grundlagen!$A$5:$G$9,6,FALSE),"-"),"-")</f>
        <v>-</v>
      </c>
      <c r="M14" s="5">
        <f t="shared" si="1"/>
        <v>0</v>
      </c>
      <c r="N14" s="5" t="str">
        <f t="shared" si="2"/>
        <v>Nuit</v>
      </c>
      <c r="O14" s="5" t="str">
        <f t="shared" si="3"/>
        <v>Habitation</v>
      </c>
      <c r="P14" s="24">
        <f t="shared" si="4"/>
        <v>0</v>
      </c>
      <c r="Q14" s="24">
        <f t="shared" si="5"/>
        <v>60</v>
      </c>
      <c r="R14" s="24">
        <f t="shared" si="6"/>
        <v>0</v>
      </c>
      <c r="S14" s="24">
        <f t="shared" si="7"/>
        <v>0</v>
      </c>
      <c r="T14" s="24">
        <f t="shared" si="8"/>
        <v>0</v>
      </c>
      <c r="U14" s="25">
        <f t="shared" si="9"/>
        <v>0</v>
      </c>
      <c r="V14" s="25">
        <f t="shared" si="10"/>
        <v>55</v>
      </c>
      <c r="W14" s="25">
        <f t="shared" si="27"/>
        <v>0</v>
      </c>
      <c r="X14" s="25">
        <f t="shared" si="11"/>
        <v>0</v>
      </c>
      <c r="Y14" s="25">
        <f t="shared" si="12"/>
        <v>0</v>
      </c>
      <c r="Z14" s="26">
        <f t="shared" si="13"/>
        <v>0</v>
      </c>
      <c r="AA14" s="26">
        <f t="shared" si="14"/>
        <v>50</v>
      </c>
      <c r="AB14" s="26">
        <f t="shared" si="28"/>
        <v>0</v>
      </c>
      <c r="AC14" s="26">
        <f>AB14*AB$4</f>
        <v>0</v>
      </c>
      <c r="AD14" s="26">
        <f>Y14-AB14</f>
        <v>0</v>
      </c>
      <c r="AE14" s="27">
        <f t="shared" si="16"/>
        <v>0</v>
      </c>
      <c r="AF14" s="27">
        <f t="shared" si="17"/>
        <v>45</v>
      </c>
      <c r="AG14" s="27">
        <f t="shared" si="29"/>
        <v>0</v>
      </c>
      <c r="AH14" s="27">
        <f t="shared" si="18"/>
        <v>0</v>
      </c>
      <c r="AI14" s="27">
        <f t="shared" si="19"/>
        <v>0</v>
      </c>
      <c r="AJ14" s="28">
        <f t="shared" si="20"/>
        <v>0</v>
      </c>
      <c r="AK14" s="28">
        <f t="shared" si="21"/>
        <v>40</v>
      </c>
      <c r="AL14" s="28">
        <f t="shared" si="30"/>
        <v>0</v>
      </c>
      <c r="AM14" s="28">
        <f t="shared" si="31"/>
        <v>0</v>
      </c>
      <c r="AN14" s="28">
        <f t="shared" si="22"/>
        <v>0</v>
      </c>
      <c r="AO14" s="8">
        <f>IF('Charges acoustiques'!F24="x",0,1)</f>
        <v>1</v>
      </c>
      <c r="AP14" s="5">
        <f t="shared" si="23"/>
        <v>0</v>
      </c>
      <c r="AQ14" s="5">
        <f t="shared" si="24"/>
        <v>0</v>
      </c>
      <c r="AR14" s="5">
        <f t="shared" si="25"/>
        <v>0</v>
      </c>
      <c r="AS14" s="5">
        <f t="shared" si="26"/>
        <v>0</v>
      </c>
    </row>
    <row r="15" spans="1:45" ht="12.75">
      <c r="A15" s="5">
        <f>'Charges acoustiques'!A25</f>
        <v>0</v>
      </c>
      <c r="B15" s="5">
        <f>'Charges acoustiques'!B25</f>
        <v>0</v>
      </c>
      <c r="C15" s="5">
        <f>'Charges acoustiques'!C25</f>
        <v>0</v>
      </c>
      <c r="D15" s="5">
        <f>'Charges acoustiques'!D25</f>
        <v>0</v>
      </c>
      <c r="E15" s="5">
        <f>'Charges acoustiques'!E25</f>
        <v>0</v>
      </c>
      <c r="F15" s="5">
        <f>'Charges acoustiques'!H25</f>
        <v>0</v>
      </c>
      <c r="G15" s="5">
        <f>'Charges acoustiques'!I25</f>
        <v>0</v>
      </c>
      <c r="H15" s="5">
        <f>'Charges acoustiques'!J25</f>
        <v>0</v>
      </c>
      <c r="I15" s="5">
        <f>'Charges acoustiques'!K25</f>
        <v>0</v>
      </c>
      <c r="J15" s="5">
        <f t="shared" si="0"/>
        <v>0</v>
      </c>
      <c r="K15" s="5" t="str">
        <f>IF(D15&gt;0,IF(F15&gt;VLOOKUP(D15,Grundlagen!$A$5:$G$9,3,FALSE),F15-VLOOKUP(D15,Grundlagen!$A$5:$G$9,3,FALSE),"-"),"-")</f>
        <v>-</v>
      </c>
      <c r="L15" s="5" t="str">
        <f>IF(D15&gt;0,IF(G15&gt;VLOOKUP(D15,Grundlagen!$A$5:$G$9,6,FALSE),G15-VLOOKUP(D15,Grundlagen!$A$5:$G$9,6,FALSE),"-"),"-")</f>
        <v>-</v>
      </c>
      <c r="M15" s="5">
        <f t="shared" si="1"/>
        <v>0</v>
      </c>
      <c r="N15" s="5" t="str">
        <f t="shared" si="2"/>
        <v>Nuit</v>
      </c>
      <c r="O15" s="5" t="str">
        <f t="shared" si="3"/>
        <v>Habitation</v>
      </c>
      <c r="P15" s="24">
        <f t="shared" si="4"/>
        <v>0</v>
      </c>
      <c r="Q15" s="24">
        <f t="shared" si="5"/>
        <v>60</v>
      </c>
      <c r="R15" s="24">
        <f t="shared" si="6"/>
        <v>0</v>
      </c>
      <c r="S15" s="24">
        <f t="shared" si="7"/>
        <v>0</v>
      </c>
      <c r="T15" s="24">
        <f t="shared" si="8"/>
        <v>0</v>
      </c>
      <c r="U15" s="25">
        <f t="shared" si="9"/>
        <v>0</v>
      </c>
      <c r="V15" s="25">
        <f t="shared" si="10"/>
        <v>55</v>
      </c>
      <c r="W15" s="25">
        <f t="shared" si="27"/>
        <v>0</v>
      </c>
      <c r="X15" s="25">
        <f t="shared" si="11"/>
        <v>0</v>
      </c>
      <c r="Y15" s="25">
        <f t="shared" si="12"/>
        <v>0</v>
      </c>
      <c r="Z15" s="26">
        <f t="shared" si="13"/>
        <v>0</v>
      </c>
      <c r="AA15" s="26">
        <f t="shared" si="14"/>
        <v>50</v>
      </c>
      <c r="AB15" s="26">
        <f t="shared" si="28"/>
        <v>0</v>
      </c>
      <c r="AC15" s="26">
        <f t="shared" si="15"/>
        <v>0</v>
      </c>
      <c r="AD15" s="26">
        <f t="shared" si="32"/>
        <v>0</v>
      </c>
      <c r="AE15" s="27">
        <f t="shared" si="16"/>
        <v>0</v>
      </c>
      <c r="AF15" s="27">
        <f t="shared" si="17"/>
        <v>45</v>
      </c>
      <c r="AG15" s="27">
        <f t="shared" si="29"/>
        <v>0</v>
      </c>
      <c r="AH15" s="27">
        <f t="shared" si="18"/>
        <v>0</v>
      </c>
      <c r="AI15" s="27">
        <f t="shared" si="19"/>
        <v>0</v>
      </c>
      <c r="AJ15" s="28">
        <f t="shared" si="20"/>
        <v>0</v>
      </c>
      <c r="AK15" s="28">
        <f t="shared" si="21"/>
        <v>40</v>
      </c>
      <c r="AL15" s="28">
        <f t="shared" si="30"/>
        <v>0</v>
      </c>
      <c r="AM15" s="28">
        <f t="shared" si="31"/>
        <v>0</v>
      </c>
      <c r="AN15" s="28">
        <f t="shared" si="22"/>
        <v>0</v>
      </c>
      <c r="AO15" s="8">
        <f>IF('Charges acoustiques'!F25="x",0,1)</f>
        <v>1</v>
      </c>
      <c r="AP15" s="5">
        <f t="shared" si="23"/>
        <v>0</v>
      </c>
      <c r="AQ15" s="5">
        <f t="shared" si="24"/>
        <v>0</v>
      </c>
      <c r="AR15" s="5">
        <f t="shared" si="25"/>
        <v>0</v>
      </c>
      <c r="AS15" s="5">
        <f t="shared" si="26"/>
        <v>0</v>
      </c>
    </row>
    <row r="16" spans="1:45" ht="12.75">
      <c r="A16" s="5">
        <f>'Charges acoustiques'!A26</f>
        <v>0</v>
      </c>
      <c r="B16" s="5">
        <f>'Charges acoustiques'!B26</f>
        <v>0</v>
      </c>
      <c r="C16" s="5">
        <f>'Charges acoustiques'!C26</f>
        <v>0</v>
      </c>
      <c r="D16" s="5">
        <f>'Charges acoustiques'!D26</f>
        <v>0</v>
      </c>
      <c r="E16" s="5">
        <f>'Charges acoustiques'!E26</f>
        <v>0</v>
      </c>
      <c r="F16" s="5">
        <f>'Charges acoustiques'!H26</f>
        <v>0</v>
      </c>
      <c r="G16" s="5">
        <f>'Charges acoustiques'!I26</f>
        <v>0</v>
      </c>
      <c r="H16" s="5">
        <f>'Charges acoustiques'!J26</f>
        <v>0</v>
      </c>
      <c r="I16" s="5">
        <f>'Charges acoustiques'!K26</f>
        <v>0</v>
      </c>
      <c r="J16" s="5">
        <f t="shared" si="0"/>
        <v>0</v>
      </c>
      <c r="K16" s="5" t="str">
        <f>IF(D16&gt;0,IF(F16&gt;VLOOKUP(D16,Grundlagen!$A$5:$G$9,3,FALSE),F16-VLOOKUP(D16,Grundlagen!$A$5:$G$9,3,FALSE),"-"),"-")</f>
        <v>-</v>
      </c>
      <c r="L16" s="5" t="str">
        <f>IF(D16&gt;0,IF(G16&gt;VLOOKUP(D16,Grundlagen!$A$5:$G$9,6,FALSE),G16-VLOOKUP(D16,Grundlagen!$A$5:$G$9,6,FALSE),"-"),"-")</f>
        <v>-</v>
      </c>
      <c r="M16" s="5">
        <f t="shared" si="1"/>
        <v>0</v>
      </c>
      <c r="N16" s="5" t="str">
        <f t="shared" si="2"/>
        <v>Nuit</v>
      </c>
      <c r="O16" s="5" t="str">
        <f t="shared" si="3"/>
        <v>Habitation</v>
      </c>
      <c r="P16" s="24">
        <f t="shared" si="4"/>
        <v>0</v>
      </c>
      <c r="Q16" s="24">
        <f t="shared" si="5"/>
        <v>60</v>
      </c>
      <c r="R16" s="24">
        <f t="shared" si="6"/>
        <v>0</v>
      </c>
      <c r="S16" s="24">
        <f t="shared" si="7"/>
        <v>0</v>
      </c>
      <c r="T16" s="24">
        <f t="shared" si="8"/>
        <v>0</v>
      </c>
      <c r="U16" s="25">
        <f t="shared" si="9"/>
        <v>0</v>
      </c>
      <c r="V16" s="25">
        <f t="shared" si="10"/>
        <v>55</v>
      </c>
      <c r="W16" s="25">
        <f t="shared" si="27"/>
        <v>0</v>
      </c>
      <c r="X16" s="25">
        <f t="shared" si="11"/>
        <v>0</v>
      </c>
      <c r="Y16" s="25">
        <f t="shared" si="12"/>
        <v>0</v>
      </c>
      <c r="Z16" s="26">
        <f t="shared" si="13"/>
        <v>0</v>
      </c>
      <c r="AA16" s="26">
        <f t="shared" si="14"/>
        <v>50</v>
      </c>
      <c r="AB16" s="26">
        <f t="shared" si="28"/>
        <v>0</v>
      </c>
      <c r="AC16" s="26">
        <f t="shared" si="15"/>
        <v>0</v>
      </c>
      <c r="AD16" s="26">
        <f t="shared" si="32"/>
        <v>0</v>
      </c>
      <c r="AE16" s="27">
        <f t="shared" si="16"/>
        <v>0</v>
      </c>
      <c r="AF16" s="27">
        <f t="shared" si="17"/>
        <v>45</v>
      </c>
      <c r="AG16" s="27">
        <f t="shared" si="29"/>
        <v>0</v>
      </c>
      <c r="AH16" s="27">
        <f t="shared" si="18"/>
        <v>0</v>
      </c>
      <c r="AI16" s="27">
        <f t="shared" si="19"/>
        <v>0</v>
      </c>
      <c r="AJ16" s="28">
        <f t="shared" si="20"/>
        <v>0</v>
      </c>
      <c r="AK16" s="28">
        <f t="shared" si="21"/>
        <v>40</v>
      </c>
      <c r="AL16" s="28">
        <f t="shared" si="30"/>
        <v>0</v>
      </c>
      <c r="AM16" s="28">
        <f>AL16*AL$4</f>
        <v>0</v>
      </c>
      <c r="AN16" s="28">
        <f t="shared" si="22"/>
        <v>0</v>
      </c>
      <c r="AO16" s="8">
        <f>IF('Charges acoustiques'!F26="x",0,1)</f>
        <v>1</v>
      </c>
      <c r="AP16" s="5">
        <f t="shared" si="23"/>
        <v>0</v>
      </c>
      <c r="AQ16" s="5">
        <f t="shared" si="24"/>
        <v>0</v>
      </c>
      <c r="AR16" s="5">
        <f t="shared" si="25"/>
        <v>0</v>
      </c>
      <c r="AS16" s="5">
        <f t="shared" si="26"/>
        <v>0</v>
      </c>
    </row>
    <row r="17" spans="1:45" ht="12.75">
      <c r="A17" s="5">
        <f>'Charges acoustiques'!A27</f>
        <v>0</v>
      </c>
      <c r="B17" s="5">
        <f>'Charges acoustiques'!B27</f>
        <v>0</v>
      </c>
      <c r="C17" s="5">
        <f>'Charges acoustiques'!C27</f>
        <v>0</v>
      </c>
      <c r="D17" s="5">
        <f>'Charges acoustiques'!D27</f>
        <v>0</v>
      </c>
      <c r="E17" s="5">
        <f>'Charges acoustiques'!E27</f>
        <v>0</v>
      </c>
      <c r="F17" s="5">
        <f>'Charges acoustiques'!H27</f>
        <v>0</v>
      </c>
      <c r="G17" s="5">
        <f>'Charges acoustiques'!I27</f>
        <v>0</v>
      </c>
      <c r="H17" s="5">
        <f>'Charges acoustiques'!J27</f>
        <v>0</v>
      </c>
      <c r="I17" s="5">
        <f>'Charges acoustiques'!K27</f>
        <v>0</v>
      </c>
      <c r="J17" s="5">
        <f t="shared" si="0"/>
        <v>0</v>
      </c>
      <c r="K17" s="5" t="str">
        <f>IF(D17&gt;0,IF(F17&gt;VLOOKUP(D17,Grundlagen!$A$5:$G$9,3,FALSE),F17-VLOOKUP(D17,Grundlagen!$A$5:$G$9,3,FALSE),"-"),"-")</f>
        <v>-</v>
      </c>
      <c r="L17" s="5" t="str">
        <f>IF(D17&gt;0,IF(G17&gt;VLOOKUP(D17,Grundlagen!$A$5:$G$9,6,FALSE),G17-VLOOKUP(D17,Grundlagen!$A$5:$G$9,6,FALSE),"-"),"-")</f>
        <v>-</v>
      </c>
      <c r="M17" s="5">
        <f t="shared" si="1"/>
        <v>0</v>
      </c>
      <c r="N17" s="5" t="str">
        <f t="shared" si="2"/>
        <v>Nuit</v>
      </c>
      <c r="O17" s="5" t="str">
        <f t="shared" si="3"/>
        <v>Habitation</v>
      </c>
      <c r="P17" s="24">
        <f t="shared" si="4"/>
        <v>0</v>
      </c>
      <c r="Q17" s="24">
        <f t="shared" si="5"/>
        <v>60</v>
      </c>
      <c r="R17" s="24">
        <f t="shared" si="6"/>
        <v>0</v>
      </c>
      <c r="S17" s="24">
        <f t="shared" si="7"/>
        <v>0</v>
      </c>
      <c r="T17" s="24">
        <f t="shared" si="8"/>
        <v>0</v>
      </c>
      <c r="U17" s="25">
        <f t="shared" si="9"/>
        <v>0</v>
      </c>
      <c r="V17" s="25">
        <f t="shared" si="10"/>
        <v>55</v>
      </c>
      <c r="W17" s="25">
        <f t="shared" si="27"/>
        <v>0</v>
      </c>
      <c r="X17" s="25">
        <f t="shared" si="11"/>
        <v>0</v>
      </c>
      <c r="Y17" s="25">
        <f t="shared" si="12"/>
        <v>0</v>
      </c>
      <c r="Z17" s="26">
        <f t="shared" si="13"/>
        <v>0</v>
      </c>
      <c r="AA17" s="26">
        <f t="shared" si="14"/>
        <v>50</v>
      </c>
      <c r="AB17" s="26">
        <f t="shared" si="28"/>
        <v>0</v>
      </c>
      <c r="AC17" s="26">
        <f t="shared" si="15"/>
        <v>0</v>
      </c>
      <c r="AD17" s="26">
        <f t="shared" si="32"/>
        <v>0</v>
      </c>
      <c r="AE17" s="27">
        <f t="shared" si="16"/>
        <v>0</v>
      </c>
      <c r="AF17" s="27">
        <f t="shared" si="17"/>
        <v>45</v>
      </c>
      <c r="AG17" s="27">
        <f t="shared" si="29"/>
        <v>0</v>
      </c>
      <c r="AH17" s="27">
        <f t="shared" si="18"/>
        <v>0</v>
      </c>
      <c r="AI17" s="27">
        <f t="shared" si="19"/>
        <v>0</v>
      </c>
      <c r="AJ17" s="28">
        <f t="shared" si="20"/>
        <v>0</v>
      </c>
      <c r="AK17" s="28">
        <f t="shared" si="21"/>
        <v>40</v>
      </c>
      <c r="AL17" s="28">
        <f t="shared" si="30"/>
        <v>0</v>
      </c>
      <c r="AM17" s="28">
        <f t="shared" si="31"/>
        <v>0</v>
      </c>
      <c r="AN17" s="28">
        <f t="shared" si="22"/>
        <v>0</v>
      </c>
      <c r="AO17" s="8">
        <f>IF('Charges acoustiques'!F27="x",0,1)</f>
        <v>1</v>
      </c>
      <c r="AP17" s="5">
        <f t="shared" si="23"/>
        <v>0</v>
      </c>
      <c r="AQ17" s="5">
        <f t="shared" si="24"/>
        <v>0</v>
      </c>
      <c r="AR17" s="5">
        <f t="shared" si="25"/>
        <v>0</v>
      </c>
      <c r="AS17" s="5">
        <f t="shared" si="26"/>
        <v>0</v>
      </c>
    </row>
    <row r="18" spans="1:45" ht="12.75">
      <c r="A18" s="5">
        <f>'Charges acoustiques'!A28</f>
        <v>0</v>
      </c>
      <c r="B18" s="5">
        <f>'Charges acoustiques'!B28</f>
        <v>0</v>
      </c>
      <c r="C18" s="5">
        <f>'Charges acoustiques'!C28</f>
        <v>0</v>
      </c>
      <c r="D18" s="5">
        <f>'Charges acoustiques'!D28</f>
        <v>0</v>
      </c>
      <c r="E18" s="5">
        <f>'Charges acoustiques'!E28</f>
        <v>0</v>
      </c>
      <c r="F18" s="5">
        <f>'Charges acoustiques'!H28</f>
        <v>0</v>
      </c>
      <c r="G18" s="5">
        <f>'Charges acoustiques'!I28</f>
        <v>0</v>
      </c>
      <c r="H18" s="5">
        <f>'Charges acoustiques'!J28</f>
        <v>0</v>
      </c>
      <c r="I18" s="5">
        <f>'Charges acoustiques'!K28</f>
        <v>0</v>
      </c>
      <c r="J18" s="5">
        <f t="shared" si="0"/>
        <v>0</v>
      </c>
      <c r="K18" s="5" t="str">
        <f>IF(D18&gt;0,IF(F18&gt;VLOOKUP(D18,Grundlagen!$A$5:$G$9,3,FALSE),F18-VLOOKUP(D18,Grundlagen!$A$5:$G$9,3,FALSE),"-"),"-")</f>
        <v>-</v>
      </c>
      <c r="L18" s="5" t="str">
        <f>IF(D18&gt;0,IF(G18&gt;VLOOKUP(D18,Grundlagen!$A$5:$G$9,6,FALSE),G18-VLOOKUP(D18,Grundlagen!$A$5:$G$9,6,FALSE),"-"),"-")</f>
        <v>-</v>
      </c>
      <c r="M18" s="5">
        <f t="shared" si="1"/>
        <v>0</v>
      </c>
      <c r="N18" s="5" t="str">
        <f t="shared" si="2"/>
        <v>Nuit</v>
      </c>
      <c r="O18" s="5" t="str">
        <f t="shared" si="3"/>
        <v>Habitation</v>
      </c>
      <c r="P18" s="24">
        <f t="shared" si="4"/>
        <v>0</v>
      </c>
      <c r="Q18" s="24">
        <f>IF(N18="Nuit",IF(O18="Exploitation",65,60),IF(O18="Exploitation",75,70))</f>
        <v>60</v>
      </c>
      <c r="R18" s="24">
        <f t="shared" si="6"/>
        <v>0</v>
      </c>
      <c r="S18" s="24">
        <f t="shared" si="7"/>
        <v>0</v>
      </c>
      <c r="T18" s="24">
        <f t="shared" si="8"/>
        <v>0</v>
      </c>
      <c r="U18" s="25">
        <f t="shared" si="9"/>
        <v>0</v>
      </c>
      <c r="V18" s="25">
        <f t="shared" si="10"/>
        <v>55</v>
      </c>
      <c r="W18" s="25">
        <f t="shared" si="27"/>
        <v>0</v>
      </c>
      <c r="X18" s="25">
        <f t="shared" si="11"/>
        <v>0</v>
      </c>
      <c r="Y18" s="25">
        <f t="shared" si="12"/>
        <v>0</v>
      </c>
      <c r="Z18" s="26">
        <f t="shared" si="13"/>
        <v>0</v>
      </c>
      <c r="AA18" s="26">
        <f>V18-5</f>
        <v>50</v>
      </c>
      <c r="AB18" s="26">
        <f t="shared" si="28"/>
        <v>0</v>
      </c>
      <c r="AC18" s="26">
        <f t="shared" si="15"/>
        <v>0</v>
      </c>
      <c r="AD18" s="26">
        <f t="shared" si="32"/>
        <v>0</v>
      </c>
      <c r="AE18" s="27">
        <f t="shared" si="16"/>
        <v>0</v>
      </c>
      <c r="AF18" s="27">
        <f t="shared" si="17"/>
        <v>45</v>
      </c>
      <c r="AG18" s="27">
        <f t="shared" si="29"/>
        <v>0</v>
      </c>
      <c r="AH18" s="27">
        <f t="shared" si="18"/>
        <v>0</v>
      </c>
      <c r="AI18" s="27">
        <f t="shared" si="19"/>
        <v>0</v>
      </c>
      <c r="AJ18" s="28">
        <f t="shared" si="20"/>
        <v>0</v>
      </c>
      <c r="AK18" s="28">
        <f t="shared" si="21"/>
        <v>40</v>
      </c>
      <c r="AL18" s="28">
        <f t="shared" si="30"/>
        <v>0</v>
      </c>
      <c r="AM18" s="28">
        <f t="shared" si="31"/>
        <v>0</v>
      </c>
      <c r="AN18" s="28">
        <f t="shared" si="22"/>
        <v>0</v>
      </c>
      <c r="AO18" s="8">
        <f>IF('Charges acoustiques'!F28="x",0,1)</f>
        <v>1</v>
      </c>
      <c r="AP18" s="5">
        <f t="shared" si="23"/>
        <v>0</v>
      </c>
      <c r="AQ18" s="5">
        <f t="shared" si="24"/>
        <v>0</v>
      </c>
      <c r="AR18" s="5">
        <f t="shared" si="25"/>
        <v>0</v>
      </c>
      <c r="AS18" s="5">
        <f t="shared" si="26"/>
        <v>0</v>
      </c>
    </row>
    <row r="19" spans="1:45" ht="12.75">
      <c r="A19" s="5">
        <f>'Charges acoustiques'!A29</f>
        <v>0</v>
      </c>
      <c r="B19" s="5">
        <f>'Charges acoustiques'!B29</f>
        <v>0</v>
      </c>
      <c r="C19" s="5">
        <f>'Charges acoustiques'!C29</f>
        <v>0</v>
      </c>
      <c r="D19" s="5">
        <f>'Charges acoustiques'!D29</f>
        <v>0</v>
      </c>
      <c r="E19" s="5">
        <f>'Charges acoustiques'!E29</f>
        <v>0</v>
      </c>
      <c r="F19" s="5">
        <f>'Charges acoustiques'!H29</f>
        <v>0</v>
      </c>
      <c r="G19" s="5">
        <f>'Charges acoustiques'!I29</f>
        <v>0</v>
      </c>
      <c r="H19" s="5">
        <f>'Charges acoustiques'!J29</f>
        <v>0</v>
      </c>
      <c r="I19" s="5">
        <f>'Charges acoustiques'!K29</f>
        <v>0</v>
      </c>
      <c r="J19" s="5">
        <f t="shared" si="0"/>
        <v>0</v>
      </c>
      <c r="K19" s="5" t="str">
        <f>IF(D19&gt;0,IF(F19&gt;VLOOKUP(D19,Grundlagen!$A$5:$G$9,3,FALSE),F19-VLOOKUP(D19,Grundlagen!$A$5:$G$9,3,FALSE),"-"),"-")</f>
        <v>-</v>
      </c>
      <c r="L19" s="5" t="str">
        <f>IF(D19&gt;0,IF(G19&gt;VLOOKUP(D19,Grundlagen!$A$5:$G$9,6,FALSE),G19-VLOOKUP(D19,Grundlagen!$A$5:$G$9,6,FALSE),"-"),"-")</f>
        <v>-</v>
      </c>
      <c r="M19" s="5">
        <f t="shared" si="1"/>
        <v>0</v>
      </c>
      <c r="N19" s="5" t="str">
        <f t="shared" si="2"/>
        <v>Nuit</v>
      </c>
      <c r="O19" s="5" t="str">
        <f t="shared" si="3"/>
        <v>Habitation</v>
      </c>
      <c r="P19" s="24">
        <f t="shared" si="4"/>
        <v>0</v>
      </c>
      <c r="Q19" s="24">
        <f t="shared" si="5"/>
        <v>60</v>
      </c>
      <c r="R19" s="24">
        <f t="shared" si="6"/>
        <v>0</v>
      </c>
      <c r="S19" s="24">
        <f t="shared" si="7"/>
        <v>0</v>
      </c>
      <c r="T19" s="24">
        <f t="shared" si="8"/>
        <v>0</v>
      </c>
      <c r="U19" s="25">
        <f t="shared" si="9"/>
        <v>0</v>
      </c>
      <c r="V19" s="25">
        <f t="shared" si="10"/>
        <v>55</v>
      </c>
      <c r="W19" s="25">
        <f t="shared" si="27"/>
        <v>0</v>
      </c>
      <c r="X19" s="25">
        <f t="shared" si="11"/>
        <v>0</v>
      </c>
      <c r="Y19" s="25">
        <f t="shared" si="12"/>
        <v>0</v>
      </c>
      <c r="Z19" s="26">
        <f t="shared" si="13"/>
        <v>0</v>
      </c>
      <c r="AA19" s="26">
        <f>V19-5</f>
        <v>50</v>
      </c>
      <c r="AB19" s="26">
        <f t="shared" si="28"/>
        <v>0</v>
      </c>
      <c r="AC19" s="26">
        <f t="shared" si="15"/>
        <v>0</v>
      </c>
      <c r="AD19" s="26">
        <f t="shared" si="32"/>
        <v>0</v>
      </c>
      <c r="AE19" s="27">
        <f t="shared" si="16"/>
        <v>0</v>
      </c>
      <c r="AF19" s="27">
        <f t="shared" si="17"/>
        <v>45</v>
      </c>
      <c r="AG19" s="27">
        <f t="shared" si="29"/>
        <v>0</v>
      </c>
      <c r="AH19" s="27">
        <f t="shared" si="18"/>
        <v>0</v>
      </c>
      <c r="AI19" s="27">
        <f t="shared" si="19"/>
        <v>0</v>
      </c>
      <c r="AJ19" s="28">
        <f t="shared" si="20"/>
        <v>0</v>
      </c>
      <c r="AK19" s="28">
        <f t="shared" si="21"/>
        <v>40</v>
      </c>
      <c r="AL19" s="28">
        <f t="shared" si="30"/>
        <v>0</v>
      </c>
      <c r="AM19" s="28">
        <f t="shared" si="31"/>
        <v>0</v>
      </c>
      <c r="AN19" s="28">
        <f t="shared" si="22"/>
        <v>0</v>
      </c>
      <c r="AO19" s="8">
        <f>IF('Charges acoustiques'!F29="x",0,1)</f>
        <v>1</v>
      </c>
      <c r="AP19" s="5">
        <f t="shared" si="23"/>
        <v>0</v>
      </c>
      <c r="AQ19" s="5">
        <f t="shared" si="24"/>
        <v>0</v>
      </c>
      <c r="AR19" s="5">
        <f t="shared" si="25"/>
        <v>0</v>
      </c>
      <c r="AS19" s="5">
        <f t="shared" si="26"/>
        <v>0</v>
      </c>
    </row>
    <row r="20" spans="1:45" ht="12.75">
      <c r="A20" s="5">
        <f>'Charges acoustiques'!A30</f>
        <v>0</v>
      </c>
      <c r="B20" s="5">
        <f>'Charges acoustiques'!B30</f>
        <v>0</v>
      </c>
      <c r="C20" s="5">
        <f>'Charges acoustiques'!C30</f>
        <v>0</v>
      </c>
      <c r="D20" s="5">
        <f>'Charges acoustiques'!D30</f>
        <v>0</v>
      </c>
      <c r="E20" s="5">
        <f>'Charges acoustiques'!E30</f>
        <v>0</v>
      </c>
      <c r="F20" s="5">
        <f>'Charges acoustiques'!H30</f>
        <v>0</v>
      </c>
      <c r="G20" s="5">
        <f>'Charges acoustiques'!I30</f>
        <v>0</v>
      </c>
      <c r="H20" s="5">
        <f>'Charges acoustiques'!J30</f>
        <v>0</v>
      </c>
      <c r="I20" s="5">
        <f>'Charges acoustiques'!K30</f>
        <v>0</v>
      </c>
      <c r="J20" s="5">
        <f t="shared" si="0"/>
        <v>0</v>
      </c>
      <c r="K20" s="5" t="str">
        <f>IF(D20&gt;0,IF(F20&gt;VLOOKUP(D20,Grundlagen!$A$5:$G$9,3,FALSE),F20-VLOOKUP(D20,Grundlagen!$A$5:$G$9,3,FALSE),"-"),"-")</f>
        <v>-</v>
      </c>
      <c r="L20" s="5" t="str">
        <f>IF(D20&gt;0,IF(G20&gt;VLOOKUP(D20,Grundlagen!$A$5:$G$9,6,FALSE),G20-VLOOKUP(D20,Grundlagen!$A$5:$G$9,6,FALSE),"-"),"-")</f>
        <v>-</v>
      </c>
      <c r="M20" s="5">
        <f t="shared" si="1"/>
        <v>0</v>
      </c>
      <c r="N20" s="5" t="str">
        <f t="shared" si="2"/>
        <v>Nuit</v>
      </c>
      <c r="O20" s="5" t="str">
        <f t="shared" si="3"/>
        <v>Habitation</v>
      </c>
      <c r="P20" s="24">
        <f t="shared" si="4"/>
        <v>0</v>
      </c>
      <c r="Q20" s="24">
        <f t="shared" si="5"/>
        <v>60</v>
      </c>
      <c r="R20" s="24">
        <f t="shared" si="6"/>
        <v>0</v>
      </c>
      <c r="S20" s="24">
        <f t="shared" si="7"/>
        <v>0</v>
      </c>
      <c r="T20" s="24">
        <f t="shared" si="8"/>
        <v>0</v>
      </c>
      <c r="U20" s="25">
        <f t="shared" si="9"/>
        <v>0</v>
      </c>
      <c r="V20" s="25">
        <f t="shared" si="10"/>
        <v>55</v>
      </c>
      <c r="W20" s="25">
        <f t="shared" si="27"/>
        <v>0</v>
      </c>
      <c r="X20" s="25">
        <f>W20*W$4</f>
        <v>0</v>
      </c>
      <c r="Y20" s="25">
        <f t="shared" si="12"/>
        <v>0</v>
      </c>
      <c r="Z20" s="26">
        <f t="shared" si="13"/>
        <v>0</v>
      </c>
      <c r="AA20" s="26">
        <f t="shared" si="14"/>
        <v>50</v>
      </c>
      <c r="AB20" s="26">
        <f t="shared" si="28"/>
        <v>0</v>
      </c>
      <c r="AC20" s="26">
        <f t="shared" si="15"/>
        <v>0</v>
      </c>
      <c r="AD20" s="26">
        <f t="shared" si="32"/>
        <v>0</v>
      </c>
      <c r="AE20" s="27">
        <f t="shared" si="16"/>
        <v>0</v>
      </c>
      <c r="AF20" s="27">
        <f t="shared" si="17"/>
        <v>45</v>
      </c>
      <c r="AG20" s="27">
        <f t="shared" si="29"/>
        <v>0</v>
      </c>
      <c r="AH20" s="27">
        <f t="shared" si="18"/>
        <v>0</v>
      </c>
      <c r="AI20" s="27">
        <f t="shared" si="19"/>
        <v>0</v>
      </c>
      <c r="AJ20" s="28">
        <f t="shared" si="20"/>
        <v>0</v>
      </c>
      <c r="AK20" s="28">
        <f t="shared" si="21"/>
        <v>40</v>
      </c>
      <c r="AL20" s="28">
        <f t="shared" si="30"/>
        <v>0</v>
      </c>
      <c r="AM20" s="28">
        <f t="shared" si="31"/>
        <v>0</v>
      </c>
      <c r="AN20" s="28">
        <f t="shared" si="22"/>
        <v>0</v>
      </c>
      <c r="AO20" s="8">
        <f>IF('Charges acoustiques'!F30="x",0,1)</f>
        <v>1</v>
      </c>
      <c r="AP20" s="5">
        <f t="shared" si="23"/>
        <v>0</v>
      </c>
      <c r="AQ20" s="5">
        <f t="shared" si="24"/>
        <v>0</v>
      </c>
      <c r="AR20" s="5">
        <f t="shared" si="25"/>
        <v>0</v>
      </c>
      <c r="AS20" s="5">
        <f t="shared" si="26"/>
        <v>0</v>
      </c>
    </row>
    <row r="21" spans="1:45" ht="12.75">
      <c r="A21" s="5">
        <f>'Charges acoustiques'!A31</f>
        <v>0</v>
      </c>
      <c r="B21" s="5">
        <f>'Charges acoustiques'!B31</f>
        <v>0</v>
      </c>
      <c r="C21" s="5">
        <f>'Charges acoustiques'!C31</f>
        <v>0</v>
      </c>
      <c r="D21" s="5">
        <f>'Charges acoustiques'!D31</f>
        <v>0</v>
      </c>
      <c r="E21" s="5">
        <f>'Charges acoustiques'!E31</f>
        <v>0</v>
      </c>
      <c r="F21" s="5">
        <f>'Charges acoustiques'!H31</f>
        <v>0</v>
      </c>
      <c r="G21" s="5">
        <f>'Charges acoustiques'!I31</f>
        <v>0</v>
      </c>
      <c r="H21" s="5">
        <f>'Charges acoustiques'!J31</f>
        <v>0</v>
      </c>
      <c r="I21" s="5">
        <f>'Charges acoustiques'!K31</f>
        <v>0</v>
      </c>
      <c r="J21" s="5">
        <f t="shared" si="0"/>
        <v>0</v>
      </c>
      <c r="K21" s="5" t="str">
        <f>IF(D21&gt;0,IF(F21&gt;VLOOKUP(D21,Grundlagen!$A$5:$G$9,3,FALSE),F21-VLOOKUP(D21,Grundlagen!$A$5:$G$9,3,FALSE),"-"),"-")</f>
        <v>-</v>
      </c>
      <c r="L21" s="5" t="str">
        <f>IF(D21&gt;0,IF(G21&gt;VLOOKUP(D21,Grundlagen!$A$5:$G$9,6,FALSE),G21-VLOOKUP(D21,Grundlagen!$A$5:$G$9,6,FALSE),"-"),"-")</f>
        <v>-</v>
      </c>
      <c r="M21" s="5">
        <f aca="true" t="shared" si="33" ref="M21:M27">IF(K21&lt;&gt;"-",1,IF(L21&lt;&gt;"-",1,0))</f>
        <v>0</v>
      </c>
      <c r="N21" s="5" t="str">
        <f t="shared" si="2"/>
        <v>Nuit</v>
      </c>
      <c r="O21" s="5" t="str">
        <f t="shared" si="3"/>
        <v>Habitation</v>
      </c>
      <c r="P21" s="24">
        <f t="shared" si="4"/>
        <v>0</v>
      </c>
      <c r="Q21" s="24">
        <f t="shared" si="5"/>
        <v>60</v>
      </c>
      <c r="R21" s="24">
        <f aca="true" t="shared" si="34" ref="R21:R27">IF($P21&gt;Q21,IF($P21-J21&gt;Q21,J21,P21-Q21),0)</f>
        <v>0</v>
      </c>
      <c r="S21" s="24">
        <f t="shared" si="7"/>
        <v>0</v>
      </c>
      <c r="T21" s="24">
        <f aca="true" t="shared" si="35" ref="T21:T27">J21-R21</f>
        <v>0</v>
      </c>
      <c r="U21" s="25">
        <f aca="true" t="shared" si="36" ref="U21:U27">P21-R21</f>
        <v>0</v>
      </c>
      <c r="V21" s="25">
        <f aca="true" t="shared" si="37" ref="V21:V27">Q21-5</f>
        <v>55</v>
      </c>
      <c r="W21" s="25">
        <f aca="true" t="shared" si="38" ref="W21:W27">IF(U21&gt;V21,IF(U21-T21&gt;V21,T21,U21-V21),0)</f>
        <v>0</v>
      </c>
      <c r="X21" s="25">
        <f t="shared" si="11"/>
        <v>0</v>
      </c>
      <c r="Y21" s="25">
        <f aca="true" t="shared" si="39" ref="Y21:Y27">T21-W21</f>
        <v>0</v>
      </c>
      <c r="Z21" s="26">
        <f aca="true" t="shared" si="40" ref="Z21:Z27">U21-W21</f>
        <v>0</v>
      </c>
      <c r="AA21" s="26">
        <f aca="true" t="shared" si="41" ref="AA21:AA27">V21-5</f>
        <v>50</v>
      </c>
      <c r="AB21" s="26">
        <f aca="true" t="shared" si="42" ref="AB21:AB27">IF(Z21&gt;AA21,IF(Z21-Y21&gt;AA21,Y21,Z21-AA21),0)</f>
        <v>0</v>
      </c>
      <c r="AC21" s="26">
        <f t="shared" si="15"/>
        <v>0</v>
      </c>
      <c r="AD21" s="26">
        <f aca="true" t="shared" si="43" ref="AD21:AD27">Y21-AB21</f>
        <v>0</v>
      </c>
      <c r="AE21" s="27">
        <f aca="true" t="shared" si="44" ref="AE21:AE27">Z21-AB21</f>
        <v>0</v>
      </c>
      <c r="AF21" s="27">
        <f aca="true" t="shared" si="45" ref="AF21:AF27">AA21-5</f>
        <v>45</v>
      </c>
      <c r="AG21" s="27">
        <f aca="true" t="shared" si="46" ref="AG21:AG27">IF(AE21&gt;AF21,IF(AE21-AD21&gt;AF21,AD21,AE21-AF21),0)</f>
        <v>0</v>
      </c>
      <c r="AH21" s="27">
        <f t="shared" si="18"/>
        <v>0</v>
      </c>
      <c r="AI21" s="27">
        <f aca="true" t="shared" si="47" ref="AI21:AI27">AD21-AG21</f>
        <v>0</v>
      </c>
      <c r="AJ21" s="28">
        <f aca="true" t="shared" si="48" ref="AJ21:AJ27">AE21-AG21</f>
        <v>0</v>
      </c>
      <c r="AK21" s="28">
        <f aca="true" t="shared" si="49" ref="AK21:AK27">AF21-5</f>
        <v>40</v>
      </c>
      <c r="AL21" s="28">
        <f aca="true" t="shared" si="50" ref="AL21:AL27">IF(AJ21&gt;AK21,IF(AJ21-AI21&gt;AK21,AI21,AJ21-AK21),0)</f>
        <v>0</v>
      </c>
      <c r="AM21" s="28">
        <f t="shared" si="31"/>
        <v>0</v>
      </c>
      <c r="AN21" s="28">
        <f aca="true" t="shared" si="51" ref="AN21:AN27">AI21-AL21</f>
        <v>0</v>
      </c>
      <c r="AO21" s="8">
        <f>IF('Charges acoustiques'!F31="x",0,1)</f>
        <v>1</v>
      </c>
      <c r="AP21" s="5">
        <f aca="true" t="shared" si="52" ref="AP21:AP27">E21*M21*(R21+W21+AB21+AG21+AL21)*3*AO21</f>
        <v>0</v>
      </c>
      <c r="AQ21" s="5">
        <f aca="true" t="shared" si="53" ref="AQ21:AQ27">E21*M21*(S21+X21+AC21+AH21+AM21)*3*AO21</f>
        <v>0</v>
      </c>
      <c r="AR21" s="5">
        <f aca="true" t="shared" si="54" ref="AR21:AR27">E21*M21*(R21+W21+AB21+AG21+AL21)*3</f>
        <v>0</v>
      </c>
      <c r="AS21" s="5">
        <f aca="true" t="shared" si="55" ref="AS21:AS27">E21*M21*(S21+X21+AC21+AH21+AM21)*3</f>
        <v>0</v>
      </c>
    </row>
    <row r="22" spans="1:45" ht="12.75">
      <c r="A22" s="5">
        <f>'Charges acoustiques'!A32</f>
        <v>0</v>
      </c>
      <c r="B22" s="5">
        <f>'Charges acoustiques'!B32</f>
        <v>0</v>
      </c>
      <c r="C22" s="5">
        <f>'Charges acoustiques'!C32</f>
        <v>0</v>
      </c>
      <c r="D22" s="5">
        <f>'Charges acoustiques'!D32</f>
        <v>0</v>
      </c>
      <c r="E22" s="5">
        <f>'Charges acoustiques'!E32</f>
        <v>0</v>
      </c>
      <c r="F22" s="5">
        <f>'Charges acoustiques'!H32</f>
        <v>0</v>
      </c>
      <c r="G22" s="5">
        <f>'Charges acoustiques'!I32</f>
        <v>0</v>
      </c>
      <c r="H22" s="5">
        <f>'Charges acoustiques'!J32</f>
        <v>0</v>
      </c>
      <c r="I22" s="5">
        <f>'Charges acoustiques'!K32</f>
        <v>0</v>
      </c>
      <c r="J22" s="5">
        <f t="shared" si="0"/>
        <v>0</v>
      </c>
      <c r="K22" s="5" t="str">
        <f>IF(D22&gt;0,IF(F22&gt;VLOOKUP(D22,Grundlagen!$A$5:$G$9,3,FALSE),F22-VLOOKUP(D22,Grundlagen!$A$5:$G$9,3,FALSE),"-"),"-")</f>
        <v>-</v>
      </c>
      <c r="L22" s="5" t="str">
        <f>IF(D22&gt;0,IF(G22&gt;VLOOKUP(D22,Grundlagen!$A$5:$G$9,6,FALSE),G22-VLOOKUP(D22,Grundlagen!$A$5:$G$9,6,FALSE),"-"),"-")</f>
        <v>-</v>
      </c>
      <c r="M22" s="5">
        <f t="shared" si="33"/>
        <v>0</v>
      </c>
      <c r="N22" s="5" t="str">
        <f t="shared" si="2"/>
        <v>Nuit</v>
      </c>
      <c r="O22" s="5" t="str">
        <f t="shared" si="3"/>
        <v>Habitation</v>
      </c>
      <c r="P22" s="24">
        <f t="shared" si="4"/>
        <v>0</v>
      </c>
      <c r="Q22" s="24">
        <f t="shared" si="5"/>
        <v>60</v>
      </c>
      <c r="R22" s="24">
        <f t="shared" si="34"/>
        <v>0</v>
      </c>
      <c r="S22" s="24">
        <f t="shared" si="7"/>
        <v>0</v>
      </c>
      <c r="T22" s="24">
        <f t="shared" si="35"/>
        <v>0</v>
      </c>
      <c r="U22" s="25">
        <f t="shared" si="36"/>
        <v>0</v>
      </c>
      <c r="V22" s="25">
        <f t="shared" si="37"/>
        <v>55</v>
      </c>
      <c r="W22" s="25">
        <f t="shared" si="38"/>
        <v>0</v>
      </c>
      <c r="X22" s="25">
        <f t="shared" si="11"/>
        <v>0</v>
      </c>
      <c r="Y22" s="25">
        <f t="shared" si="39"/>
        <v>0</v>
      </c>
      <c r="Z22" s="26">
        <f t="shared" si="40"/>
        <v>0</v>
      </c>
      <c r="AA22" s="26">
        <f t="shared" si="41"/>
        <v>50</v>
      </c>
      <c r="AB22" s="26">
        <f t="shared" si="42"/>
        <v>0</v>
      </c>
      <c r="AC22" s="26">
        <f t="shared" si="15"/>
        <v>0</v>
      </c>
      <c r="AD22" s="26">
        <f t="shared" si="43"/>
        <v>0</v>
      </c>
      <c r="AE22" s="27">
        <f t="shared" si="44"/>
        <v>0</v>
      </c>
      <c r="AF22" s="27">
        <f t="shared" si="45"/>
        <v>45</v>
      </c>
      <c r="AG22" s="27">
        <f t="shared" si="46"/>
        <v>0</v>
      </c>
      <c r="AH22" s="27">
        <f>AG22*AG$4</f>
        <v>0</v>
      </c>
      <c r="AI22" s="27">
        <f t="shared" si="47"/>
        <v>0</v>
      </c>
      <c r="AJ22" s="28">
        <f t="shared" si="48"/>
        <v>0</v>
      </c>
      <c r="AK22" s="28">
        <f t="shared" si="49"/>
        <v>40</v>
      </c>
      <c r="AL22" s="28">
        <f t="shared" si="50"/>
        <v>0</v>
      </c>
      <c r="AM22" s="28">
        <f t="shared" si="31"/>
        <v>0</v>
      </c>
      <c r="AN22" s="28">
        <f t="shared" si="51"/>
        <v>0</v>
      </c>
      <c r="AO22" s="8">
        <f>IF('Charges acoustiques'!F32="x",0,1)</f>
        <v>1</v>
      </c>
      <c r="AP22" s="5">
        <f t="shared" si="52"/>
        <v>0</v>
      </c>
      <c r="AQ22" s="5">
        <f t="shared" si="53"/>
        <v>0</v>
      </c>
      <c r="AR22" s="5">
        <f t="shared" si="54"/>
        <v>0</v>
      </c>
      <c r="AS22" s="5">
        <f t="shared" si="55"/>
        <v>0</v>
      </c>
    </row>
    <row r="23" spans="1:45" ht="12.75">
      <c r="A23" s="5">
        <f>'Charges acoustiques'!A33</f>
        <v>0</v>
      </c>
      <c r="B23" s="5">
        <f>'Charges acoustiques'!B33</f>
        <v>0</v>
      </c>
      <c r="C23" s="5">
        <f>'Charges acoustiques'!C33</f>
        <v>0</v>
      </c>
      <c r="D23" s="5">
        <f>'Charges acoustiques'!D33</f>
        <v>0</v>
      </c>
      <c r="E23" s="5">
        <f>'Charges acoustiques'!E33</f>
        <v>0</v>
      </c>
      <c r="F23" s="5">
        <f>'Charges acoustiques'!H33</f>
        <v>0</v>
      </c>
      <c r="G23" s="5">
        <f>'Charges acoustiques'!I33</f>
        <v>0</v>
      </c>
      <c r="H23" s="5">
        <f>'Charges acoustiques'!J33</f>
        <v>0</v>
      </c>
      <c r="I23" s="5">
        <f>'Charges acoustiques'!K33</f>
        <v>0</v>
      </c>
      <c r="J23" s="5">
        <f t="shared" si="0"/>
        <v>0</v>
      </c>
      <c r="K23" s="5" t="str">
        <f>IF(D23&gt;0,IF(F23&gt;VLOOKUP(D23,Grundlagen!$A$5:$G$9,3,FALSE),F23-VLOOKUP(D23,Grundlagen!$A$5:$G$9,3,FALSE),"-"),"-")</f>
        <v>-</v>
      </c>
      <c r="L23" s="5" t="str">
        <f>IF(D23&gt;0,IF(G23&gt;VLOOKUP(D23,Grundlagen!$A$5:$G$9,6,FALSE),G23-VLOOKUP(D23,Grundlagen!$A$5:$G$9,6,FALSE),"-"),"-")</f>
        <v>-</v>
      </c>
      <c r="M23" s="5">
        <f t="shared" si="33"/>
        <v>0</v>
      </c>
      <c r="N23" s="5" t="str">
        <f t="shared" si="2"/>
        <v>Nuit</v>
      </c>
      <c r="O23" s="5" t="str">
        <f t="shared" si="3"/>
        <v>Habitation</v>
      </c>
      <c r="P23" s="24">
        <f t="shared" si="4"/>
        <v>0</v>
      </c>
      <c r="Q23" s="24">
        <f t="shared" si="5"/>
        <v>60</v>
      </c>
      <c r="R23" s="24">
        <f t="shared" si="34"/>
        <v>0</v>
      </c>
      <c r="S23" s="24">
        <f t="shared" si="7"/>
        <v>0</v>
      </c>
      <c r="T23" s="24">
        <f t="shared" si="35"/>
        <v>0</v>
      </c>
      <c r="U23" s="25">
        <f t="shared" si="36"/>
        <v>0</v>
      </c>
      <c r="V23" s="25">
        <f t="shared" si="37"/>
        <v>55</v>
      </c>
      <c r="W23" s="25">
        <f t="shared" si="38"/>
        <v>0</v>
      </c>
      <c r="X23" s="25">
        <f t="shared" si="11"/>
        <v>0</v>
      </c>
      <c r="Y23" s="25">
        <f t="shared" si="39"/>
        <v>0</v>
      </c>
      <c r="Z23" s="26">
        <f t="shared" si="40"/>
        <v>0</v>
      </c>
      <c r="AA23" s="26">
        <f t="shared" si="41"/>
        <v>50</v>
      </c>
      <c r="AB23" s="26">
        <f t="shared" si="42"/>
        <v>0</v>
      </c>
      <c r="AC23" s="26">
        <f t="shared" si="15"/>
        <v>0</v>
      </c>
      <c r="AD23" s="26">
        <f t="shared" si="43"/>
        <v>0</v>
      </c>
      <c r="AE23" s="27">
        <f t="shared" si="44"/>
        <v>0</v>
      </c>
      <c r="AF23" s="27">
        <f t="shared" si="45"/>
        <v>45</v>
      </c>
      <c r="AG23" s="27">
        <f t="shared" si="46"/>
        <v>0</v>
      </c>
      <c r="AH23" s="27">
        <f t="shared" si="18"/>
        <v>0</v>
      </c>
      <c r="AI23" s="27">
        <f t="shared" si="47"/>
        <v>0</v>
      </c>
      <c r="AJ23" s="28">
        <f t="shared" si="48"/>
        <v>0</v>
      </c>
      <c r="AK23" s="28">
        <f t="shared" si="49"/>
        <v>40</v>
      </c>
      <c r="AL23" s="28">
        <f t="shared" si="50"/>
        <v>0</v>
      </c>
      <c r="AM23" s="28">
        <f t="shared" si="31"/>
        <v>0</v>
      </c>
      <c r="AN23" s="28">
        <f t="shared" si="51"/>
        <v>0</v>
      </c>
      <c r="AO23" s="8">
        <f>IF('Charges acoustiques'!F33="x",0,1)</f>
        <v>1</v>
      </c>
      <c r="AP23" s="5">
        <f t="shared" si="52"/>
        <v>0</v>
      </c>
      <c r="AQ23" s="5">
        <f t="shared" si="53"/>
        <v>0</v>
      </c>
      <c r="AR23" s="5">
        <f t="shared" si="54"/>
        <v>0</v>
      </c>
      <c r="AS23" s="5">
        <f t="shared" si="55"/>
        <v>0</v>
      </c>
    </row>
    <row r="24" spans="1:45" ht="12.75">
      <c r="A24" s="5">
        <f>'Charges acoustiques'!A34</f>
        <v>0</v>
      </c>
      <c r="B24" s="5">
        <f>'Charges acoustiques'!B34</f>
        <v>0</v>
      </c>
      <c r="C24" s="5">
        <f>'Charges acoustiques'!C34</f>
        <v>0</v>
      </c>
      <c r="D24" s="5">
        <f>'Charges acoustiques'!D34</f>
        <v>0</v>
      </c>
      <c r="E24" s="5">
        <f>'Charges acoustiques'!E34</f>
        <v>0</v>
      </c>
      <c r="F24" s="5">
        <f>'Charges acoustiques'!H34</f>
        <v>0</v>
      </c>
      <c r="G24" s="5">
        <f>'Charges acoustiques'!I34</f>
        <v>0</v>
      </c>
      <c r="H24" s="5">
        <f>'Charges acoustiques'!J34</f>
        <v>0</v>
      </c>
      <c r="I24" s="5">
        <f>'Charges acoustiques'!K34</f>
        <v>0</v>
      </c>
      <c r="J24" s="5">
        <f t="shared" si="0"/>
        <v>0</v>
      </c>
      <c r="K24" s="5" t="str">
        <f>IF(D24&gt;0,IF(F24&gt;VLOOKUP(D24,Grundlagen!$A$5:$G$9,3,FALSE),F24-VLOOKUP(D24,Grundlagen!$A$5:$G$9,3,FALSE),"-"),"-")</f>
        <v>-</v>
      </c>
      <c r="L24" s="5" t="str">
        <f>IF(D24&gt;0,IF(G24&gt;VLOOKUP(D24,Grundlagen!$A$5:$G$9,6,FALSE),G24-VLOOKUP(D24,Grundlagen!$A$5:$G$9,6,FALSE),"-"),"-")</f>
        <v>-</v>
      </c>
      <c r="M24" s="5">
        <f t="shared" si="33"/>
        <v>0</v>
      </c>
      <c r="N24" s="5" t="str">
        <f t="shared" si="2"/>
        <v>Nuit</v>
      </c>
      <c r="O24" s="5" t="str">
        <f t="shared" si="3"/>
        <v>Habitation</v>
      </c>
      <c r="P24" s="24">
        <f t="shared" si="4"/>
        <v>0</v>
      </c>
      <c r="Q24" s="24">
        <f t="shared" si="5"/>
        <v>60</v>
      </c>
      <c r="R24" s="24">
        <f t="shared" si="34"/>
        <v>0</v>
      </c>
      <c r="S24" s="24">
        <f t="shared" si="7"/>
        <v>0</v>
      </c>
      <c r="T24" s="24">
        <f t="shared" si="35"/>
        <v>0</v>
      </c>
      <c r="U24" s="25">
        <f t="shared" si="36"/>
        <v>0</v>
      </c>
      <c r="V24" s="25">
        <f t="shared" si="37"/>
        <v>55</v>
      </c>
      <c r="W24" s="25">
        <f t="shared" si="38"/>
        <v>0</v>
      </c>
      <c r="X24" s="25">
        <f t="shared" si="11"/>
        <v>0</v>
      </c>
      <c r="Y24" s="25">
        <f t="shared" si="39"/>
        <v>0</v>
      </c>
      <c r="Z24" s="26">
        <f t="shared" si="40"/>
        <v>0</v>
      </c>
      <c r="AA24" s="26">
        <f t="shared" si="41"/>
        <v>50</v>
      </c>
      <c r="AB24" s="26">
        <f t="shared" si="42"/>
        <v>0</v>
      </c>
      <c r="AC24" s="26">
        <f t="shared" si="15"/>
        <v>0</v>
      </c>
      <c r="AD24" s="26">
        <f t="shared" si="43"/>
        <v>0</v>
      </c>
      <c r="AE24" s="27">
        <f t="shared" si="44"/>
        <v>0</v>
      </c>
      <c r="AF24" s="27">
        <f t="shared" si="45"/>
        <v>45</v>
      </c>
      <c r="AG24" s="27">
        <f t="shared" si="46"/>
        <v>0</v>
      </c>
      <c r="AH24" s="27">
        <f t="shared" si="18"/>
        <v>0</v>
      </c>
      <c r="AI24" s="27">
        <f t="shared" si="47"/>
        <v>0</v>
      </c>
      <c r="AJ24" s="28">
        <f t="shared" si="48"/>
        <v>0</v>
      </c>
      <c r="AK24" s="28">
        <f t="shared" si="49"/>
        <v>40</v>
      </c>
      <c r="AL24" s="28">
        <f t="shared" si="50"/>
        <v>0</v>
      </c>
      <c r="AM24" s="28">
        <f t="shared" si="31"/>
        <v>0</v>
      </c>
      <c r="AN24" s="28">
        <f t="shared" si="51"/>
        <v>0</v>
      </c>
      <c r="AO24" s="8">
        <f>IF('Charges acoustiques'!F34="x",0,1)</f>
        <v>1</v>
      </c>
      <c r="AP24" s="5">
        <f t="shared" si="52"/>
        <v>0</v>
      </c>
      <c r="AQ24" s="5">
        <f t="shared" si="53"/>
        <v>0</v>
      </c>
      <c r="AR24" s="5">
        <f t="shared" si="54"/>
        <v>0</v>
      </c>
      <c r="AS24" s="5">
        <f t="shared" si="55"/>
        <v>0</v>
      </c>
    </row>
    <row r="25" spans="1:45" ht="12.75">
      <c r="A25" s="5">
        <f>'Charges acoustiques'!A35</f>
        <v>0</v>
      </c>
      <c r="B25" s="5">
        <f>'Charges acoustiques'!B35</f>
        <v>0</v>
      </c>
      <c r="C25" s="5">
        <f>'Charges acoustiques'!C35</f>
        <v>0</v>
      </c>
      <c r="D25" s="5">
        <f>'Charges acoustiques'!D35</f>
        <v>0</v>
      </c>
      <c r="E25" s="5">
        <f>'Charges acoustiques'!E35</f>
        <v>0</v>
      </c>
      <c r="F25" s="5">
        <f>'Charges acoustiques'!H35</f>
        <v>0</v>
      </c>
      <c r="G25" s="5">
        <f>'Charges acoustiques'!I35</f>
        <v>0</v>
      </c>
      <c r="H25" s="5">
        <f>'Charges acoustiques'!J35</f>
        <v>0</v>
      </c>
      <c r="I25" s="5">
        <f>'Charges acoustiques'!K35</f>
        <v>0</v>
      </c>
      <c r="J25" s="5">
        <f t="shared" si="0"/>
        <v>0</v>
      </c>
      <c r="K25" s="5" t="str">
        <f>IF(D25&gt;0,IF(F25&gt;VLOOKUP(D25,Grundlagen!$A$5:$G$9,3,FALSE),F25-VLOOKUP(D25,Grundlagen!$A$5:$G$9,3,FALSE),"-"),"-")</f>
        <v>-</v>
      </c>
      <c r="L25" s="5" t="str">
        <f>IF(D25&gt;0,IF(G25&gt;VLOOKUP(D25,Grundlagen!$A$5:$G$9,6,FALSE),G25-VLOOKUP(D25,Grundlagen!$A$5:$G$9,6,FALSE),"-"),"-")</f>
        <v>-</v>
      </c>
      <c r="M25" s="5">
        <f t="shared" si="33"/>
        <v>0</v>
      </c>
      <c r="N25" s="5" t="str">
        <f t="shared" si="2"/>
        <v>Nuit</v>
      </c>
      <c r="O25" s="5" t="str">
        <f t="shared" si="3"/>
        <v>Habitation</v>
      </c>
      <c r="P25" s="24">
        <f t="shared" si="4"/>
        <v>0</v>
      </c>
      <c r="Q25" s="24">
        <f t="shared" si="5"/>
        <v>60</v>
      </c>
      <c r="R25" s="24">
        <f t="shared" si="34"/>
        <v>0</v>
      </c>
      <c r="S25" s="24">
        <f>R25*R$4</f>
        <v>0</v>
      </c>
      <c r="T25" s="24">
        <f t="shared" si="35"/>
        <v>0</v>
      </c>
      <c r="U25" s="25">
        <f t="shared" si="36"/>
        <v>0</v>
      </c>
      <c r="V25" s="25">
        <f t="shared" si="37"/>
        <v>55</v>
      </c>
      <c r="W25" s="25">
        <f t="shared" si="38"/>
        <v>0</v>
      </c>
      <c r="X25" s="25">
        <f t="shared" si="11"/>
        <v>0</v>
      </c>
      <c r="Y25" s="25">
        <f t="shared" si="39"/>
        <v>0</v>
      </c>
      <c r="Z25" s="26">
        <f t="shared" si="40"/>
        <v>0</v>
      </c>
      <c r="AA25" s="26">
        <f t="shared" si="41"/>
        <v>50</v>
      </c>
      <c r="AB25" s="26">
        <f t="shared" si="42"/>
        <v>0</v>
      </c>
      <c r="AC25" s="26">
        <f t="shared" si="15"/>
        <v>0</v>
      </c>
      <c r="AD25" s="26">
        <f t="shared" si="43"/>
        <v>0</v>
      </c>
      <c r="AE25" s="27">
        <f t="shared" si="44"/>
        <v>0</v>
      </c>
      <c r="AF25" s="27">
        <f t="shared" si="45"/>
        <v>45</v>
      </c>
      <c r="AG25" s="27">
        <f t="shared" si="46"/>
        <v>0</v>
      </c>
      <c r="AH25" s="27">
        <f t="shared" si="18"/>
        <v>0</v>
      </c>
      <c r="AI25" s="27">
        <f t="shared" si="47"/>
        <v>0</v>
      </c>
      <c r="AJ25" s="28">
        <f t="shared" si="48"/>
        <v>0</v>
      </c>
      <c r="AK25" s="28">
        <f t="shared" si="49"/>
        <v>40</v>
      </c>
      <c r="AL25" s="28">
        <f t="shared" si="50"/>
        <v>0</v>
      </c>
      <c r="AM25" s="28">
        <f t="shared" si="31"/>
        <v>0</v>
      </c>
      <c r="AN25" s="28">
        <f t="shared" si="51"/>
        <v>0</v>
      </c>
      <c r="AO25" s="8">
        <f>IF('Charges acoustiques'!F35="x",0,1)</f>
        <v>1</v>
      </c>
      <c r="AP25" s="5">
        <f t="shared" si="52"/>
        <v>0</v>
      </c>
      <c r="AQ25" s="5">
        <f t="shared" si="53"/>
        <v>0</v>
      </c>
      <c r="AR25" s="5">
        <f t="shared" si="54"/>
        <v>0</v>
      </c>
      <c r="AS25" s="5">
        <f t="shared" si="55"/>
        <v>0</v>
      </c>
    </row>
    <row r="26" spans="1:45" ht="12.75">
      <c r="A26" s="5">
        <f>'Charges acoustiques'!A36</f>
        <v>0</v>
      </c>
      <c r="B26" s="5">
        <f>'Charges acoustiques'!B36</f>
        <v>0</v>
      </c>
      <c r="C26" s="5">
        <f>'Charges acoustiques'!C36</f>
        <v>0</v>
      </c>
      <c r="D26" s="5">
        <f>'Charges acoustiques'!D36</f>
        <v>0</v>
      </c>
      <c r="E26" s="5">
        <f>'Charges acoustiques'!E36</f>
        <v>0</v>
      </c>
      <c r="F26" s="5">
        <f>'Charges acoustiques'!H36</f>
        <v>0</v>
      </c>
      <c r="G26" s="5">
        <f>'Charges acoustiques'!I36</f>
        <v>0</v>
      </c>
      <c r="H26" s="5">
        <f>'Charges acoustiques'!J36</f>
        <v>0</v>
      </c>
      <c r="I26" s="5">
        <f>'Charges acoustiques'!K36</f>
        <v>0</v>
      </c>
      <c r="J26" s="5">
        <f t="shared" si="0"/>
        <v>0</v>
      </c>
      <c r="K26" s="5" t="str">
        <f>IF(D26&gt;0,IF(F26&gt;VLOOKUP(D26,Grundlagen!$A$5:$G$9,3,FALSE),F26-VLOOKUP(D26,Grundlagen!$A$5:$G$9,3,FALSE),"-"),"-")</f>
        <v>-</v>
      </c>
      <c r="L26" s="5" t="str">
        <f>IF(D26&gt;0,IF(G26&gt;VLOOKUP(D26,Grundlagen!$A$5:$G$9,6,FALSE),G26-VLOOKUP(D26,Grundlagen!$A$5:$G$9,6,FALSE),"-"),"-")</f>
        <v>-</v>
      </c>
      <c r="M26" s="5">
        <f t="shared" si="33"/>
        <v>0</v>
      </c>
      <c r="N26" s="5" t="str">
        <f t="shared" si="2"/>
        <v>Nuit</v>
      </c>
      <c r="O26" s="5" t="str">
        <f t="shared" si="3"/>
        <v>Habitation</v>
      </c>
      <c r="P26" s="24">
        <f t="shared" si="4"/>
        <v>0</v>
      </c>
      <c r="Q26" s="24">
        <f t="shared" si="5"/>
        <v>60</v>
      </c>
      <c r="R26" s="24">
        <f t="shared" si="34"/>
        <v>0</v>
      </c>
      <c r="S26" s="24">
        <f t="shared" si="7"/>
        <v>0</v>
      </c>
      <c r="T26" s="24">
        <f t="shared" si="35"/>
        <v>0</v>
      </c>
      <c r="U26" s="25">
        <f t="shared" si="36"/>
        <v>0</v>
      </c>
      <c r="V26" s="25">
        <f t="shared" si="37"/>
        <v>55</v>
      </c>
      <c r="W26" s="25">
        <f t="shared" si="38"/>
        <v>0</v>
      </c>
      <c r="X26" s="25">
        <f t="shared" si="11"/>
        <v>0</v>
      </c>
      <c r="Y26" s="25">
        <f t="shared" si="39"/>
        <v>0</v>
      </c>
      <c r="Z26" s="26">
        <f t="shared" si="40"/>
        <v>0</v>
      </c>
      <c r="AA26" s="26">
        <f t="shared" si="41"/>
        <v>50</v>
      </c>
      <c r="AB26" s="26">
        <f t="shared" si="42"/>
        <v>0</v>
      </c>
      <c r="AC26" s="26">
        <f t="shared" si="15"/>
        <v>0</v>
      </c>
      <c r="AD26" s="26">
        <f t="shared" si="43"/>
        <v>0</v>
      </c>
      <c r="AE26" s="27">
        <f t="shared" si="44"/>
        <v>0</v>
      </c>
      <c r="AF26" s="27">
        <f t="shared" si="45"/>
        <v>45</v>
      </c>
      <c r="AG26" s="27">
        <f t="shared" si="46"/>
        <v>0</v>
      </c>
      <c r="AH26" s="27">
        <f t="shared" si="18"/>
        <v>0</v>
      </c>
      <c r="AI26" s="27">
        <f t="shared" si="47"/>
        <v>0</v>
      </c>
      <c r="AJ26" s="28">
        <f t="shared" si="48"/>
        <v>0</v>
      </c>
      <c r="AK26" s="28">
        <f t="shared" si="49"/>
        <v>40</v>
      </c>
      <c r="AL26" s="28">
        <f t="shared" si="50"/>
        <v>0</v>
      </c>
      <c r="AM26" s="28">
        <f t="shared" si="31"/>
        <v>0</v>
      </c>
      <c r="AN26" s="28">
        <f t="shared" si="51"/>
        <v>0</v>
      </c>
      <c r="AO26" s="8">
        <f>IF('Charges acoustiques'!F36="x",0,1)</f>
        <v>1</v>
      </c>
      <c r="AP26" s="5">
        <f t="shared" si="52"/>
        <v>0</v>
      </c>
      <c r="AQ26" s="5">
        <f t="shared" si="53"/>
        <v>0</v>
      </c>
      <c r="AR26" s="5">
        <f t="shared" si="54"/>
        <v>0</v>
      </c>
      <c r="AS26" s="5">
        <f t="shared" si="55"/>
        <v>0</v>
      </c>
    </row>
    <row r="27" spans="1:45" ht="12.75">
      <c r="A27" s="5">
        <f>'Charges acoustiques'!A37</f>
        <v>0</v>
      </c>
      <c r="B27" s="5">
        <f>'Charges acoustiques'!B37</f>
        <v>0</v>
      </c>
      <c r="C27" s="5">
        <f>'Charges acoustiques'!C37</f>
        <v>0</v>
      </c>
      <c r="D27" s="5">
        <f>'Charges acoustiques'!D37</f>
        <v>0</v>
      </c>
      <c r="E27" s="5">
        <f>'Charges acoustiques'!E37</f>
        <v>0</v>
      </c>
      <c r="F27" s="5">
        <f>'Charges acoustiques'!H37</f>
        <v>0</v>
      </c>
      <c r="G27" s="5">
        <f>'Charges acoustiques'!I37</f>
        <v>0</v>
      </c>
      <c r="H27" s="5">
        <f>'Charges acoustiques'!J37</f>
        <v>0</v>
      </c>
      <c r="I27" s="5">
        <f>'Charges acoustiques'!K37</f>
        <v>0</v>
      </c>
      <c r="J27" s="5">
        <f t="shared" si="0"/>
        <v>0</v>
      </c>
      <c r="K27" s="5" t="str">
        <f>IF(D27&gt;0,IF(F27&gt;VLOOKUP(D27,Grundlagen!$A$5:$G$9,3,FALSE),F27-VLOOKUP(D27,Grundlagen!$A$5:$G$9,3,FALSE),"-"),"-")</f>
        <v>-</v>
      </c>
      <c r="L27" s="5" t="str">
        <f>IF(D27&gt;0,IF(G27&gt;VLOOKUP(D27,Grundlagen!$A$5:$G$9,6,FALSE),G27-VLOOKUP(D27,Grundlagen!$A$5:$G$9,6,FALSE),"-"),"-")</f>
        <v>-</v>
      </c>
      <c r="M27" s="5">
        <f t="shared" si="33"/>
        <v>0</v>
      </c>
      <c r="N27" s="5" t="str">
        <f t="shared" si="2"/>
        <v>Nuit</v>
      </c>
      <c r="O27" s="5" t="str">
        <f t="shared" si="3"/>
        <v>Habitation</v>
      </c>
      <c r="P27" s="24">
        <f t="shared" si="4"/>
        <v>0</v>
      </c>
      <c r="Q27" s="24">
        <f t="shared" si="5"/>
        <v>60</v>
      </c>
      <c r="R27" s="24">
        <f t="shared" si="34"/>
        <v>0</v>
      </c>
      <c r="S27" s="24">
        <f t="shared" si="7"/>
        <v>0</v>
      </c>
      <c r="T27" s="24">
        <f t="shared" si="35"/>
        <v>0</v>
      </c>
      <c r="U27" s="25">
        <f t="shared" si="36"/>
        <v>0</v>
      </c>
      <c r="V27" s="25">
        <f t="shared" si="37"/>
        <v>55</v>
      </c>
      <c r="W27" s="25">
        <f t="shared" si="38"/>
        <v>0</v>
      </c>
      <c r="X27" s="25">
        <f t="shared" si="11"/>
        <v>0</v>
      </c>
      <c r="Y27" s="25">
        <f t="shared" si="39"/>
        <v>0</v>
      </c>
      <c r="Z27" s="26">
        <f t="shared" si="40"/>
        <v>0</v>
      </c>
      <c r="AA27" s="26">
        <f t="shared" si="41"/>
        <v>50</v>
      </c>
      <c r="AB27" s="26">
        <f t="shared" si="42"/>
        <v>0</v>
      </c>
      <c r="AC27" s="26">
        <f t="shared" si="15"/>
        <v>0</v>
      </c>
      <c r="AD27" s="26">
        <f t="shared" si="43"/>
        <v>0</v>
      </c>
      <c r="AE27" s="27">
        <f t="shared" si="44"/>
        <v>0</v>
      </c>
      <c r="AF27" s="27">
        <f t="shared" si="45"/>
        <v>45</v>
      </c>
      <c r="AG27" s="27">
        <f t="shared" si="46"/>
        <v>0</v>
      </c>
      <c r="AH27" s="27">
        <f t="shared" si="18"/>
        <v>0</v>
      </c>
      <c r="AI27" s="27">
        <f t="shared" si="47"/>
        <v>0</v>
      </c>
      <c r="AJ27" s="28">
        <f t="shared" si="48"/>
        <v>0</v>
      </c>
      <c r="AK27" s="28">
        <f t="shared" si="49"/>
        <v>40</v>
      </c>
      <c r="AL27" s="28">
        <f t="shared" si="50"/>
        <v>0</v>
      </c>
      <c r="AM27" s="28">
        <f t="shared" si="31"/>
        <v>0</v>
      </c>
      <c r="AN27" s="28">
        <f t="shared" si="51"/>
        <v>0</v>
      </c>
      <c r="AO27" s="8">
        <f>IF('Charges acoustiques'!F37="x",0,1)</f>
        <v>1</v>
      </c>
      <c r="AP27" s="5">
        <f t="shared" si="52"/>
        <v>0</v>
      </c>
      <c r="AQ27" s="5">
        <f t="shared" si="53"/>
        <v>0</v>
      </c>
      <c r="AR27" s="5">
        <f t="shared" si="54"/>
        <v>0</v>
      </c>
      <c r="AS27" s="5">
        <f t="shared" si="55"/>
        <v>0</v>
      </c>
    </row>
    <row r="28" spans="1:45" ht="12.75">
      <c r="A28" s="5">
        <f>'Charges acoustiques'!A38</f>
        <v>0</v>
      </c>
      <c r="B28" s="5">
        <f>'Charges acoustiques'!B38</f>
        <v>0</v>
      </c>
      <c r="C28" s="5">
        <f>'Charges acoustiques'!C38</f>
        <v>0</v>
      </c>
      <c r="D28" s="5">
        <f>'Charges acoustiques'!D38</f>
        <v>0</v>
      </c>
      <c r="E28" s="5">
        <f>'Charges acoustiques'!E38</f>
        <v>0</v>
      </c>
      <c r="F28" s="5">
        <f>'Charges acoustiques'!H38</f>
        <v>0</v>
      </c>
      <c r="G28" s="5">
        <f>'Charges acoustiques'!I38</f>
        <v>0</v>
      </c>
      <c r="H28" s="5">
        <f>'Charges acoustiques'!J38</f>
        <v>0</v>
      </c>
      <c r="I28" s="5">
        <f>'Charges acoustiques'!K38</f>
        <v>0</v>
      </c>
      <c r="J28" s="5">
        <f t="shared" si="0"/>
        <v>0</v>
      </c>
      <c r="K28" s="5" t="str">
        <f>IF(D28&gt;0,IF(F28&gt;VLOOKUP(D28,Grundlagen!$A$5:$G$9,3,FALSE),F28-VLOOKUP(D28,Grundlagen!$A$5:$G$9,3,FALSE),"-"),"-")</f>
        <v>-</v>
      </c>
      <c r="L28" s="5" t="str">
        <f>IF(D28&gt;0,IF(G28&gt;VLOOKUP(D28,Grundlagen!$A$5:$G$9,6,FALSE),G28-VLOOKUP(D28,Grundlagen!$A$5:$G$9,6,FALSE),"-"),"-")</f>
        <v>-</v>
      </c>
      <c r="M28" s="5">
        <f>IF(K28&lt;&gt;"-",1,IF(L28&lt;&gt;"-",1,0))</f>
        <v>0</v>
      </c>
      <c r="N28" s="5" t="str">
        <f t="shared" si="2"/>
        <v>Nuit</v>
      </c>
      <c r="O28" s="5" t="str">
        <f t="shared" si="3"/>
        <v>Habitation</v>
      </c>
      <c r="P28" s="24">
        <f t="shared" si="4"/>
        <v>0</v>
      </c>
      <c r="Q28" s="24">
        <f t="shared" si="5"/>
        <v>60</v>
      </c>
      <c r="R28" s="24">
        <f>IF($P28&gt;Q28,IF($P28-J28&gt;Q28,J28,P28-Q28),0)</f>
        <v>0</v>
      </c>
      <c r="S28" s="24">
        <f t="shared" si="7"/>
        <v>0</v>
      </c>
      <c r="T28" s="24">
        <f>J28-R28</f>
        <v>0</v>
      </c>
      <c r="U28" s="25">
        <f>P28-R28</f>
        <v>0</v>
      </c>
      <c r="V28" s="25">
        <f>Q28-5</f>
        <v>55</v>
      </c>
      <c r="W28" s="25">
        <f>IF(U28&gt;V28,IF(U28-T28&gt;V28,T28,U28-V28),0)</f>
        <v>0</v>
      </c>
      <c r="X28" s="25">
        <f t="shared" si="11"/>
        <v>0</v>
      </c>
      <c r="Y28" s="25">
        <f>T28-W28</f>
        <v>0</v>
      </c>
      <c r="Z28" s="26">
        <f>U28-W28</f>
        <v>0</v>
      </c>
      <c r="AA28" s="26">
        <f>V28-5</f>
        <v>50</v>
      </c>
      <c r="AB28" s="26">
        <f>IF(Z28&gt;AA28,IF(Z28-Y28&gt;AA28,Y28,Z28-AA28),0)</f>
        <v>0</v>
      </c>
      <c r="AC28" s="26">
        <f t="shared" si="15"/>
        <v>0</v>
      </c>
      <c r="AD28" s="26">
        <f>Y28-AB28</f>
        <v>0</v>
      </c>
      <c r="AE28" s="27">
        <f>Z28-AB28</f>
        <v>0</v>
      </c>
      <c r="AF28" s="27">
        <f>AA28-5</f>
        <v>45</v>
      </c>
      <c r="AG28" s="27">
        <f>IF(AE28&gt;AF28,IF(AE28-AD28&gt;AF28,AD28,AE28-AF28),0)</f>
        <v>0</v>
      </c>
      <c r="AH28" s="27">
        <f t="shared" si="18"/>
        <v>0</v>
      </c>
      <c r="AI28" s="27">
        <f>AD28-AG28</f>
        <v>0</v>
      </c>
      <c r="AJ28" s="28">
        <f>AE28-AG28</f>
        <v>0</v>
      </c>
      <c r="AK28" s="28">
        <f>AF28-5</f>
        <v>40</v>
      </c>
      <c r="AL28" s="28">
        <f>IF(AJ28&gt;AK28,IF(AJ28-AI28&gt;AK28,AI28,AJ28-AK28),0)</f>
        <v>0</v>
      </c>
      <c r="AM28" s="28">
        <f t="shared" si="31"/>
        <v>0</v>
      </c>
      <c r="AN28" s="28">
        <f>AI28-AL28</f>
        <v>0</v>
      </c>
      <c r="AO28" s="8">
        <f>IF('Charges acoustiques'!F38="x",0,1)</f>
        <v>1</v>
      </c>
      <c r="AP28" s="5">
        <f>E28*M28*(R28+W28+AB28+AG28+AL28)*3*AO28</f>
        <v>0</v>
      </c>
      <c r="AQ28" s="5">
        <f>E28*M28*(S28+X28+AC28+AH28+AM28)*3*AO28</f>
        <v>0</v>
      </c>
      <c r="AR28" s="5">
        <f>E28*M28*(R28+W28+AB28+AG28+AL28)*3</f>
        <v>0</v>
      </c>
      <c r="AS28" s="5">
        <f>E28*M28*(S28+X28+AC28+AH28+AM28)*3</f>
        <v>0</v>
      </c>
    </row>
    <row r="30" spans="42:43" ht="12.75">
      <c r="AP30" s="9"/>
      <c r="AQ30" s="23"/>
    </row>
    <row r="32" spans="3:7" ht="12.75">
      <c r="C32" s="363" t="s">
        <v>136</v>
      </c>
      <c r="D32" s="363"/>
      <c r="F32" s="39" t="s">
        <v>137</v>
      </c>
      <c r="G32" s="39"/>
    </row>
    <row r="33" spans="1:7" ht="12.75">
      <c r="A33" s="1" t="s">
        <v>135</v>
      </c>
      <c r="B33" s="13"/>
      <c r="C33" s="381">
        <f>Coûts!C22</f>
        <v>0</v>
      </c>
      <c r="D33" s="382"/>
      <c r="F33" s="381">
        <f>Coûts!C22</f>
        <v>0</v>
      </c>
      <c r="G33" s="382"/>
    </row>
    <row r="34" spans="1:7" ht="12.75">
      <c r="A34" s="14" t="s">
        <v>138</v>
      </c>
      <c r="B34" s="15"/>
      <c r="C34" s="383">
        <f>SUM(AP7:AP29)</f>
        <v>0</v>
      </c>
      <c r="D34" s="384"/>
      <c r="E34" s="40"/>
      <c r="F34" s="383">
        <f>SUM(AR7:AR29)</f>
        <v>0</v>
      </c>
      <c r="G34" s="384"/>
    </row>
    <row r="35" spans="1:7" ht="12.75">
      <c r="A35" s="3" t="s">
        <v>139</v>
      </c>
      <c r="B35" s="16"/>
      <c r="C35" s="376">
        <f>SUM(AQ7:AQ29)</f>
        <v>0</v>
      </c>
      <c r="D35" s="377"/>
      <c r="E35" s="40"/>
      <c r="F35" s="376">
        <f>SUM(AS7:AS29)</f>
        <v>0</v>
      </c>
      <c r="G35" s="377"/>
    </row>
    <row r="36" spans="1:7" ht="13.5" thickBot="1">
      <c r="A36" s="14"/>
      <c r="B36" s="15"/>
      <c r="C36" s="14"/>
      <c r="D36" s="15"/>
      <c r="F36" s="14"/>
      <c r="G36" s="15"/>
    </row>
    <row r="37" spans="1:7" ht="12.75">
      <c r="A37" s="17" t="s">
        <v>140</v>
      </c>
      <c r="B37" s="21"/>
      <c r="C37" s="43">
        <f>IF(C34&gt;0,C33/C34,0)</f>
        <v>0</v>
      </c>
      <c r="D37" s="41"/>
      <c r="E37" s="40"/>
      <c r="F37" s="43">
        <f>IF(F34&gt;0,F33/F34,0)</f>
        <v>0</v>
      </c>
      <c r="G37" s="41"/>
    </row>
    <row r="38" spans="1:7" ht="13.5" thickBot="1">
      <c r="A38" s="18" t="s">
        <v>141</v>
      </c>
      <c r="B38" s="45"/>
      <c r="C38" s="44">
        <f>IF(C35&gt;0,C33/C35,0)</f>
        <v>0</v>
      </c>
      <c r="D38" s="42"/>
      <c r="E38" s="40"/>
      <c r="F38" s="44">
        <f>IF(F35&gt;0,F33/F35,0)</f>
        <v>0</v>
      </c>
      <c r="G38" s="42"/>
    </row>
    <row r="41" ht="12.75">
      <c r="A41" t="s">
        <v>142</v>
      </c>
    </row>
  </sheetData>
  <sheetProtection sheet="1" objects="1" scenarios="1"/>
  <mergeCells count="25">
    <mergeCell ref="AD5:AD6"/>
    <mergeCell ref="C35:D35"/>
    <mergeCell ref="N5:N6"/>
    <mergeCell ref="S5:S6"/>
    <mergeCell ref="T5:T6"/>
    <mergeCell ref="F35:G35"/>
    <mergeCell ref="F33:G33"/>
    <mergeCell ref="F34:G34"/>
    <mergeCell ref="C33:D33"/>
    <mergeCell ref="C34:D34"/>
    <mergeCell ref="AP4:AQ4"/>
    <mergeCell ref="AR4:AS4"/>
    <mergeCell ref="AR5:AR6"/>
    <mergeCell ref="AS5:AS6"/>
    <mergeCell ref="AP5:AP6"/>
    <mergeCell ref="X5:X6"/>
    <mergeCell ref="AQ5:AQ6"/>
    <mergeCell ref="C32:D32"/>
    <mergeCell ref="AO5:AO6"/>
    <mergeCell ref="AH5:AH6"/>
    <mergeCell ref="AI5:AI6"/>
    <mergeCell ref="AM5:AM6"/>
    <mergeCell ref="AN5:AN6"/>
    <mergeCell ref="Y5:Y6"/>
    <mergeCell ref="AC5:AC6"/>
  </mergeCells>
  <printOptions/>
  <pageMargins left="0.75" right="0.75" top="0.48" bottom="1" header="0.4921259845" footer="0.4921259845"/>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codeName="Tabelle4"/>
  <dimension ref="A1:G18"/>
  <sheetViews>
    <sheetView workbookViewId="0" topLeftCell="A1">
      <selection activeCell="A29" sqref="A29"/>
    </sheetView>
  </sheetViews>
  <sheetFormatPr defaultColWidth="11.421875" defaultRowHeight="12.75"/>
  <cols>
    <col min="1" max="1" width="15.421875" style="0" customWidth="1"/>
  </cols>
  <sheetData>
    <row r="1" ht="12.75">
      <c r="A1" s="9" t="s">
        <v>9</v>
      </c>
    </row>
    <row r="3" spans="2:5" ht="12.75">
      <c r="B3" t="s">
        <v>1</v>
      </c>
      <c r="E3" t="s">
        <v>2</v>
      </c>
    </row>
    <row r="4" spans="1:7" ht="12.75">
      <c r="A4" t="s">
        <v>0</v>
      </c>
      <c r="B4" t="s">
        <v>10</v>
      </c>
      <c r="C4" t="s">
        <v>11</v>
      </c>
      <c r="D4" t="s">
        <v>12</v>
      </c>
      <c r="E4" t="s">
        <v>10</v>
      </c>
      <c r="F4" t="s">
        <v>11</v>
      </c>
      <c r="G4" t="s">
        <v>12</v>
      </c>
    </row>
    <row r="5" spans="1:7" ht="12.75">
      <c r="A5" t="s">
        <v>13</v>
      </c>
      <c r="B5">
        <v>55</v>
      </c>
      <c r="C5">
        <v>60</v>
      </c>
      <c r="D5">
        <v>70</v>
      </c>
      <c r="E5">
        <v>45</v>
      </c>
      <c r="F5">
        <v>50</v>
      </c>
      <c r="G5">
        <v>65</v>
      </c>
    </row>
    <row r="6" spans="1:7" ht="12.75">
      <c r="A6" t="s">
        <v>14</v>
      </c>
      <c r="B6">
        <v>60</v>
      </c>
      <c r="C6">
        <v>65</v>
      </c>
      <c r="D6">
        <v>70</v>
      </c>
      <c r="E6">
        <v>50</v>
      </c>
      <c r="F6">
        <v>55</v>
      </c>
      <c r="G6">
        <v>65</v>
      </c>
    </row>
    <row r="7" spans="1:7" ht="12.75">
      <c r="A7" t="s">
        <v>4</v>
      </c>
      <c r="B7">
        <v>60</v>
      </c>
      <c r="C7">
        <v>65</v>
      </c>
      <c r="D7">
        <v>70</v>
      </c>
      <c r="E7">
        <v>50</v>
      </c>
      <c r="F7">
        <v>55</v>
      </c>
      <c r="G7">
        <v>65</v>
      </c>
    </row>
    <row r="8" spans="1:7" ht="12.75">
      <c r="A8" t="s">
        <v>15</v>
      </c>
      <c r="B8">
        <v>65</v>
      </c>
      <c r="C8">
        <v>70</v>
      </c>
      <c r="D8">
        <v>70</v>
      </c>
      <c r="E8">
        <v>55</v>
      </c>
      <c r="F8">
        <v>60</v>
      </c>
      <c r="G8">
        <v>65</v>
      </c>
    </row>
    <row r="9" spans="1:7" ht="12.75">
      <c r="A9" t="s">
        <v>16</v>
      </c>
      <c r="B9">
        <v>65</v>
      </c>
      <c r="C9">
        <v>70</v>
      </c>
      <c r="D9">
        <v>75</v>
      </c>
      <c r="E9">
        <v>55</v>
      </c>
      <c r="F9">
        <v>60</v>
      </c>
      <c r="G9">
        <v>70</v>
      </c>
    </row>
    <row r="12" ht="12.75">
      <c r="A12" s="9" t="s">
        <v>17</v>
      </c>
    </row>
    <row r="14" ht="12.75">
      <c r="B14" t="s">
        <v>18</v>
      </c>
    </row>
    <row r="15" spans="1:2" ht="12.75">
      <c r="A15" t="s">
        <v>19</v>
      </c>
      <c r="B15">
        <v>70</v>
      </c>
    </row>
    <row r="16" spans="1:2" ht="12.75">
      <c r="A16" t="s">
        <v>20</v>
      </c>
      <c r="B16">
        <v>60</v>
      </c>
    </row>
    <row r="17" spans="1:2" ht="12.75">
      <c r="A17" t="s">
        <v>21</v>
      </c>
      <c r="B17">
        <v>75</v>
      </c>
    </row>
    <row r="18" spans="1:2" ht="12.75">
      <c r="A18" t="s">
        <v>22</v>
      </c>
      <c r="B18">
        <v>65</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Grolimund &amp; Partner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Wirtschaftlichkeit Version1</dc:title>
  <dc:subject/>
  <dc:creator>Christoph Ammann</dc:creator>
  <cp:keywords/>
  <dc:description/>
  <cp:lastModifiedBy>Andreas Schluep</cp:lastModifiedBy>
  <cp:lastPrinted>2007-08-13T08:45:50Z</cp:lastPrinted>
  <dcterms:created xsi:type="dcterms:W3CDTF">2006-09-08T06:59:09Z</dcterms:created>
  <dcterms:modified xsi:type="dcterms:W3CDTF">2008-02-22T08:27:57Z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-1887801707</vt:i4>
  </property>
  <property fmtid="{D5CDD505-2E9C-101B-9397-08002B2CF9AE}" pid="3" name="_EmailSubject">
    <vt:lpwstr>Uebersetzung WT-Berechnungsmodul</vt:lpwstr>
  </property>
  <property fmtid="{D5CDD505-2E9C-101B-9397-08002B2CF9AE}" pid="4" name="_AuthorEmail">
    <vt:lpwstr>Lionel.Rey@gundp.ch</vt:lpwstr>
  </property>
  <property fmtid="{D5CDD505-2E9C-101B-9397-08002B2CF9AE}" pid="5" name="_AuthorEmailDisplayName">
    <vt:lpwstr>Lionel Rey</vt:lpwstr>
  </property>
  <property fmtid="{D5CDD505-2E9C-101B-9397-08002B2CF9AE}" pid="6" name="_PreviousAdHocReviewCycleID">
    <vt:i4>-532671491</vt:i4>
  </property>
  <property fmtid="{D5CDD505-2E9C-101B-9397-08002B2CF9AE}" pid="7" name="_ReviewingToolsShownOnce">
    <vt:lpwstr/>
  </property>
</Properties>
</file>