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comments8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3.xml" ContentType="application/vnd.openxmlformats-officedocument.drawing+xml"/>
  <Override PartName="/xl/comments14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omments15.xml" ContentType="application/vnd.openxmlformats-officedocument.spreadsheetml.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threadedComments/threadedComment1.xml" ContentType="application/vnd.ms-excel.threaded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drawings/drawing5.xml" ContentType="application/vnd.openxmlformats-officedocument.drawing+xml"/>
  <Override PartName="/xl/comments22.xml" ContentType="application/vnd.openxmlformats-officedocument.spreadsheetml.comment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23.xml" ContentType="application/vnd.openxmlformats-officedocument.spreadsheetml.comments+xml"/>
  <Override PartName="/xl/drawings/drawing6.xml" ContentType="application/vnd.openxmlformats-officedocument.drawing+xml"/>
  <Override PartName="/xl/comments24.xml" ContentType="application/vnd.openxmlformats-officedocument.spreadsheetml.comment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omments25.xml" ContentType="application/vnd.openxmlformats-officedocument.spreadsheetml.comment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omments32.xml" ContentType="application/vnd.openxmlformats-officedocument.spreadsheetml.comments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https://vbsa.sharepoint.com/VBSA - ASED - ASIR/Shared Documents/VBSA 08 2018/2000 CO2/BV_Monitoring_ab_2023/"/>
    </mc:Choice>
  </mc:AlternateContent>
  <xr:revisionPtr revIDLastSave="166" documentId="13_ncr:1_{93B39E8C-FD51-4F49-B126-D01EEAB5E2EC}" xr6:coauthVersionLast="47" xr6:coauthVersionMax="47" xr10:uidLastSave="{2FBD15A8-DB50-4BEB-BEB5-DEE4A1D32829}"/>
  <bookViews>
    <workbookView xWindow="28680" yWindow="-120" windowWidth="29040" windowHeight="15720" firstSheet="26" activeTab="33" xr2:uid="{00000000-000D-0000-FFFF-FFFF00000000}"/>
  </bookViews>
  <sheets>
    <sheet name="D_AG_1" sheetId="4" r:id="rId1"/>
    <sheet name="D_AG_2" sheetId="5" r:id="rId2"/>
    <sheet name="D_AG_3" sheetId="6" r:id="rId3"/>
    <sheet name="D_BE_1" sheetId="7" r:id="rId4"/>
    <sheet name="D_BE_2" sheetId="8" r:id="rId5"/>
    <sheet name="D_BE_3" sheetId="9" r:id="rId6"/>
    <sheet name="D_BS_1" sheetId="10" r:id="rId7"/>
    <sheet name="D_FR_1" sheetId="11" r:id="rId8"/>
    <sheet name="D_GE_1" sheetId="12" r:id="rId9"/>
    <sheet name="D_GL_1" sheetId="13" r:id="rId10"/>
    <sheet name="D_GR_1" sheetId="14" r:id="rId11"/>
    <sheet name="D_LU_1" sheetId="15" r:id="rId12"/>
    <sheet name="D_LU_2" sheetId="16" r:id="rId13"/>
    <sheet name="D_NE_1" sheetId="17" r:id="rId14"/>
    <sheet name="D_NE_2" sheetId="18" r:id="rId15"/>
    <sheet name="D_SG_1" sheetId="19" r:id="rId16"/>
    <sheet name="D_SG_2" sheetId="20" r:id="rId17"/>
    <sheet name="D_SG_3" sheetId="21" r:id="rId18"/>
    <sheet name="D_SO_1" sheetId="22" r:id="rId19"/>
    <sheet name="D_TG_1" sheetId="23" r:id="rId20"/>
    <sheet name="D_TI_1" sheetId="24" r:id="rId21"/>
    <sheet name="D_VD_2" sheetId="25" r:id="rId22"/>
    <sheet name="D_VS_1" sheetId="26" r:id="rId23"/>
    <sheet name="D_VS_2" sheetId="27" r:id="rId24"/>
    <sheet name="D_VS_3" sheetId="28" r:id="rId25"/>
    <sheet name="D_ZH_1" sheetId="29" r:id="rId26"/>
    <sheet name="D_ZH_2" sheetId="30" r:id="rId27"/>
    <sheet name="D_ZH_3" sheetId="31" r:id="rId28"/>
    <sheet name="D_ZH_4" sheetId="32" r:id="rId29"/>
    <sheet name="D_ZH_5" sheetId="33" r:id="rId30"/>
    <sheet name="D_ZH_6" sheetId="34" r:id="rId31"/>
    <sheet name="D_CH" sheetId="35" r:id="rId32"/>
    <sheet name="Pars" sheetId="2" r:id="rId33"/>
    <sheet name="Übersicht" sheetId="1" r:id="rId34"/>
  </sheets>
  <definedNames>
    <definedName name="Aenderung_pro_Jahr">#REF!</definedName>
    <definedName name="aktuelles_Jah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6" i="2" l="1"/>
  <c r="F96" i="2"/>
  <c r="G96" i="2"/>
  <c r="H96" i="2"/>
  <c r="I96" i="2"/>
  <c r="J96" i="2"/>
  <c r="K96" i="2"/>
  <c r="L96" i="2"/>
  <c r="M96" i="2"/>
  <c r="N96" i="2"/>
  <c r="O96" i="2"/>
  <c r="P96" i="2"/>
  <c r="D96" i="2"/>
  <c r="F17" i="1"/>
  <c r="G17" i="1"/>
  <c r="H17" i="1"/>
  <c r="I17" i="1"/>
  <c r="J17" i="1"/>
  <c r="K17" i="1"/>
  <c r="L17" i="1"/>
  <c r="M17" i="1"/>
  <c r="N17" i="1"/>
  <c r="O17" i="1"/>
  <c r="P17" i="1"/>
  <c r="Q17" i="1"/>
  <c r="E17" i="1"/>
  <c r="AC48" i="18" a="1"/>
  <c r="AC48" i="18" s="1"/>
  <c r="AB48" i="18" a="1"/>
  <c r="AB48" i="18" s="1"/>
  <c r="AA48" i="18" a="1"/>
  <c r="AA48" i="18" s="1"/>
  <c r="Z48" i="18" a="1"/>
  <c r="Z48" i="18" s="1"/>
  <c r="Y48" i="18" a="1"/>
  <c r="Y48" i="18" s="1"/>
  <c r="X48" i="18" a="1"/>
  <c r="X48" i="18" s="1"/>
  <c r="W48" i="18" a="1"/>
  <c r="W48" i="18" s="1"/>
  <c r="V48" i="18" a="1"/>
  <c r="V48" i="18" s="1"/>
  <c r="U48" i="18" a="1"/>
  <c r="U48" i="18" s="1"/>
  <c r="T48" i="18" a="1"/>
  <c r="T48" i="18" s="1"/>
  <c r="S48" i="18" a="1"/>
  <c r="S48" i="18" s="1"/>
  <c r="R48" i="18" a="1"/>
  <c r="R48" i="18" s="1"/>
  <c r="Q48" i="18" a="1"/>
  <c r="Q48" i="18" s="1"/>
  <c r="P48" i="18" a="1"/>
  <c r="P48" i="18" s="1"/>
  <c r="O48" i="18" a="1"/>
  <c r="O48" i="18" s="1"/>
  <c r="N48" i="18" a="1"/>
  <c r="N48" i="18" s="1"/>
  <c r="M48" i="18" a="1"/>
  <c r="M48" i="18" s="1"/>
  <c r="L48" i="18" a="1"/>
  <c r="L48" i="18" s="1"/>
  <c r="K48" i="18" a="1"/>
  <c r="K48" i="18" s="1"/>
  <c r="J48" i="18" a="1"/>
  <c r="J48" i="18" s="1"/>
  <c r="I48" i="18" a="1"/>
  <c r="I48" i="18" s="1"/>
  <c r="H48" i="18" a="1"/>
  <c r="H48" i="18" s="1"/>
  <c r="G48" i="18" a="1"/>
  <c r="G48" i="18" s="1"/>
  <c r="F48" i="18" a="1"/>
  <c r="F48" i="18" s="1"/>
  <c r="E48" i="18" a="1"/>
  <c r="E48" i="18" s="1"/>
  <c r="D48" i="18" a="1"/>
  <c r="D48" i="18" s="1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V45" i="18"/>
  <c r="F45" i="18"/>
  <c r="X44" i="18"/>
  <c r="X45" i="18" s="1"/>
  <c r="H44" i="18"/>
  <c r="H45" i="18" s="1"/>
  <c r="AC43" i="18"/>
  <c r="AC44" i="18" s="1"/>
  <c r="AC45" i="18" s="1"/>
  <c r="AB43" i="18"/>
  <c r="AB44" i="18" s="1"/>
  <c r="AB45" i="18" s="1"/>
  <c r="AA43" i="18"/>
  <c r="AA44" i="18" s="1"/>
  <c r="AA45" i="18" s="1"/>
  <c r="Z43" i="18"/>
  <c r="Z44" i="18" s="1"/>
  <c r="Z45" i="18" s="1"/>
  <c r="Y43" i="18"/>
  <c r="Y44" i="18" s="1"/>
  <c r="Y45" i="18" s="1"/>
  <c r="X43" i="18"/>
  <c r="W43" i="18"/>
  <c r="W44" i="18" s="1"/>
  <c r="W45" i="18" s="1"/>
  <c r="V43" i="18"/>
  <c r="V44" i="18" s="1"/>
  <c r="U43" i="18"/>
  <c r="U44" i="18" s="1"/>
  <c r="U45" i="18" s="1"/>
  <c r="T43" i="18"/>
  <c r="T44" i="18" s="1"/>
  <c r="T45" i="18" s="1"/>
  <c r="S43" i="18"/>
  <c r="S44" i="18" s="1"/>
  <c r="S45" i="18" s="1"/>
  <c r="R43" i="18"/>
  <c r="R44" i="18" s="1"/>
  <c r="R45" i="18" s="1"/>
  <c r="Q43" i="18"/>
  <c r="Q44" i="18" s="1"/>
  <c r="Q45" i="18" s="1"/>
  <c r="P43" i="18"/>
  <c r="P44" i="18" s="1"/>
  <c r="P45" i="18" s="1"/>
  <c r="O43" i="18"/>
  <c r="O44" i="18" s="1"/>
  <c r="O45" i="18" s="1"/>
  <c r="N43" i="18"/>
  <c r="N44" i="18" s="1"/>
  <c r="N45" i="18" s="1"/>
  <c r="M43" i="18"/>
  <c r="M44" i="18" s="1"/>
  <c r="M45" i="18" s="1"/>
  <c r="L43" i="18"/>
  <c r="L44" i="18" s="1"/>
  <c r="L45" i="18" s="1"/>
  <c r="K43" i="18"/>
  <c r="K44" i="18" s="1"/>
  <c r="K45" i="18" s="1"/>
  <c r="J43" i="18"/>
  <c r="J44" i="18" s="1"/>
  <c r="J45" i="18" s="1"/>
  <c r="I43" i="18"/>
  <c r="I44" i="18" s="1"/>
  <c r="I45" i="18" s="1"/>
  <c r="H43" i="18"/>
  <c r="G43" i="18"/>
  <c r="G44" i="18" s="1"/>
  <c r="G45" i="18" s="1"/>
  <c r="F43" i="18"/>
  <c r="F44" i="18" s="1"/>
  <c r="E43" i="18"/>
  <c r="E44" i="18" s="1"/>
  <c r="E45" i="18" s="1"/>
  <c r="D43" i="18"/>
  <c r="D44" i="18" s="1"/>
  <c r="D45" i="18" s="1"/>
  <c r="AC48" i="17" a="1"/>
  <c r="AC48" i="17" s="1"/>
  <c r="AB48" i="17"/>
  <c r="AB48" i="17" a="1"/>
  <c r="AA48" i="17" a="1"/>
  <c r="AA48" i="17" s="1"/>
  <c r="Z48" i="17"/>
  <c r="Z48" i="17" a="1"/>
  <c r="Y48" i="17" a="1"/>
  <c r="Y48" i="17" s="1"/>
  <c r="X48" i="17"/>
  <c r="X48" i="17" a="1"/>
  <c r="W48" i="17" a="1"/>
  <c r="W48" i="17" s="1"/>
  <c r="V48" i="17"/>
  <c r="V48" i="17" a="1"/>
  <c r="U48" i="17" a="1"/>
  <c r="U48" i="17" s="1"/>
  <c r="T48" i="17"/>
  <c r="T48" i="17" a="1"/>
  <c r="S48" i="17" a="1"/>
  <c r="S48" i="17" s="1"/>
  <c r="R48" i="17"/>
  <c r="R48" i="17" a="1"/>
  <c r="Q48" i="17" a="1"/>
  <c r="Q48" i="17" s="1"/>
  <c r="P48" i="17"/>
  <c r="P48" i="17" a="1"/>
  <c r="O48" i="17" a="1"/>
  <c r="O48" i="17" s="1"/>
  <c r="N48" i="17"/>
  <c r="N48" i="17" a="1"/>
  <c r="M48" i="17" a="1"/>
  <c r="M48" i="17" s="1"/>
  <c r="L48" i="17"/>
  <c r="L48" i="17" a="1"/>
  <c r="K48" i="17" a="1"/>
  <c r="K48" i="17" s="1"/>
  <c r="J48" i="17"/>
  <c r="J48" i="17" a="1"/>
  <c r="I48" i="17" a="1"/>
  <c r="I48" i="17" s="1"/>
  <c r="H48" i="17"/>
  <c r="H48" i="17" a="1"/>
  <c r="G48" i="17" a="1"/>
  <c r="G48" i="17" s="1"/>
  <c r="F48" i="17"/>
  <c r="F48" i="17" a="1"/>
  <c r="D48" i="17" a="1"/>
  <c r="D48" i="17" s="1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E45" i="17"/>
  <c r="S44" i="17"/>
  <c r="S45" i="17" s="1"/>
  <c r="O44" i="17"/>
  <c r="O45" i="17" s="1"/>
  <c r="AC43" i="17"/>
  <c r="AC44" i="17" s="1"/>
  <c r="AC45" i="17" s="1"/>
  <c r="AB43" i="17"/>
  <c r="AB44" i="17" s="1"/>
  <c r="AB45" i="17" s="1"/>
  <c r="AA43" i="17"/>
  <c r="AA44" i="17" s="1"/>
  <c r="AA45" i="17" s="1"/>
  <c r="Z43" i="17"/>
  <c r="Z44" i="17" s="1"/>
  <c r="Z45" i="17" s="1"/>
  <c r="Y43" i="17"/>
  <c r="Y44" i="17" s="1"/>
  <c r="Y45" i="17" s="1"/>
  <c r="X43" i="17"/>
  <c r="X44" i="17" s="1"/>
  <c r="X45" i="17" s="1"/>
  <c r="W43" i="17"/>
  <c r="W44" i="17" s="1"/>
  <c r="W45" i="17" s="1"/>
  <c r="V43" i="17"/>
  <c r="V44" i="17" s="1"/>
  <c r="V45" i="17" s="1"/>
  <c r="U43" i="17"/>
  <c r="U44" i="17" s="1"/>
  <c r="U45" i="17" s="1"/>
  <c r="T43" i="17"/>
  <c r="T44" i="17" s="1"/>
  <c r="T45" i="17" s="1"/>
  <c r="S43" i="17"/>
  <c r="R43" i="17"/>
  <c r="R44" i="17" s="1"/>
  <c r="R45" i="17" s="1"/>
  <c r="Q43" i="17"/>
  <c r="Q44" i="17" s="1"/>
  <c r="Q45" i="17" s="1"/>
  <c r="P43" i="17"/>
  <c r="P44" i="17" s="1"/>
  <c r="P45" i="17" s="1"/>
  <c r="O43" i="17"/>
  <c r="N43" i="17"/>
  <c r="N44" i="17" s="1"/>
  <c r="N45" i="17" s="1"/>
  <c r="M43" i="17"/>
  <c r="M44" i="17" s="1"/>
  <c r="M45" i="17" s="1"/>
  <c r="L43" i="17"/>
  <c r="L44" i="17" s="1"/>
  <c r="L45" i="17" s="1"/>
  <c r="K43" i="17"/>
  <c r="K44" i="17" s="1"/>
  <c r="K45" i="17" s="1"/>
  <c r="J43" i="17"/>
  <c r="J44" i="17" s="1"/>
  <c r="J45" i="17" s="1"/>
  <c r="I43" i="17"/>
  <c r="I44" i="17" s="1"/>
  <c r="I45" i="17" s="1"/>
  <c r="H43" i="17"/>
  <c r="H44" i="17" s="1"/>
  <c r="H45" i="17" s="1"/>
  <c r="G43" i="17"/>
  <c r="G44" i="17" s="1"/>
  <c r="G45" i="17" s="1"/>
  <c r="F43" i="17"/>
  <c r="F44" i="17" s="1"/>
  <c r="F45" i="17" s="1"/>
  <c r="E43" i="17"/>
  <c r="E44" i="17" s="1"/>
  <c r="D43" i="17"/>
  <c r="D44" i="17" s="1"/>
  <c r="D45" i="17" s="1"/>
  <c r="E48" i="17" a="1"/>
  <c r="E48" i="17" s="1"/>
  <c r="AC48" i="16" a="1"/>
  <c r="AC48" i="16" s="1"/>
  <c r="AB48" i="16" a="1"/>
  <c r="AB48" i="16" s="1"/>
  <c r="AA48" i="16" a="1"/>
  <c r="AA48" i="16" s="1"/>
  <c r="Z48" i="16" a="1"/>
  <c r="Z48" i="16" s="1"/>
  <c r="Y48" i="16" a="1"/>
  <c r="Y48" i="16" s="1"/>
  <c r="X48" i="16" a="1"/>
  <c r="X48" i="16" s="1"/>
  <c r="W48" i="16" a="1"/>
  <c r="W48" i="16" s="1"/>
  <c r="V48" i="16" a="1"/>
  <c r="V48" i="16" s="1"/>
  <c r="U48" i="16" a="1"/>
  <c r="U48" i="16" s="1"/>
  <c r="T48" i="16" a="1"/>
  <c r="T48" i="16" s="1"/>
  <c r="S48" i="16" a="1"/>
  <c r="S48" i="16" s="1"/>
  <c r="R48" i="16" a="1"/>
  <c r="R48" i="16" s="1"/>
  <c r="Q48" i="16" a="1"/>
  <c r="Q48" i="16" s="1"/>
  <c r="P48" i="16" a="1"/>
  <c r="P48" i="16" s="1"/>
  <c r="O48" i="16" a="1"/>
  <c r="O48" i="16" s="1"/>
  <c r="N48" i="16" a="1"/>
  <c r="N48" i="16" s="1"/>
  <c r="M48" i="16" a="1"/>
  <c r="M48" i="16" s="1"/>
  <c r="L48" i="16" a="1"/>
  <c r="L48" i="16" s="1"/>
  <c r="K48" i="16" a="1"/>
  <c r="K48" i="16" s="1"/>
  <c r="J48" i="16" a="1"/>
  <c r="J48" i="16" s="1"/>
  <c r="I48" i="16" a="1"/>
  <c r="I48" i="16" s="1"/>
  <c r="H48" i="16" a="1"/>
  <c r="H48" i="16" s="1"/>
  <c r="G48" i="16" a="1"/>
  <c r="G48" i="16" s="1"/>
  <c r="F48" i="16" a="1"/>
  <c r="F48" i="16" s="1"/>
  <c r="E48" i="16" a="1"/>
  <c r="E48" i="16" s="1"/>
  <c r="D48" i="16" a="1"/>
  <c r="D48" i="16" s="1"/>
  <c r="AC47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C46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O46" i="16"/>
  <c r="N46" i="16"/>
  <c r="L46" i="16"/>
  <c r="K46" i="16"/>
  <c r="J46" i="16"/>
  <c r="H46" i="16"/>
  <c r="G46" i="16"/>
  <c r="F46" i="16"/>
  <c r="E46" i="16"/>
  <c r="D46" i="16"/>
  <c r="AC43" i="16"/>
  <c r="AC44" i="16" s="1"/>
  <c r="AC45" i="16" s="1"/>
  <c r="AB43" i="16"/>
  <c r="AB44" i="16" s="1"/>
  <c r="AB45" i="16" s="1"/>
  <c r="AA43" i="16"/>
  <c r="AA44" i="16" s="1"/>
  <c r="AA45" i="16" s="1"/>
  <c r="Z43" i="16"/>
  <c r="Z44" i="16" s="1"/>
  <c r="Z45" i="16" s="1"/>
  <c r="Y43" i="16"/>
  <c r="Y44" i="16" s="1"/>
  <c r="Y45" i="16" s="1"/>
  <c r="X43" i="16"/>
  <c r="X44" i="16" s="1"/>
  <c r="X45" i="16" s="1"/>
  <c r="W43" i="16"/>
  <c r="W44" i="16" s="1"/>
  <c r="W45" i="16" s="1"/>
  <c r="V43" i="16"/>
  <c r="V44" i="16" s="1"/>
  <c r="V45" i="16" s="1"/>
  <c r="U43" i="16"/>
  <c r="U44" i="16" s="1"/>
  <c r="U45" i="16" s="1"/>
  <c r="T43" i="16"/>
  <c r="T44" i="16" s="1"/>
  <c r="T45" i="16" s="1"/>
  <c r="S43" i="16"/>
  <c r="S44" i="16" s="1"/>
  <c r="S45" i="16" s="1"/>
  <c r="R43" i="16"/>
  <c r="R44" i="16" s="1"/>
  <c r="R45" i="16" s="1"/>
  <c r="Q43" i="16"/>
  <c r="Q44" i="16" s="1"/>
  <c r="Q45" i="16" s="1"/>
  <c r="P43" i="16"/>
  <c r="P44" i="16" s="1"/>
  <c r="P45" i="16" s="1"/>
  <c r="O43" i="16"/>
  <c r="O44" i="16" s="1"/>
  <c r="O45" i="16" s="1"/>
  <c r="N43" i="16"/>
  <c r="N44" i="16" s="1"/>
  <c r="N45" i="16" s="1"/>
  <c r="M43" i="16"/>
  <c r="M44" i="16" s="1"/>
  <c r="M45" i="16" s="1"/>
  <c r="L43" i="16"/>
  <c r="L44" i="16" s="1"/>
  <c r="L45" i="16" s="1"/>
  <c r="K43" i="16"/>
  <c r="K44" i="16" s="1"/>
  <c r="K45" i="16" s="1"/>
  <c r="J43" i="16"/>
  <c r="J44" i="16" s="1"/>
  <c r="J45" i="16" s="1"/>
  <c r="I43" i="16"/>
  <c r="I44" i="16" s="1"/>
  <c r="I45" i="16" s="1"/>
  <c r="H43" i="16"/>
  <c r="H44" i="16" s="1"/>
  <c r="H45" i="16" s="1"/>
  <c r="G43" i="16"/>
  <c r="G44" i="16" s="1"/>
  <c r="G45" i="16" s="1"/>
  <c r="F43" i="16"/>
  <c r="F44" i="16" s="1"/>
  <c r="F45" i="16" s="1"/>
  <c r="E43" i="16"/>
  <c r="E44" i="16" s="1"/>
  <c r="E45" i="16" s="1"/>
  <c r="D43" i="16"/>
  <c r="D44" i="16" s="1"/>
  <c r="D45" i="16" s="1"/>
  <c r="AC48" i="14" a="1"/>
  <c r="AC48" i="14" s="1"/>
  <c r="AB48" i="14" a="1"/>
  <c r="AB48" i="14" s="1"/>
  <c r="AA48" i="14" a="1"/>
  <c r="AA48" i="14" s="1"/>
  <c r="Z48" i="14" a="1"/>
  <c r="Z48" i="14" s="1"/>
  <c r="Y48" i="14" a="1"/>
  <c r="Y48" i="14" s="1"/>
  <c r="X48" i="14" a="1"/>
  <c r="X48" i="14" s="1"/>
  <c r="W48" i="14" a="1"/>
  <c r="W48" i="14" s="1"/>
  <c r="V48" i="14" a="1"/>
  <c r="V48" i="14" s="1"/>
  <c r="U48" i="14" a="1"/>
  <c r="U48" i="14" s="1"/>
  <c r="T48" i="14" a="1"/>
  <c r="T48" i="14" s="1"/>
  <c r="S48" i="14" a="1"/>
  <c r="S48" i="14" s="1"/>
  <c r="R48" i="14" a="1"/>
  <c r="R48" i="14" s="1"/>
  <c r="Q48" i="14" a="1"/>
  <c r="Q48" i="14" s="1"/>
  <c r="P48" i="14" a="1"/>
  <c r="P48" i="14" s="1"/>
  <c r="O48" i="14" a="1"/>
  <c r="O48" i="14" s="1"/>
  <c r="N48" i="14" a="1"/>
  <c r="N48" i="14" s="1"/>
  <c r="M48" i="14" a="1"/>
  <c r="M48" i="14" s="1"/>
  <c r="L48" i="14" a="1"/>
  <c r="L48" i="14" s="1"/>
  <c r="K48" i="14" a="1"/>
  <c r="K48" i="14" s="1"/>
  <c r="J48" i="14" a="1"/>
  <c r="J48" i="14" s="1"/>
  <c r="I48" i="14" a="1"/>
  <c r="I48" i="14" s="1"/>
  <c r="H48" i="14" a="1"/>
  <c r="H48" i="14" s="1"/>
  <c r="G48" i="14" a="1"/>
  <c r="G48" i="14" s="1"/>
  <c r="F48" i="14" a="1"/>
  <c r="F48" i="14" s="1"/>
  <c r="E48" i="14" a="1"/>
  <c r="E48" i="14" s="1"/>
  <c r="D48" i="14" a="1"/>
  <c r="D48" i="14" s="1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O46" i="14"/>
  <c r="N46" i="14"/>
  <c r="L46" i="14"/>
  <c r="K46" i="14"/>
  <c r="J46" i="14"/>
  <c r="I46" i="14"/>
  <c r="H46" i="14"/>
  <c r="G46" i="14"/>
  <c r="F46" i="14"/>
  <c r="E46" i="14"/>
  <c r="D46" i="14"/>
  <c r="AC43" i="14"/>
  <c r="AC44" i="14" s="1"/>
  <c r="AC45" i="14" s="1"/>
  <c r="AB43" i="14"/>
  <c r="AB44" i="14" s="1"/>
  <c r="AB45" i="14" s="1"/>
  <c r="AA43" i="14"/>
  <c r="AA44" i="14" s="1"/>
  <c r="AA45" i="14" s="1"/>
  <c r="Z43" i="14"/>
  <c r="Z44" i="14" s="1"/>
  <c r="Z45" i="14" s="1"/>
  <c r="Y43" i="14"/>
  <c r="Y44" i="14" s="1"/>
  <c r="Y45" i="14" s="1"/>
  <c r="X43" i="14"/>
  <c r="X44" i="14" s="1"/>
  <c r="X45" i="14" s="1"/>
  <c r="W43" i="14"/>
  <c r="W44" i="14" s="1"/>
  <c r="W45" i="14" s="1"/>
  <c r="V43" i="14"/>
  <c r="V44" i="14" s="1"/>
  <c r="V45" i="14" s="1"/>
  <c r="U43" i="14"/>
  <c r="U44" i="14" s="1"/>
  <c r="U45" i="14" s="1"/>
  <c r="T43" i="14"/>
  <c r="T44" i="14" s="1"/>
  <c r="T45" i="14" s="1"/>
  <c r="S43" i="14"/>
  <c r="S44" i="14" s="1"/>
  <c r="S45" i="14" s="1"/>
  <c r="R43" i="14"/>
  <c r="R44" i="14" s="1"/>
  <c r="R45" i="14" s="1"/>
  <c r="Q43" i="14"/>
  <c r="Q44" i="14" s="1"/>
  <c r="Q45" i="14" s="1"/>
  <c r="P43" i="14"/>
  <c r="P44" i="14" s="1"/>
  <c r="P45" i="14" s="1"/>
  <c r="O43" i="14"/>
  <c r="O44" i="14" s="1"/>
  <c r="O45" i="14" s="1"/>
  <c r="N43" i="14"/>
  <c r="N44" i="14" s="1"/>
  <c r="N45" i="14" s="1"/>
  <c r="M43" i="14"/>
  <c r="M44" i="14" s="1"/>
  <c r="M45" i="14" s="1"/>
  <c r="L43" i="14"/>
  <c r="L44" i="14" s="1"/>
  <c r="L45" i="14" s="1"/>
  <c r="K43" i="14"/>
  <c r="K44" i="14" s="1"/>
  <c r="K45" i="14" s="1"/>
  <c r="J43" i="14"/>
  <c r="J44" i="14" s="1"/>
  <c r="J45" i="14" s="1"/>
  <c r="I43" i="14"/>
  <c r="I44" i="14" s="1"/>
  <c r="I45" i="14" s="1"/>
  <c r="H43" i="14"/>
  <c r="H44" i="14" s="1"/>
  <c r="H45" i="14" s="1"/>
  <c r="G43" i="14"/>
  <c r="G44" i="14" s="1"/>
  <c r="G45" i="14" s="1"/>
  <c r="F43" i="14"/>
  <c r="F44" i="14" s="1"/>
  <c r="F45" i="14" s="1"/>
  <c r="E43" i="14"/>
  <c r="E44" i="14" s="1"/>
  <c r="E45" i="14" s="1"/>
  <c r="D43" i="14"/>
  <c r="D44" i="14" s="1"/>
  <c r="D45" i="14" s="1"/>
  <c r="AC48" i="13" a="1"/>
  <c r="AC48" i="13" s="1"/>
  <c r="AB48" i="13" a="1"/>
  <c r="AB48" i="13" s="1"/>
  <c r="AA48" i="13" a="1"/>
  <c r="AA48" i="13" s="1"/>
  <c r="Z48" i="13" a="1"/>
  <c r="Z48" i="13" s="1"/>
  <c r="Y48" i="13" a="1"/>
  <c r="Y48" i="13" s="1"/>
  <c r="X48" i="13" a="1"/>
  <c r="X48" i="13" s="1"/>
  <c r="W48" i="13" a="1"/>
  <c r="W48" i="13" s="1"/>
  <c r="V48" i="13" a="1"/>
  <c r="V48" i="13" s="1"/>
  <c r="U48" i="13" a="1"/>
  <c r="U48" i="13" s="1"/>
  <c r="T48" i="13" a="1"/>
  <c r="T48" i="13" s="1"/>
  <c r="S48" i="13" a="1"/>
  <c r="S48" i="13" s="1"/>
  <c r="R48" i="13" a="1"/>
  <c r="R48" i="13" s="1"/>
  <c r="Q48" i="13" a="1"/>
  <c r="Q48" i="13" s="1"/>
  <c r="P48" i="13" a="1"/>
  <c r="P48" i="13" s="1"/>
  <c r="O48" i="13" a="1"/>
  <c r="O48" i="13" s="1"/>
  <c r="N48" i="13" a="1"/>
  <c r="N48" i="13" s="1"/>
  <c r="M48" i="13" a="1"/>
  <c r="M48" i="13" s="1"/>
  <c r="L48" i="13" a="1"/>
  <c r="L48" i="13" s="1"/>
  <c r="K48" i="13" a="1"/>
  <c r="K48" i="13" s="1"/>
  <c r="J48" i="13" a="1"/>
  <c r="J48" i="13" s="1"/>
  <c r="I48" i="13" a="1"/>
  <c r="I48" i="13" s="1"/>
  <c r="H48" i="13" a="1"/>
  <c r="H48" i="13" s="1"/>
  <c r="G48" i="13" a="1"/>
  <c r="G48" i="13" s="1"/>
  <c r="F48" i="13" a="1"/>
  <c r="F48" i="13" s="1"/>
  <c r="E48" i="13" a="1"/>
  <c r="E48" i="13" s="1"/>
  <c r="D48" i="13" a="1"/>
  <c r="D48" i="13" s="1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AC46" i="13"/>
  <c r="AB46" i="13"/>
  <c r="AA46" i="13"/>
  <c r="Z46" i="13"/>
  <c r="Y46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R44" i="13"/>
  <c r="R45" i="13" s="1"/>
  <c r="AC43" i="13"/>
  <c r="AC44" i="13" s="1"/>
  <c r="AC45" i="13" s="1"/>
  <c r="AB43" i="13"/>
  <c r="AB44" i="13" s="1"/>
  <c r="AB45" i="13" s="1"/>
  <c r="AA43" i="13"/>
  <c r="AA44" i="13" s="1"/>
  <c r="AA45" i="13" s="1"/>
  <c r="Z43" i="13"/>
  <c r="Z44" i="13" s="1"/>
  <c r="Z45" i="13" s="1"/>
  <c r="Y43" i="13"/>
  <c r="Y44" i="13" s="1"/>
  <c r="Y45" i="13" s="1"/>
  <c r="X43" i="13"/>
  <c r="X44" i="13" s="1"/>
  <c r="X45" i="13" s="1"/>
  <c r="W43" i="13"/>
  <c r="W44" i="13" s="1"/>
  <c r="W45" i="13" s="1"/>
  <c r="V43" i="13"/>
  <c r="V44" i="13" s="1"/>
  <c r="V45" i="13" s="1"/>
  <c r="U43" i="13"/>
  <c r="U44" i="13" s="1"/>
  <c r="U45" i="13" s="1"/>
  <c r="T43" i="13"/>
  <c r="T44" i="13" s="1"/>
  <c r="T45" i="13" s="1"/>
  <c r="S43" i="13"/>
  <c r="S44" i="13" s="1"/>
  <c r="S45" i="13" s="1"/>
  <c r="R43" i="13"/>
  <c r="Q43" i="13"/>
  <c r="Q44" i="13" s="1"/>
  <c r="Q45" i="13" s="1"/>
  <c r="P43" i="13"/>
  <c r="P44" i="13" s="1"/>
  <c r="P45" i="13" s="1"/>
  <c r="O43" i="13"/>
  <c r="O44" i="13" s="1"/>
  <c r="O45" i="13" s="1"/>
  <c r="N43" i="13"/>
  <c r="N44" i="13" s="1"/>
  <c r="N45" i="13" s="1"/>
  <c r="M43" i="13"/>
  <c r="M44" i="13" s="1"/>
  <c r="M45" i="13" s="1"/>
  <c r="L43" i="13"/>
  <c r="L44" i="13" s="1"/>
  <c r="L45" i="13" s="1"/>
  <c r="K43" i="13"/>
  <c r="K44" i="13" s="1"/>
  <c r="K45" i="13" s="1"/>
  <c r="J43" i="13"/>
  <c r="J44" i="13" s="1"/>
  <c r="J45" i="13" s="1"/>
  <c r="I43" i="13"/>
  <c r="I44" i="13" s="1"/>
  <c r="I45" i="13" s="1"/>
  <c r="H43" i="13"/>
  <c r="H44" i="13" s="1"/>
  <c r="H45" i="13" s="1"/>
  <c r="G43" i="13"/>
  <c r="G44" i="13" s="1"/>
  <c r="G45" i="13" s="1"/>
  <c r="F43" i="13"/>
  <c r="F44" i="13" s="1"/>
  <c r="F45" i="13" s="1"/>
  <c r="E43" i="13"/>
  <c r="E44" i="13" s="1"/>
  <c r="E45" i="13" s="1"/>
  <c r="D43" i="13"/>
  <c r="D44" i="13" s="1"/>
  <c r="D45" i="13" s="1"/>
  <c r="AC48" i="12" a="1"/>
  <c r="AC48" i="12" s="1"/>
  <c r="AB48" i="12" a="1"/>
  <c r="AB48" i="12" s="1"/>
  <c r="AA48" i="12" a="1"/>
  <c r="AA48" i="12" s="1"/>
  <c r="Z48" i="12" a="1"/>
  <c r="Z48" i="12" s="1"/>
  <c r="Y48" i="12" a="1"/>
  <c r="Y48" i="12" s="1"/>
  <c r="X48" i="12" a="1"/>
  <c r="X48" i="12" s="1"/>
  <c r="W48" i="12" a="1"/>
  <c r="W48" i="12" s="1"/>
  <c r="V48" i="12" a="1"/>
  <c r="V48" i="12" s="1"/>
  <c r="U48" i="12" a="1"/>
  <c r="U48" i="12" s="1"/>
  <c r="T48" i="12" a="1"/>
  <c r="T48" i="12" s="1"/>
  <c r="S48" i="12" a="1"/>
  <c r="S48" i="12" s="1"/>
  <c r="R48" i="12" a="1"/>
  <c r="R48" i="12" s="1"/>
  <c r="Q48" i="12" a="1"/>
  <c r="Q48" i="12" s="1"/>
  <c r="P48" i="12" a="1"/>
  <c r="P48" i="12" s="1"/>
  <c r="O48" i="12" a="1"/>
  <c r="O48" i="12" s="1"/>
  <c r="N48" i="12" a="1"/>
  <c r="N48" i="12" s="1"/>
  <c r="M48" i="12" a="1"/>
  <c r="M48" i="12" s="1"/>
  <c r="L48" i="12" a="1"/>
  <c r="L48" i="12" s="1"/>
  <c r="K48" i="12" a="1"/>
  <c r="K48" i="12" s="1"/>
  <c r="J48" i="12" a="1"/>
  <c r="J48" i="12" s="1"/>
  <c r="I48" i="12" a="1"/>
  <c r="I48" i="12" s="1"/>
  <c r="H48" i="12" a="1"/>
  <c r="H48" i="12" s="1"/>
  <c r="G48" i="12" a="1"/>
  <c r="G48" i="12" s="1"/>
  <c r="F48" i="12" a="1"/>
  <c r="F48" i="12" s="1"/>
  <c r="E48" i="12" a="1"/>
  <c r="E48" i="12" s="1"/>
  <c r="D48" i="12" a="1"/>
  <c r="D48" i="12" s="1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X44" i="12"/>
  <c r="X45" i="12" s="1"/>
  <c r="H44" i="12"/>
  <c r="H45" i="12" s="1"/>
  <c r="AC43" i="12"/>
  <c r="AC44" i="12" s="1"/>
  <c r="AC45" i="12" s="1"/>
  <c r="AB43" i="12"/>
  <c r="AB44" i="12" s="1"/>
  <c r="AB45" i="12" s="1"/>
  <c r="AA43" i="12"/>
  <c r="AA44" i="12" s="1"/>
  <c r="AA45" i="12" s="1"/>
  <c r="Z43" i="12"/>
  <c r="Z44" i="12" s="1"/>
  <c r="Z45" i="12" s="1"/>
  <c r="Y43" i="12"/>
  <c r="Y44" i="12" s="1"/>
  <c r="Y45" i="12" s="1"/>
  <c r="X43" i="12"/>
  <c r="W43" i="12"/>
  <c r="W44" i="12" s="1"/>
  <c r="W45" i="12" s="1"/>
  <c r="V43" i="12"/>
  <c r="V44" i="12" s="1"/>
  <c r="V45" i="12" s="1"/>
  <c r="U43" i="12"/>
  <c r="U44" i="12" s="1"/>
  <c r="U45" i="12" s="1"/>
  <c r="T43" i="12"/>
  <c r="T44" i="12" s="1"/>
  <c r="T45" i="12" s="1"/>
  <c r="S43" i="12"/>
  <c r="S44" i="12" s="1"/>
  <c r="S45" i="12" s="1"/>
  <c r="R43" i="12"/>
  <c r="R44" i="12" s="1"/>
  <c r="R45" i="12" s="1"/>
  <c r="Q43" i="12"/>
  <c r="Q44" i="12" s="1"/>
  <c r="Q45" i="12" s="1"/>
  <c r="P43" i="12"/>
  <c r="P44" i="12" s="1"/>
  <c r="P45" i="12" s="1"/>
  <c r="O43" i="12"/>
  <c r="O44" i="12" s="1"/>
  <c r="O45" i="12" s="1"/>
  <c r="N43" i="12"/>
  <c r="N44" i="12" s="1"/>
  <c r="N45" i="12" s="1"/>
  <c r="M43" i="12"/>
  <c r="M44" i="12" s="1"/>
  <c r="M45" i="12" s="1"/>
  <c r="L43" i="12"/>
  <c r="L44" i="12" s="1"/>
  <c r="L45" i="12" s="1"/>
  <c r="K43" i="12"/>
  <c r="K44" i="12" s="1"/>
  <c r="K45" i="12" s="1"/>
  <c r="J43" i="12"/>
  <c r="J44" i="12" s="1"/>
  <c r="J45" i="12" s="1"/>
  <c r="I43" i="12"/>
  <c r="I44" i="12" s="1"/>
  <c r="I45" i="12" s="1"/>
  <c r="H43" i="12"/>
  <c r="G43" i="12"/>
  <c r="G44" i="12" s="1"/>
  <c r="G45" i="12" s="1"/>
  <c r="F43" i="12"/>
  <c r="F44" i="12" s="1"/>
  <c r="F45" i="12" s="1"/>
  <c r="E43" i="12"/>
  <c r="E44" i="12" s="1"/>
  <c r="E45" i="12" s="1"/>
  <c r="D43" i="12"/>
  <c r="D44" i="12" s="1"/>
  <c r="D45" i="12" s="1"/>
  <c r="AC48" i="11" a="1"/>
  <c r="AC48" i="11" s="1"/>
  <c r="AB48" i="11" a="1"/>
  <c r="AB48" i="11" s="1"/>
  <c r="AA48" i="11" a="1"/>
  <c r="AA48" i="11" s="1"/>
  <c r="Z48" i="11" a="1"/>
  <c r="Z48" i="11" s="1"/>
  <c r="Y48" i="11" a="1"/>
  <c r="Y48" i="11" s="1"/>
  <c r="X48" i="11" a="1"/>
  <c r="X48" i="11" s="1"/>
  <c r="W48" i="11" a="1"/>
  <c r="W48" i="11" s="1"/>
  <c r="V48" i="11" a="1"/>
  <c r="V48" i="11" s="1"/>
  <c r="U48" i="11" a="1"/>
  <c r="U48" i="11" s="1"/>
  <c r="T48" i="11" a="1"/>
  <c r="T48" i="11" s="1"/>
  <c r="S48" i="11" a="1"/>
  <c r="S48" i="11" s="1"/>
  <c r="R48" i="11" a="1"/>
  <c r="R48" i="11" s="1"/>
  <c r="Q48" i="11" a="1"/>
  <c r="Q48" i="11" s="1"/>
  <c r="P48" i="11" a="1"/>
  <c r="P48" i="11" s="1"/>
  <c r="O48" i="11" a="1"/>
  <c r="O48" i="11" s="1"/>
  <c r="N48" i="11" a="1"/>
  <c r="N48" i="11" s="1"/>
  <c r="M48" i="11" a="1"/>
  <c r="M48" i="11" s="1"/>
  <c r="L48" i="11" a="1"/>
  <c r="L48" i="11" s="1"/>
  <c r="K48" i="11" a="1"/>
  <c r="K48" i="11" s="1"/>
  <c r="J48" i="11" a="1"/>
  <c r="J48" i="11" s="1"/>
  <c r="I48" i="11" a="1"/>
  <c r="I48" i="11" s="1"/>
  <c r="H48" i="11" a="1"/>
  <c r="H48" i="11" s="1"/>
  <c r="G48" i="11" a="1"/>
  <c r="G48" i="11" s="1"/>
  <c r="F48" i="11" a="1"/>
  <c r="F48" i="11" s="1"/>
  <c r="E48" i="11" a="1"/>
  <c r="E48" i="11" s="1"/>
  <c r="D48" i="11" a="1"/>
  <c r="D48" i="11" s="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R44" i="11"/>
  <c r="R45" i="11" s="1"/>
  <c r="N44" i="11"/>
  <c r="N45" i="11" s="1"/>
  <c r="AC43" i="11"/>
  <c r="AC44" i="11" s="1"/>
  <c r="AC45" i="11" s="1"/>
  <c r="AB43" i="11"/>
  <c r="AB44" i="11" s="1"/>
  <c r="AB45" i="11" s="1"/>
  <c r="AA43" i="11"/>
  <c r="AA44" i="11" s="1"/>
  <c r="AA45" i="11" s="1"/>
  <c r="Z43" i="11"/>
  <c r="Z44" i="11" s="1"/>
  <c r="Z45" i="11" s="1"/>
  <c r="Y43" i="11"/>
  <c r="Y44" i="11" s="1"/>
  <c r="Y45" i="11" s="1"/>
  <c r="X43" i="11"/>
  <c r="X44" i="11" s="1"/>
  <c r="X45" i="11" s="1"/>
  <c r="W43" i="11"/>
  <c r="W44" i="11" s="1"/>
  <c r="W45" i="11" s="1"/>
  <c r="V43" i="11"/>
  <c r="V44" i="11" s="1"/>
  <c r="V45" i="11" s="1"/>
  <c r="U43" i="11"/>
  <c r="U44" i="11" s="1"/>
  <c r="U45" i="11" s="1"/>
  <c r="T43" i="11"/>
  <c r="T44" i="11" s="1"/>
  <c r="T45" i="11" s="1"/>
  <c r="S43" i="11"/>
  <c r="S44" i="11" s="1"/>
  <c r="S45" i="11" s="1"/>
  <c r="R43" i="11"/>
  <c r="Q43" i="11"/>
  <c r="Q44" i="11" s="1"/>
  <c r="Q45" i="11" s="1"/>
  <c r="P43" i="11"/>
  <c r="P44" i="11" s="1"/>
  <c r="P45" i="11" s="1"/>
  <c r="O43" i="11"/>
  <c r="O44" i="11" s="1"/>
  <c r="O45" i="11" s="1"/>
  <c r="N43" i="11"/>
  <c r="M43" i="11"/>
  <c r="M44" i="11" s="1"/>
  <c r="M45" i="11" s="1"/>
  <c r="L43" i="11"/>
  <c r="L44" i="11" s="1"/>
  <c r="L45" i="11" s="1"/>
  <c r="K43" i="11"/>
  <c r="K44" i="11" s="1"/>
  <c r="K45" i="11" s="1"/>
  <c r="J43" i="11"/>
  <c r="J44" i="11" s="1"/>
  <c r="J45" i="11" s="1"/>
  <c r="I43" i="11"/>
  <c r="I44" i="11" s="1"/>
  <c r="I45" i="11" s="1"/>
  <c r="H43" i="11"/>
  <c r="H44" i="11" s="1"/>
  <c r="H45" i="11" s="1"/>
  <c r="G43" i="11"/>
  <c r="G44" i="11" s="1"/>
  <c r="G45" i="11" s="1"/>
  <c r="F43" i="11"/>
  <c r="F44" i="11" s="1"/>
  <c r="F45" i="11" s="1"/>
  <c r="E43" i="11"/>
  <c r="E44" i="11" s="1"/>
  <c r="E45" i="11" s="1"/>
  <c r="D43" i="11"/>
  <c r="D44" i="11" s="1"/>
  <c r="D45" i="11" s="1"/>
  <c r="AC48" i="10" a="1"/>
  <c r="AC48" i="10" s="1"/>
  <c r="AB48" i="10" a="1"/>
  <c r="AB48" i="10" s="1"/>
  <c r="AA48" i="10" a="1"/>
  <c r="AA48" i="10" s="1"/>
  <c r="Z48" i="10" a="1"/>
  <c r="Z48" i="10" s="1"/>
  <c r="Y48" i="10" a="1"/>
  <c r="Y48" i="10" s="1"/>
  <c r="X48" i="10" a="1"/>
  <c r="X48" i="10" s="1"/>
  <c r="W48" i="10" a="1"/>
  <c r="W48" i="10" s="1"/>
  <c r="V48" i="10" a="1"/>
  <c r="V48" i="10" s="1"/>
  <c r="U48" i="10" a="1"/>
  <c r="U48" i="10" s="1"/>
  <c r="T48" i="10" a="1"/>
  <c r="T48" i="10" s="1"/>
  <c r="S48" i="10" a="1"/>
  <c r="S48" i="10" s="1"/>
  <c r="R48" i="10" a="1"/>
  <c r="R48" i="10" s="1"/>
  <c r="Q48" i="10" a="1"/>
  <c r="Q48" i="10" s="1"/>
  <c r="P48" i="10" a="1"/>
  <c r="P48" i="10" s="1"/>
  <c r="O48" i="10" a="1"/>
  <c r="O48" i="10" s="1"/>
  <c r="N48" i="10" a="1"/>
  <c r="N48" i="10" s="1"/>
  <c r="M48" i="10" a="1"/>
  <c r="M48" i="10" s="1"/>
  <c r="L48" i="10" a="1"/>
  <c r="L48" i="10" s="1"/>
  <c r="K48" i="10" a="1"/>
  <c r="K48" i="10" s="1"/>
  <c r="J48" i="10" a="1"/>
  <c r="J48" i="10" s="1"/>
  <c r="I48" i="10" a="1"/>
  <c r="I48" i="10" s="1"/>
  <c r="H48" i="10" a="1"/>
  <c r="H48" i="10" s="1"/>
  <c r="G48" i="10" a="1"/>
  <c r="G48" i="10" s="1"/>
  <c r="F48" i="10" a="1"/>
  <c r="F48" i="10" s="1"/>
  <c r="E48" i="10" a="1"/>
  <c r="E48" i="10" s="1"/>
  <c r="D48" i="10" a="1"/>
  <c r="D48" i="10" s="1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AC46" i="10"/>
  <c r="AB46" i="10"/>
  <c r="AA46" i="10"/>
  <c r="Z46" i="10"/>
  <c r="Y46" i="10"/>
  <c r="X46" i="10"/>
  <c r="W46" i="10"/>
  <c r="V46" i="10"/>
  <c r="U46" i="10"/>
  <c r="T46" i="10"/>
  <c r="S46" i="10"/>
  <c r="R46" i="10"/>
  <c r="Q46" i="10"/>
  <c r="O46" i="10"/>
  <c r="N46" i="10"/>
  <c r="L46" i="10"/>
  <c r="K46" i="10"/>
  <c r="J46" i="10"/>
  <c r="H46" i="10"/>
  <c r="G46" i="10"/>
  <c r="F46" i="10"/>
  <c r="E46" i="10"/>
  <c r="D46" i="10"/>
  <c r="AC43" i="10"/>
  <c r="AC44" i="10" s="1"/>
  <c r="AC45" i="10" s="1"/>
  <c r="AB43" i="10"/>
  <c r="AB44" i="10" s="1"/>
  <c r="AB45" i="10" s="1"/>
  <c r="AA43" i="10"/>
  <c r="AA44" i="10" s="1"/>
  <c r="AA45" i="10" s="1"/>
  <c r="Z43" i="10"/>
  <c r="Z44" i="10" s="1"/>
  <c r="Z45" i="10" s="1"/>
  <c r="Y43" i="10"/>
  <c r="Y44" i="10" s="1"/>
  <c r="Y45" i="10" s="1"/>
  <c r="X43" i="10"/>
  <c r="X44" i="10" s="1"/>
  <c r="X45" i="10" s="1"/>
  <c r="W43" i="10"/>
  <c r="W44" i="10" s="1"/>
  <c r="W45" i="10" s="1"/>
  <c r="V43" i="10"/>
  <c r="V44" i="10" s="1"/>
  <c r="V45" i="10" s="1"/>
  <c r="U43" i="10"/>
  <c r="U44" i="10" s="1"/>
  <c r="U45" i="10" s="1"/>
  <c r="T43" i="10"/>
  <c r="T44" i="10" s="1"/>
  <c r="T45" i="10" s="1"/>
  <c r="S43" i="10"/>
  <c r="S44" i="10" s="1"/>
  <c r="S45" i="10" s="1"/>
  <c r="R43" i="10"/>
  <c r="R44" i="10" s="1"/>
  <c r="R45" i="10" s="1"/>
  <c r="Q43" i="10"/>
  <c r="Q44" i="10" s="1"/>
  <c r="Q45" i="10" s="1"/>
  <c r="P43" i="10"/>
  <c r="P44" i="10" s="1"/>
  <c r="P45" i="10" s="1"/>
  <c r="O43" i="10"/>
  <c r="O44" i="10" s="1"/>
  <c r="O45" i="10" s="1"/>
  <c r="N43" i="10"/>
  <c r="N44" i="10" s="1"/>
  <c r="N45" i="10" s="1"/>
  <c r="M43" i="10"/>
  <c r="M44" i="10" s="1"/>
  <c r="M45" i="10" s="1"/>
  <c r="L43" i="10"/>
  <c r="L44" i="10" s="1"/>
  <c r="L45" i="10" s="1"/>
  <c r="K43" i="10"/>
  <c r="K44" i="10" s="1"/>
  <c r="K45" i="10" s="1"/>
  <c r="J43" i="10"/>
  <c r="J44" i="10" s="1"/>
  <c r="J45" i="10" s="1"/>
  <c r="I43" i="10"/>
  <c r="I44" i="10" s="1"/>
  <c r="I45" i="10" s="1"/>
  <c r="H43" i="10"/>
  <c r="H44" i="10" s="1"/>
  <c r="H45" i="10" s="1"/>
  <c r="G43" i="10"/>
  <c r="G44" i="10" s="1"/>
  <c r="G45" i="10" s="1"/>
  <c r="F43" i="10"/>
  <c r="F44" i="10" s="1"/>
  <c r="F45" i="10" s="1"/>
  <c r="E43" i="10"/>
  <c r="E44" i="10" s="1"/>
  <c r="E45" i="10" s="1"/>
  <c r="D43" i="10"/>
  <c r="D44" i="10" s="1"/>
  <c r="D45" i="10" s="1"/>
  <c r="AC48" i="9" a="1"/>
  <c r="AC48" i="9" s="1"/>
  <c r="AB48" i="9"/>
  <c r="AB48" i="9" a="1"/>
  <c r="AA48" i="9" a="1"/>
  <c r="AA48" i="9" s="1"/>
  <c r="Z48" i="9"/>
  <c r="Z48" i="9" a="1"/>
  <c r="Y48" i="9" a="1"/>
  <c r="Y48" i="9" s="1"/>
  <c r="X48" i="9"/>
  <c r="X48" i="9" a="1"/>
  <c r="W48" i="9" a="1"/>
  <c r="W48" i="9" s="1"/>
  <c r="V48" i="9"/>
  <c r="V48" i="9" a="1"/>
  <c r="U48" i="9" a="1"/>
  <c r="U48" i="9" s="1"/>
  <c r="T48" i="9"/>
  <c r="T48" i="9" a="1"/>
  <c r="S48" i="9" a="1"/>
  <c r="S48" i="9" s="1"/>
  <c r="R48" i="9"/>
  <c r="R48" i="9" a="1"/>
  <c r="Q48" i="9" a="1"/>
  <c r="Q48" i="9" s="1"/>
  <c r="P48" i="9"/>
  <c r="P48" i="9" a="1"/>
  <c r="O48" i="9" a="1"/>
  <c r="O48" i="9" s="1"/>
  <c r="N48" i="9"/>
  <c r="N48" i="9" a="1"/>
  <c r="M48" i="9" a="1"/>
  <c r="M48" i="9" s="1"/>
  <c r="L48" i="9"/>
  <c r="L48" i="9" a="1"/>
  <c r="K48" i="9" a="1"/>
  <c r="K48" i="9" s="1"/>
  <c r="J48" i="9"/>
  <c r="J48" i="9" a="1"/>
  <c r="I48" i="9" a="1"/>
  <c r="I48" i="9" s="1"/>
  <c r="H48" i="9"/>
  <c r="H48" i="9" a="1"/>
  <c r="G48" i="9" a="1"/>
  <c r="G48" i="9" s="1"/>
  <c r="F48" i="9"/>
  <c r="F48" i="9" a="1"/>
  <c r="E48" i="9" a="1"/>
  <c r="E48" i="9" s="1"/>
  <c r="D48" i="9"/>
  <c r="D48" i="9" a="1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O46" i="9"/>
  <c r="N46" i="9"/>
  <c r="L46" i="9"/>
  <c r="K46" i="9"/>
  <c r="J46" i="9"/>
  <c r="I46" i="9"/>
  <c r="H46" i="9"/>
  <c r="G46" i="9"/>
  <c r="F46" i="9"/>
  <c r="E46" i="9"/>
  <c r="D46" i="9"/>
  <c r="W44" i="9"/>
  <c r="W45" i="9" s="1"/>
  <c r="S44" i="9"/>
  <c r="S45" i="9" s="1"/>
  <c r="O44" i="9"/>
  <c r="O45" i="9" s="1"/>
  <c r="G44" i="9"/>
  <c r="G45" i="9" s="1"/>
  <c r="AC43" i="9"/>
  <c r="AC44" i="9" s="1"/>
  <c r="AC45" i="9" s="1"/>
  <c r="AB43" i="9"/>
  <c r="AB44" i="9" s="1"/>
  <c r="AB45" i="9" s="1"/>
  <c r="AA43" i="9"/>
  <c r="AA44" i="9" s="1"/>
  <c r="AA45" i="9" s="1"/>
  <c r="Z43" i="9"/>
  <c r="Z44" i="9" s="1"/>
  <c r="Z45" i="9" s="1"/>
  <c r="Y43" i="9"/>
  <c r="Y44" i="9" s="1"/>
  <c r="Y45" i="9" s="1"/>
  <c r="X43" i="9"/>
  <c r="X44" i="9" s="1"/>
  <c r="X45" i="9" s="1"/>
  <c r="W43" i="9"/>
  <c r="V43" i="9"/>
  <c r="V44" i="9" s="1"/>
  <c r="V45" i="9" s="1"/>
  <c r="U43" i="9"/>
  <c r="U44" i="9" s="1"/>
  <c r="U45" i="9" s="1"/>
  <c r="T43" i="9"/>
  <c r="T44" i="9" s="1"/>
  <c r="T45" i="9" s="1"/>
  <c r="S43" i="9"/>
  <c r="R43" i="9"/>
  <c r="R44" i="9" s="1"/>
  <c r="R45" i="9" s="1"/>
  <c r="Q43" i="9"/>
  <c r="Q44" i="9" s="1"/>
  <c r="Q45" i="9" s="1"/>
  <c r="P43" i="9"/>
  <c r="P44" i="9" s="1"/>
  <c r="P45" i="9" s="1"/>
  <c r="O43" i="9"/>
  <c r="N43" i="9"/>
  <c r="N44" i="9" s="1"/>
  <c r="N45" i="9" s="1"/>
  <c r="M43" i="9"/>
  <c r="M44" i="9" s="1"/>
  <c r="M45" i="9" s="1"/>
  <c r="L43" i="9"/>
  <c r="L44" i="9" s="1"/>
  <c r="L45" i="9" s="1"/>
  <c r="K43" i="9"/>
  <c r="K44" i="9" s="1"/>
  <c r="K45" i="9" s="1"/>
  <c r="J43" i="9"/>
  <c r="J44" i="9" s="1"/>
  <c r="J45" i="9" s="1"/>
  <c r="I43" i="9"/>
  <c r="I44" i="9" s="1"/>
  <c r="I45" i="9" s="1"/>
  <c r="H43" i="9"/>
  <c r="H44" i="9" s="1"/>
  <c r="H45" i="9" s="1"/>
  <c r="G43" i="9"/>
  <c r="F43" i="9"/>
  <c r="F44" i="9" s="1"/>
  <c r="F45" i="9" s="1"/>
  <c r="E43" i="9"/>
  <c r="E44" i="9" s="1"/>
  <c r="E45" i="9" s="1"/>
  <c r="D43" i="9"/>
  <c r="D44" i="9" s="1"/>
  <c r="D45" i="9" s="1"/>
  <c r="AC48" i="8" a="1"/>
  <c r="AC48" i="8" s="1"/>
  <c r="AB48" i="8" a="1"/>
  <c r="AB48" i="8" s="1"/>
  <c r="AA48" i="8" a="1"/>
  <c r="AA48" i="8" s="1"/>
  <c r="Z48" i="8" a="1"/>
  <c r="Z48" i="8" s="1"/>
  <c r="Y48" i="8" a="1"/>
  <c r="Y48" i="8" s="1"/>
  <c r="X48" i="8" a="1"/>
  <c r="X48" i="8" s="1"/>
  <c r="W48" i="8" a="1"/>
  <c r="W48" i="8" s="1"/>
  <c r="V48" i="8" a="1"/>
  <c r="V48" i="8" s="1"/>
  <c r="U48" i="8" a="1"/>
  <c r="U48" i="8" s="1"/>
  <c r="T48" i="8" a="1"/>
  <c r="T48" i="8" s="1"/>
  <c r="S48" i="8" a="1"/>
  <c r="S48" i="8" s="1"/>
  <c r="R48" i="8" a="1"/>
  <c r="R48" i="8" s="1"/>
  <c r="Q48" i="8" a="1"/>
  <c r="Q48" i="8" s="1"/>
  <c r="P48" i="8" a="1"/>
  <c r="P48" i="8" s="1"/>
  <c r="O48" i="8" a="1"/>
  <c r="O48" i="8" s="1"/>
  <c r="N48" i="8" a="1"/>
  <c r="N48" i="8" s="1"/>
  <c r="M48" i="8" a="1"/>
  <c r="M48" i="8" s="1"/>
  <c r="L48" i="8" a="1"/>
  <c r="L48" i="8" s="1"/>
  <c r="K48" i="8" a="1"/>
  <c r="K48" i="8" s="1"/>
  <c r="J48" i="8" a="1"/>
  <c r="J48" i="8" s="1"/>
  <c r="I48" i="8" a="1"/>
  <c r="I48" i="8" s="1"/>
  <c r="H48" i="8" a="1"/>
  <c r="H48" i="8" s="1"/>
  <c r="G48" i="8" a="1"/>
  <c r="G48" i="8" s="1"/>
  <c r="F48" i="8" a="1"/>
  <c r="F48" i="8" s="1"/>
  <c r="D48" i="8" a="1"/>
  <c r="D48" i="8" s="1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D47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O46" i="8"/>
  <c r="N46" i="8"/>
  <c r="L46" i="8"/>
  <c r="K46" i="8"/>
  <c r="J46" i="8"/>
  <c r="I46" i="8"/>
  <c r="H46" i="8"/>
  <c r="D46" i="8"/>
  <c r="U44" i="8"/>
  <c r="U45" i="8" s="1"/>
  <c r="AC43" i="8"/>
  <c r="AC44" i="8" s="1"/>
  <c r="AC45" i="8" s="1"/>
  <c r="AB43" i="8"/>
  <c r="AB44" i="8" s="1"/>
  <c r="AB45" i="8" s="1"/>
  <c r="AA43" i="8"/>
  <c r="AA44" i="8" s="1"/>
  <c r="AA45" i="8" s="1"/>
  <c r="Z43" i="8"/>
  <c r="Z44" i="8" s="1"/>
  <c r="Z45" i="8" s="1"/>
  <c r="Y43" i="8"/>
  <c r="Y44" i="8" s="1"/>
  <c r="Y45" i="8" s="1"/>
  <c r="X43" i="8"/>
  <c r="X44" i="8" s="1"/>
  <c r="X45" i="8" s="1"/>
  <c r="W43" i="8"/>
  <c r="W44" i="8" s="1"/>
  <c r="W45" i="8" s="1"/>
  <c r="V43" i="8"/>
  <c r="V44" i="8" s="1"/>
  <c r="V45" i="8" s="1"/>
  <c r="U43" i="8"/>
  <c r="T43" i="8"/>
  <c r="T44" i="8" s="1"/>
  <c r="T45" i="8" s="1"/>
  <c r="S43" i="8"/>
  <c r="S44" i="8" s="1"/>
  <c r="S45" i="8" s="1"/>
  <c r="R43" i="8"/>
  <c r="R44" i="8" s="1"/>
  <c r="R45" i="8" s="1"/>
  <c r="Q43" i="8"/>
  <c r="Q44" i="8" s="1"/>
  <c r="Q45" i="8" s="1"/>
  <c r="P43" i="8"/>
  <c r="P44" i="8" s="1"/>
  <c r="P45" i="8" s="1"/>
  <c r="O43" i="8"/>
  <c r="O44" i="8" s="1"/>
  <c r="O45" i="8" s="1"/>
  <c r="N43" i="8"/>
  <c r="N44" i="8" s="1"/>
  <c r="N45" i="8" s="1"/>
  <c r="M43" i="8"/>
  <c r="M44" i="8" s="1"/>
  <c r="M45" i="8" s="1"/>
  <c r="L43" i="8"/>
  <c r="L44" i="8" s="1"/>
  <c r="L45" i="8" s="1"/>
  <c r="K43" i="8"/>
  <c r="K44" i="8" s="1"/>
  <c r="K45" i="8" s="1"/>
  <c r="J43" i="8"/>
  <c r="J44" i="8" s="1"/>
  <c r="J45" i="8" s="1"/>
  <c r="I43" i="8"/>
  <c r="I44" i="8" s="1"/>
  <c r="I45" i="8" s="1"/>
  <c r="H43" i="8"/>
  <c r="H44" i="8" s="1"/>
  <c r="H45" i="8" s="1"/>
  <c r="G43" i="8"/>
  <c r="G44" i="8" s="1"/>
  <c r="G45" i="8" s="1"/>
  <c r="F43" i="8"/>
  <c r="F44" i="8" s="1"/>
  <c r="F45" i="8" s="1"/>
  <c r="E43" i="8"/>
  <c r="E44" i="8" s="1"/>
  <c r="E45" i="8" s="1"/>
  <c r="D43" i="8"/>
  <c r="D44" i="8" s="1"/>
  <c r="D45" i="8" s="1"/>
  <c r="E48" i="8" a="1"/>
  <c r="E48" i="8" s="1"/>
  <c r="AC48" i="7" a="1"/>
  <c r="AC48" i="7" s="1"/>
  <c r="AB48" i="7" a="1"/>
  <c r="AB48" i="7" s="1"/>
  <c r="AA48" i="7" a="1"/>
  <c r="AA48" i="7" s="1"/>
  <c r="Z48" i="7" a="1"/>
  <c r="Z48" i="7" s="1"/>
  <c r="Y48" i="7" a="1"/>
  <c r="Y48" i="7" s="1"/>
  <c r="X48" i="7" a="1"/>
  <c r="X48" i="7" s="1"/>
  <c r="W48" i="7" a="1"/>
  <c r="W48" i="7" s="1"/>
  <c r="V48" i="7" a="1"/>
  <c r="V48" i="7" s="1"/>
  <c r="U48" i="7" a="1"/>
  <c r="U48" i="7" s="1"/>
  <c r="T48" i="7" a="1"/>
  <c r="T48" i="7" s="1"/>
  <c r="S48" i="7" a="1"/>
  <c r="S48" i="7" s="1"/>
  <c r="R48" i="7" a="1"/>
  <c r="R48" i="7" s="1"/>
  <c r="Q48" i="7" a="1"/>
  <c r="Q48" i="7" s="1"/>
  <c r="P48" i="7" a="1"/>
  <c r="P48" i="7" s="1"/>
  <c r="O48" i="7" a="1"/>
  <c r="O48" i="7" s="1"/>
  <c r="N48" i="7" a="1"/>
  <c r="N48" i="7" s="1"/>
  <c r="M48" i="7" a="1"/>
  <c r="M48" i="7" s="1"/>
  <c r="L48" i="7" a="1"/>
  <c r="L48" i="7" s="1"/>
  <c r="K48" i="7" a="1"/>
  <c r="K48" i="7" s="1"/>
  <c r="J48" i="7" a="1"/>
  <c r="J48" i="7" s="1"/>
  <c r="I48" i="7" a="1"/>
  <c r="I48" i="7" s="1"/>
  <c r="H48" i="7" a="1"/>
  <c r="H48" i="7" s="1"/>
  <c r="G48" i="7" a="1"/>
  <c r="G48" i="7" s="1"/>
  <c r="D48" i="7" a="1"/>
  <c r="D48" i="7" s="1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AC43" i="7"/>
  <c r="AC44" i="7" s="1"/>
  <c r="AC45" i="7" s="1"/>
  <c r="AB43" i="7"/>
  <c r="AB44" i="7" s="1"/>
  <c r="AB45" i="7" s="1"/>
  <c r="AA43" i="7"/>
  <c r="AA44" i="7" s="1"/>
  <c r="AA45" i="7" s="1"/>
  <c r="Z43" i="7"/>
  <c r="Z44" i="7" s="1"/>
  <c r="Z45" i="7" s="1"/>
  <c r="Y43" i="7"/>
  <c r="Y44" i="7" s="1"/>
  <c r="Y45" i="7" s="1"/>
  <c r="X43" i="7"/>
  <c r="X44" i="7" s="1"/>
  <c r="X45" i="7" s="1"/>
  <c r="W43" i="7"/>
  <c r="W44" i="7" s="1"/>
  <c r="W45" i="7" s="1"/>
  <c r="V43" i="7"/>
  <c r="V44" i="7" s="1"/>
  <c r="V45" i="7" s="1"/>
  <c r="U43" i="7"/>
  <c r="U44" i="7" s="1"/>
  <c r="U45" i="7" s="1"/>
  <c r="T43" i="7"/>
  <c r="T44" i="7" s="1"/>
  <c r="T45" i="7" s="1"/>
  <c r="S43" i="7"/>
  <c r="S44" i="7" s="1"/>
  <c r="S45" i="7" s="1"/>
  <c r="R43" i="7"/>
  <c r="R44" i="7" s="1"/>
  <c r="R45" i="7" s="1"/>
  <c r="Q43" i="7"/>
  <c r="Q44" i="7" s="1"/>
  <c r="Q45" i="7" s="1"/>
  <c r="P43" i="7"/>
  <c r="P44" i="7" s="1"/>
  <c r="P45" i="7" s="1"/>
  <c r="O43" i="7"/>
  <c r="O44" i="7" s="1"/>
  <c r="O45" i="7" s="1"/>
  <c r="N43" i="7"/>
  <c r="N44" i="7" s="1"/>
  <c r="N45" i="7" s="1"/>
  <c r="M43" i="7"/>
  <c r="M44" i="7" s="1"/>
  <c r="M45" i="7" s="1"/>
  <c r="L43" i="7"/>
  <c r="L44" i="7" s="1"/>
  <c r="L45" i="7" s="1"/>
  <c r="K43" i="7"/>
  <c r="K44" i="7" s="1"/>
  <c r="K45" i="7" s="1"/>
  <c r="J43" i="7"/>
  <c r="J44" i="7" s="1"/>
  <c r="J45" i="7" s="1"/>
  <c r="I43" i="7"/>
  <c r="I44" i="7" s="1"/>
  <c r="I45" i="7" s="1"/>
  <c r="H43" i="7"/>
  <c r="H44" i="7" s="1"/>
  <c r="H45" i="7" s="1"/>
  <c r="G43" i="7"/>
  <c r="G44" i="7" s="1"/>
  <c r="G45" i="7" s="1"/>
  <c r="F43" i="7"/>
  <c r="F44" i="7" s="1"/>
  <c r="F45" i="7" s="1"/>
  <c r="E43" i="7"/>
  <c r="E44" i="7" s="1"/>
  <c r="E45" i="7" s="1"/>
  <c r="D43" i="7"/>
  <c r="D44" i="7" s="1"/>
  <c r="D45" i="7" s="1"/>
  <c r="F48" i="7" a="1"/>
  <c r="F48" i="7" s="1"/>
  <c r="E48" i="7" a="1"/>
  <c r="E48" i="7" s="1"/>
  <c r="AC48" i="6" a="1"/>
  <c r="AC48" i="6" s="1"/>
  <c r="AB48" i="6" a="1"/>
  <c r="AB48" i="6" s="1"/>
  <c r="AA48" i="6" a="1"/>
  <c r="AA48" i="6" s="1"/>
  <c r="Z48" i="6" a="1"/>
  <c r="Z48" i="6" s="1"/>
  <c r="Y48" i="6" a="1"/>
  <c r="Y48" i="6" s="1"/>
  <c r="X48" i="6" a="1"/>
  <c r="X48" i="6" s="1"/>
  <c r="W48" i="6" a="1"/>
  <c r="W48" i="6" s="1"/>
  <c r="V48" i="6" a="1"/>
  <c r="V48" i="6" s="1"/>
  <c r="U48" i="6" a="1"/>
  <c r="U48" i="6" s="1"/>
  <c r="T48" i="6" a="1"/>
  <c r="T48" i="6" s="1"/>
  <c r="S48" i="6" a="1"/>
  <c r="S48" i="6" s="1"/>
  <c r="R48" i="6" a="1"/>
  <c r="R48" i="6" s="1"/>
  <c r="Q48" i="6" a="1"/>
  <c r="Q48" i="6" s="1"/>
  <c r="P48" i="6" a="1"/>
  <c r="P48" i="6" s="1"/>
  <c r="O48" i="6" a="1"/>
  <c r="O48" i="6" s="1"/>
  <c r="N48" i="6" a="1"/>
  <c r="N48" i="6" s="1"/>
  <c r="M48" i="6" a="1"/>
  <c r="M48" i="6" s="1"/>
  <c r="L48" i="6" a="1"/>
  <c r="L48" i="6" s="1"/>
  <c r="K48" i="6" a="1"/>
  <c r="K48" i="6" s="1"/>
  <c r="J48" i="6" a="1"/>
  <c r="J48" i="6" s="1"/>
  <c r="I48" i="6" a="1"/>
  <c r="I48" i="6" s="1"/>
  <c r="H48" i="6" a="1"/>
  <c r="H48" i="6" s="1"/>
  <c r="G48" i="6" a="1"/>
  <c r="G48" i="6" s="1"/>
  <c r="F48" i="6" a="1"/>
  <c r="F48" i="6" s="1"/>
  <c r="E48" i="6" a="1"/>
  <c r="E48" i="6" s="1"/>
  <c r="D48" i="6" a="1"/>
  <c r="D48" i="6" s="1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AC43" i="6"/>
  <c r="AC44" i="6" s="1"/>
  <c r="AC45" i="6" s="1"/>
  <c r="AB43" i="6"/>
  <c r="AB44" i="6" s="1"/>
  <c r="AB45" i="6" s="1"/>
  <c r="AA43" i="6"/>
  <c r="AA44" i="6" s="1"/>
  <c r="AA45" i="6" s="1"/>
  <c r="Z43" i="6"/>
  <c r="Z44" i="6" s="1"/>
  <c r="Z45" i="6" s="1"/>
  <c r="Y43" i="6"/>
  <c r="Y44" i="6" s="1"/>
  <c r="Y45" i="6" s="1"/>
  <c r="X43" i="6"/>
  <c r="X44" i="6" s="1"/>
  <c r="X45" i="6" s="1"/>
  <c r="W43" i="6"/>
  <c r="W44" i="6" s="1"/>
  <c r="W45" i="6" s="1"/>
  <c r="V43" i="6"/>
  <c r="V44" i="6" s="1"/>
  <c r="V45" i="6" s="1"/>
  <c r="U43" i="6"/>
  <c r="U44" i="6" s="1"/>
  <c r="U45" i="6" s="1"/>
  <c r="T43" i="6"/>
  <c r="T44" i="6" s="1"/>
  <c r="T45" i="6" s="1"/>
  <c r="S43" i="6"/>
  <c r="S44" i="6" s="1"/>
  <c r="S45" i="6" s="1"/>
  <c r="R43" i="6"/>
  <c r="R44" i="6" s="1"/>
  <c r="R45" i="6" s="1"/>
  <c r="Q43" i="6"/>
  <c r="Q44" i="6" s="1"/>
  <c r="Q45" i="6" s="1"/>
  <c r="P43" i="6"/>
  <c r="P44" i="6" s="1"/>
  <c r="P45" i="6" s="1"/>
  <c r="O43" i="6"/>
  <c r="O44" i="6" s="1"/>
  <c r="O45" i="6" s="1"/>
  <c r="N43" i="6"/>
  <c r="N44" i="6" s="1"/>
  <c r="N45" i="6" s="1"/>
  <c r="M43" i="6"/>
  <c r="M44" i="6" s="1"/>
  <c r="M45" i="6" s="1"/>
  <c r="L43" i="6"/>
  <c r="L44" i="6" s="1"/>
  <c r="L45" i="6" s="1"/>
  <c r="K43" i="6"/>
  <c r="K44" i="6" s="1"/>
  <c r="K45" i="6" s="1"/>
  <c r="J43" i="6"/>
  <c r="J44" i="6" s="1"/>
  <c r="J45" i="6" s="1"/>
  <c r="I43" i="6"/>
  <c r="I44" i="6" s="1"/>
  <c r="I45" i="6" s="1"/>
  <c r="H43" i="6"/>
  <c r="H44" i="6" s="1"/>
  <c r="H45" i="6" s="1"/>
  <c r="G43" i="6"/>
  <c r="G44" i="6" s="1"/>
  <c r="G45" i="6" s="1"/>
  <c r="F43" i="6"/>
  <c r="F44" i="6" s="1"/>
  <c r="F45" i="6" s="1"/>
  <c r="E43" i="6"/>
  <c r="E44" i="6" s="1"/>
  <c r="E45" i="6" s="1"/>
  <c r="D43" i="6"/>
  <c r="D44" i="6" s="1"/>
  <c r="D45" i="6" s="1"/>
  <c r="AC48" i="5" a="1"/>
  <c r="AC48" i="5" s="1"/>
  <c r="AB48" i="5" a="1"/>
  <c r="AB48" i="5" s="1"/>
  <c r="AA48" i="5" a="1"/>
  <c r="AA48" i="5" s="1"/>
  <c r="Z48" i="5" a="1"/>
  <c r="Z48" i="5" s="1"/>
  <c r="Y48" i="5" a="1"/>
  <c r="Y48" i="5" s="1"/>
  <c r="X48" i="5" a="1"/>
  <c r="X48" i="5" s="1"/>
  <c r="W48" i="5" a="1"/>
  <c r="W48" i="5" s="1"/>
  <c r="V48" i="5" a="1"/>
  <c r="V48" i="5" s="1"/>
  <c r="U48" i="5" a="1"/>
  <c r="U48" i="5" s="1"/>
  <c r="T48" i="5" a="1"/>
  <c r="T48" i="5" s="1"/>
  <c r="S48" i="5" a="1"/>
  <c r="S48" i="5" s="1"/>
  <c r="R48" i="5" a="1"/>
  <c r="R48" i="5" s="1"/>
  <c r="Q48" i="5" a="1"/>
  <c r="Q48" i="5" s="1"/>
  <c r="O48" i="5" a="1"/>
  <c r="O48" i="5" s="1"/>
  <c r="N48" i="5" a="1"/>
  <c r="N48" i="5" s="1"/>
  <c r="M48" i="5" a="1"/>
  <c r="M48" i="5" s="1"/>
  <c r="L48" i="5" a="1"/>
  <c r="L48" i="5" s="1"/>
  <c r="K48" i="5" a="1"/>
  <c r="K48" i="5" s="1"/>
  <c r="J48" i="5" a="1"/>
  <c r="J48" i="5" s="1"/>
  <c r="I48" i="5" a="1"/>
  <c r="I48" i="5" s="1"/>
  <c r="H48" i="5" a="1"/>
  <c r="H48" i="5" s="1"/>
  <c r="G48" i="5" a="1"/>
  <c r="G48" i="5" s="1"/>
  <c r="F48" i="5" a="1"/>
  <c r="F48" i="5" s="1"/>
  <c r="E48" i="5" a="1"/>
  <c r="E48" i="5" s="1"/>
  <c r="D48" i="5" a="1"/>
  <c r="D48" i="5" s="1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O46" i="5"/>
  <c r="N46" i="5"/>
  <c r="L46" i="5"/>
  <c r="K46" i="5"/>
  <c r="J46" i="5"/>
  <c r="I46" i="5"/>
  <c r="H46" i="5"/>
  <c r="G46" i="5"/>
  <c r="F46" i="5"/>
  <c r="E46" i="5"/>
  <c r="D46" i="5"/>
  <c r="AC43" i="5"/>
  <c r="AC44" i="5" s="1"/>
  <c r="AC45" i="5" s="1"/>
  <c r="AB43" i="5"/>
  <c r="AB44" i="5" s="1"/>
  <c r="AB45" i="5" s="1"/>
  <c r="AA43" i="5"/>
  <c r="AA44" i="5" s="1"/>
  <c r="AA45" i="5" s="1"/>
  <c r="Z43" i="5"/>
  <c r="Z44" i="5" s="1"/>
  <c r="Z45" i="5" s="1"/>
  <c r="Y43" i="5"/>
  <c r="Y44" i="5" s="1"/>
  <c r="Y45" i="5" s="1"/>
  <c r="X43" i="5"/>
  <c r="X44" i="5" s="1"/>
  <c r="X45" i="5" s="1"/>
  <c r="W43" i="5"/>
  <c r="W44" i="5" s="1"/>
  <c r="W45" i="5" s="1"/>
  <c r="V43" i="5"/>
  <c r="V44" i="5" s="1"/>
  <c r="V45" i="5" s="1"/>
  <c r="U43" i="5"/>
  <c r="U44" i="5" s="1"/>
  <c r="U45" i="5" s="1"/>
  <c r="T43" i="5"/>
  <c r="T44" i="5" s="1"/>
  <c r="T45" i="5" s="1"/>
  <c r="S43" i="5"/>
  <c r="S44" i="5" s="1"/>
  <c r="S45" i="5" s="1"/>
  <c r="R43" i="5"/>
  <c r="R44" i="5" s="1"/>
  <c r="R45" i="5" s="1"/>
  <c r="Q43" i="5"/>
  <c r="Q44" i="5" s="1"/>
  <c r="Q45" i="5" s="1"/>
  <c r="P43" i="5"/>
  <c r="P44" i="5" s="1"/>
  <c r="P45" i="5" s="1"/>
  <c r="O43" i="5"/>
  <c r="O44" i="5" s="1"/>
  <c r="O45" i="5" s="1"/>
  <c r="N43" i="5"/>
  <c r="N44" i="5" s="1"/>
  <c r="N45" i="5" s="1"/>
  <c r="M43" i="5"/>
  <c r="M44" i="5" s="1"/>
  <c r="M45" i="5" s="1"/>
  <c r="L43" i="5"/>
  <c r="L44" i="5" s="1"/>
  <c r="L45" i="5" s="1"/>
  <c r="K43" i="5"/>
  <c r="K44" i="5" s="1"/>
  <c r="K45" i="5" s="1"/>
  <c r="J43" i="5"/>
  <c r="J44" i="5" s="1"/>
  <c r="J45" i="5" s="1"/>
  <c r="I43" i="5"/>
  <c r="I44" i="5" s="1"/>
  <c r="I45" i="5" s="1"/>
  <c r="H43" i="5"/>
  <c r="H44" i="5" s="1"/>
  <c r="H45" i="5" s="1"/>
  <c r="G43" i="5"/>
  <c r="G44" i="5" s="1"/>
  <c r="G45" i="5" s="1"/>
  <c r="F43" i="5"/>
  <c r="F44" i="5" s="1"/>
  <c r="F45" i="5" s="1"/>
  <c r="E43" i="5"/>
  <c r="E44" i="5" s="1"/>
  <c r="E45" i="5" s="1"/>
  <c r="D43" i="5"/>
  <c r="D44" i="5" s="1"/>
  <c r="D45" i="5" s="1"/>
  <c r="AC48" i="4" a="1"/>
  <c r="AC48" i="4" s="1"/>
  <c r="AB48" i="4" a="1"/>
  <c r="AB48" i="4" s="1"/>
  <c r="AA48" i="4" a="1"/>
  <c r="AA48" i="4" s="1"/>
  <c r="Z48" i="4" a="1"/>
  <c r="Z48" i="4" s="1"/>
  <c r="Y48" i="4" a="1"/>
  <c r="Y48" i="4" s="1"/>
  <c r="X48" i="4" a="1"/>
  <c r="X48" i="4" s="1"/>
  <c r="W48" i="4" a="1"/>
  <c r="W48" i="4" s="1"/>
  <c r="V48" i="4" a="1"/>
  <c r="V48" i="4" s="1"/>
  <c r="U48" i="4" a="1"/>
  <c r="U48" i="4" s="1"/>
  <c r="T48" i="4" a="1"/>
  <c r="T48" i="4" s="1"/>
  <c r="S48" i="4" a="1"/>
  <c r="S48" i="4" s="1"/>
  <c r="R48" i="4" a="1"/>
  <c r="R48" i="4" s="1"/>
  <c r="Q48" i="4" a="1"/>
  <c r="Q48" i="4" s="1"/>
  <c r="P48" i="4" a="1"/>
  <c r="P48" i="4" s="1"/>
  <c r="O48" i="4" a="1"/>
  <c r="O48" i="4" s="1"/>
  <c r="N48" i="4" a="1"/>
  <c r="N48" i="4" s="1"/>
  <c r="M48" i="4" a="1"/>
  <c r="M48" i="4" s="1"/>
  <c r="L48" i="4" a="1"/>
  <c r="L48" i="4" s="1"/>
  <c r="K48" i="4" a="1"/>
  <c r="K48" i="4" s="1"/>
  <c r="J48" i="4" a="1"/>
  <c r="J48" i="4" s="1"/>
  <c r="I48" i="4" a="1"/>
  <c r="I48" i="4" s="1"/>
  <c r="H48" i="4" a="1"/>
  <c r="H48" i="4" s="1"/>
  <c r="G48" i="4" a="1"/>
  <c r="G48" i="4" s="1"/>
  <c r="F48" i="4" a="1"/>
  <c r="F48" i="4" s="1"/>
  <c r="E48" i="4" a="1"/>
  <c r="E48" i="4" s="1"/>
  <c r="D48" i="4" a="1"/>
  <c r="D48" i="4" s="1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O46" i="4"/>
  <c r="N46" i="4"/>
  <c r="M46" i="4"/>
  <c r="L46" i="4"/>
  <c r="K46" i="4"/>
  <c r="J46" i="4"/>
  <c r="I46" i="4"/>
  <c r="H46" i="4"/>
  <c r="G46" i="4"/>
  <c r="F46" i="4"/>
  <c r="E46" i="4"/>
  <c r="D46" i="4"/>
  <c r="AC43" i="4"/>
  <c r="AC44" i="4" s="1"/>
  <c r="AC45" i="4" s="1"/>
  <c r="AB43" i="4"/>
  <c r="AB44" i="4" s="1"/>
  <c r="AB45" i="4" s="1"/>
  <c r="AA43" i="4"/>
  <c r="AA44" i="4" s="1"/>
  <c r="AA45" i="4" s="1"/>
  <c r="Z43" i="4"/>
  <c r="Z44" i="4" s="1"/>
  <c r="Z45" i="4" s="1"/>
  <c r="Y43" i="4"/>
  <c r="Y44" i="4" s="1"/>
  <c r="Y45" i="4" s="1"/>
  <c r="X43" i="4"/>
  <c r="X44" i="4" s="1"/>
  <c r="X45" i="4" s="1"/>
  <c r="W43" i="4"/>
  <c r="W44" i="4" s="1"/>
  <c r="W45" i="4" s="1"/>
  <c r="V43" i="4"/>
  <c r="V44" i="4" s="1"/>
  <c r="V45" i="4" s="1"/>
  <c r="U43" i="4"/>
  <c r="U44" i="4" s="1"/>
  <c r="U45" i="4" s="1"/>
  <c r="T43" i="4"/>
  <c r="T44" i="4" s="1"/>
  <c r="T45" i="4" s="1"/>
  <c r="S43" i="4"/>
  <c r="S44" i="4" s="1"/>
  <c r="S45" i="4" s="1"/>
  <c r="R43" i="4"/>
  <c r="R44" i="4" s="1"/>
  <c r="R45" i="4" s="1"/>
  <c r="Q43" i="4"/>
  <c r="Q44" i="4" s="1"/>
  <c r="Q45" i="4" s="1"/>
  <c r="P43" i="4"/>
  <c r="P44" i="4" s="1"/>
  <c r="P45" i="4" s="1"/>
  <c r="O43" i="4"/>
  <c r="O44" i="4" s="1"/>
  <c r="O45" i="4" s="1"/>
  <c r="N43" i="4"/>
  <c r="N44" i="4" s="1"/>
  <c r="N45" i="4" s="1"/>
  <c r="M43" i="4"/>
  <c r="M44" i="4" s="1"/>
  <c r="M45" i="4" s="1"/>
  <c r="L43" i="4"/>
  <c r="L44" i="4" s="1"/>
  <c r="L45" i="4" s="1"/>
  <c r="K43" i="4"/>
  <c r="K44" i="4" s="1"/>
  <c r="K45" i="4" s="1"/>
  <c r="J43" i="4"/>
  <c r="J44" i="4" s="1"/>
  <c r="J45" i="4" s="1"/>
  <c r="I43" i="4"/>
  <c r="I44" i="4" s="1"/>
  <c r="I45" i="4" s="1"/>
  <c r="H43" i="4"/>
  <c r="H44" i="4" s="1"/>
  <c r="H45" i="4" s="1"/>
  <c r="G43" i="4"/>
  <c r="G44" i="4" s="1"/>
  <c r="G45" i="4" s="1"/>
  <c r="F43" i="4"/>
  <c r="F44" i="4" s="1"/>
  <c r="F45" i="4" s="1"/>
  <c r="E43" i="4"/>
  <c r="E44" i="4" s="1"/>
  <c r="E45" i="4" s="1"/>
  <c r="D43" i="4"/>
  <c r="D44" i="4" s="1"/>
  <c r="D45" i="4" s="1"/>
  <c r="AC48" i="15" a="1"/>
  <c r="AC48" i="15" s="1"/>
  <c r="AB48" i="15" a="1"/>
  <c r="AB48" i="15" s="1"/>
  <c r="AA48" i="15" a="1"/>
  <c r="AA48" i="15" s="1"/>
  <c r="Z48" i="15" a="1"/>
  <c r="Z48" i="15" s="1"/>
  <c r="Y48" i="15" a="1"/>
  <c r="Y48" i="15" s="1"/>
  <c r="X48" i="15" a="1"/>
  <c r="X48" i="15" s="1"/>
  <c r="W48" i="15" a="1"/>
  <c r="W48" i="15" s="1"/>
  <c r="V48" i="15" a="1"/>
  <c r="V48" i="15" s="1"/>
  <c r="U48" i="15" a="1"/>
  <c r="U48" i="15" s="1"/>
  <c r="T48" i="15" a="1"/>
  <c r="T48" i="15" s="1"/>
  <c r="S48" i="15" a="1"/>
  <c r="S48" i="15" s="1"/>
  <c r="R48" i="15" a="1"/>
  <c r="R48" i="15" s="1"/>
  <c r="Q48" i="15" a="1"/>
  <c r="Q48" i="15" s="1"/>
  <c r="P48" i="15" a="1"/>
  <c r="P48" i="15" s="1"/>
  <c r="O48" i="15" a="1"/>
  <c r="O48" i="15" s="1"/>
  <c r="N48" i="15" a="1"/>
  <c r="N48" i="15" s="1"/>
  <c r="M48" i="15" a="1"/>
  <c r="M48" i="15" s="1"/>
  <c r="L48" i="15" a="1"/>
  <c r="L48" i="15" s="1"/>
  <c r="K48" i="15" a="1"/>
  <c r="K48" i="15" s="1"/>
  <c r="J48" i="15" a="1"/>
  <c r="J48" i="15" s="1"/>
  <c r="I48" i="15" a="1"/>
  <c r="I48" i="15" s="1"/>
  <c r="H48" i="15" a="1"/>
  <c r="H48" i="15" s="1"/>
  <c r="G48" i="15" a="1"/>
  <c r="G48" i="15" s="1"/>
  <c r="F48" i="15" a="1"/>
  <c r="F48" i="15" s="1"/>
  <c r="E48" i="15" a="1"/>
  <c r="E48" i="15" s="1"/>
  <c r="D48" i="15" a="1"/>
  <c r="D48" i="15" s="1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AC46" i="15"/>
  <c r="AB46" i="15"/>
  <c r="AA46" i="15"/>
  <c r="Z46" i="15"/>
  <c r="Y46" i="15"/>
  <c r="X46" i="15"/>
  <c r="W46" i="15"/>
  <c r="V46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T44" i="15"/>
  <c r="T45" i="15" s="1"/>
  <c r="P44" i="15"/>
  <c r="P45" i="15" s="1"/>
  <c r="D44" i="15"/>
  <c r="D45" i="15" s="1"/>
  <c r="AC43" i="15"/>
  <c r="AC44" i="15" s="1"/>
  <c r="AC45" i="15" s="1"/>
  <c r="AB43" i="15"/>
  <c r="AB44" i="15" s="1"/>
  <c r="AB45" i="15" s="1"/>
  <c r="AA43" i="15"/>
  <c r="AA44" i="15" s="1"/>
  <c r="AA45" i="15" s="1"/>
  <c r="Z43" i="15"/>
  <c r="Z44" i="15" s="1"/>
  <c r="Z45" i="15" s="1"/>
  <c r="Y43" i="15"/>
  <c r="Y44" i="15" s="1"/>
  <c r="Y45" i="15" s="1"/>
  <c r="X43" i="15"/>
  <c r="X44" i="15" s="1"/>
  <c r="X45" i="15" s="1"/>
  <c r="W43" i="15"/>
  <c r="W44" i="15" s="1"/>
  <c r="W45" i="15" s="1"/>
  <c r="V43" i="15"/>
  <c r="V44" i="15" s="1"/>
  <c r="V45" i="15" s="1"/>
  <c r="U43" i="15"/>
  <c r="U44" i="15" s="1"/>
  <c r="U45" i="15" s="1"/>
  <c r="T43" i="15"/>
  <c r="S43" i="15"/>
  <c r="S44" i="15" s="1"/>
  <c r="S45" i="15" s="1"/>
  <c r="R43" i="15"/>
  <c r="R44" i="15" s="1"/>
  <c r="R45" i="15" s="1"/>
  <c r="Q43" i="15"/>
  <c r="Q44" i="15" s="1"/>
  <c r="Q45" i="15" s="1"/>
  <c r="P43" i="15"/>
  <c r="O43" i="15"/>
  <c r="O44" i="15" s="1"/>
  <c r="O45" i="15" s="1"/>
  <c r="N43" i="15"/>
  <c r="N44" i="15" s="1"/>
  <c r="N45" i="15" s="1"/>
  <c r="M43" i="15"/>
  <c r="M44" i="15" s="1"/>
  <c r="M45" i="15" s="1"/>
  <c r="L43" i="15"/>
  <c r="L44" i="15" s="1"/>
  <c r="L45" i="15" s="1"/>
  <c r="K43" i="15"/>
  <c r="K44" i="15" s="1"/>
  <c r="K45" i="15" s="1"/>
  <c r="J43" i="15"/>
  <c r="J44" i="15" s="1"/>
  <c r="J45" i="15" s="1"/>
  <c r="I43" i="15"/>
  <c r="I44" i="15" s="1"/>
  <c r="I45" i="15" s="1"/>
  <c r="H43" i="15"/>
  <c r="H44" i="15" s="1"/>
  <c r="H45" i="15" s="1"/>
  <c r="G43" i="15"/>
  <c r="G44" i="15" s="1"/>
  <c r="G45" i="15" s="1"/>
  <c r="F43" i="15"/>
  <c r="F44" i="15" s="1"/>
  <c r="F45" i="15" s="1"/>
  <c r="E43" i="15"/>
  <c r="E44" i="15" s="1"/>
  <c r="E45" i="15" s="1"/>
  <c r="D43" i="15"/>
  <c r="S157" i="35" l="1"/>
  <c r="R157" i="35"/>
  <c r="Q157" i="35"/>
  <c r="P157" i="35"/>
  <c r="O157" i="35"/>
  <c r="N157" i="35"/>
  <c r="M157" i="35"/>
  <c r="L157" i="35"/>
  <c r="K157" i="35"/>
  <c r="J157" i="35"/>
  <c r="I157" i="35"/>
  <c r="H157" i="35"/>
  <c r="G157" i="35"/>
  <c r="F157" i="35"/>
  <c r="E157" i="35"/>
  <c r="D157" i="35"/>
  <c r="S156" i="35"/>
  <c r="R156" i="35"/>
  <c r="Q156" i="35"/>
  <c r="P156" i="35"/>
  <c r="O156" i="35"/>
  <c r="N156" i="35"/>
  <c r="M156" i="35"/>
  <c r="L156" i="35"/>
  <c r="K156" i="35"/>
  <c r="J156" i="35"/>
  <c r="I156" i="35"/>
  <c r="H156" i="35"/>
  <c r="G156" i="35"/>
  <c r="F156" i="35"/>
  <c r="E156" i="35"/>
  <c r="D156" i="35"/>
  <c r="S155" i="35"/>
  <c r="R155" i="35"/>
  <c r="Q155" i="35"/>
  <c r="P155" i="35"/>
  <c r="O155" i="35"/>
  <c r="N155" i="35"/>
  <c r="M155" i="35"/>
  <c r="L155" i="35"/>
  <c r="K155" i="35"/>
  <c r="J155" i="35"/>
  <c r="I155" i="35"/>
  <c r="H155" i="35"/>
  <c r="G155" i="35"/>
  <c r="F155" i="35"/>
  <c r="E155" i="35"/>
  <c r="D155" i="35"/>
  <c r="S154" i="35"/>
  <c r="R154" i="35"/>
  <c r="Q154" i="35"/>
  <c r="P154" i="35"/>
  <c r="O154" i="35"/>
  <c r="N154" i="35"/>
  <c r="M154" i="35"/>
  <c r="L154" i="35"/>
  <c r="K154" i="35"/>
  <c r="J154" i="35"/>
  <c r="I154" i="35"/>
  <c r="H154" i="35"/>
  <c r="G154" i="35"/>
  <c r="F154" i="35"/>
  <c r="E154" i="35"/>
  <c r="D154" i="35"/>
  <c r="S153" i="35"/>
  <c r="R153" i="35"/>
  <c r="Q153" i="35"/>
  <c r="P153" i="35"/>
  <c r="O153" i="35"/>
  <c r="N153" i="35"/>
  <c r="M153" i="35"/>
  <c r="L153" i="35"/>
  <c r="K153" i="35"/>
  <c r="J153" i="35"/>
  <c r="I153" i="35"/>
  <c r="H153" i="35"/>
  <c r="G153" i="35"/>
  <c r="F153" i="35"/>
  <c r="E153" i="35"/>
  <c r="D153" i="35"/>
  <c r="S152" i="35"/>
  <c r="R152" i="35"/>
  <c r="Q152" i="35"/>
  <c r="P152" i="35"/>
  <c r="O152" i="35"/>
  <c r="N152" i="35"/>
  <c r="M152" i="35"/>
  <c r="L152" i="35"/>
  <c r="K152" i="35"/>
  <c r="J152" i="35"/>
  <c r="I152" i="35"/>
  <c r="H152" i="35"/>
  <c r="G152" i="35"/>
  <c r="F152" i="35"/>
  <c r="E152" i="35"/>
  <c r="D152" i="35"/>
  <c r="S151" i="35"/>
  <c r="R151" i="35"/>
  <c r="Q151" i="35"/>
  <c r="P151" i="35"/>
  <c r="O151" i="35"/>
  <c r="N151" i="35"/>
  <c r="M151" i="35"/>
  <c r="L151" i="35"/>
  <c r="K151" i="35"/>
  <c r="J151" i="35"/>
  <c r="I151" i="35"/>
  <c r="H151" i="35"/>
  <c r="G151" i="35"/>
  <c r="F151" i="35"/>
  <c r="E151" i="35"/>
  <c r="D151" i="35"/>
  <c r="S150" i="35"/>
  <c r="R150" i="35"/>
  <c r="Q150" i="35"/>
  <c r="P150" i="35"/>
  <c r="O150" i="35"/>
  <c r="N150" i="35"/>
  <c r="M150" i="35"/>
  <c r="L150" i="35"/>
  <c r="K150" i="35"/>
  <c r="J150" i="35"/>
  <c r="I150" i="35"/>
  <c r="H150" i="35"/>
  <c r="G150" i="35"/>
  <c r="F150" i="35"/>
  <c r="E150" i="35"/>
  <c r="D150" i="35"/>
  <c r="S149" i="35"/>
  <c r="R149" i="35"/>
  <c r="Q149" i="35"/>
  <c r="P149" i="35"/>
  <c r="O149" i="35"/>
  <c r="N149" i="35"/>
  <c r="M149" i="35"/>
  <c r="L149" i="35"/>
  <c r="K149" i="35"/>
  <c r="J149" i="35"/>
  <c r="I149" i="35"/>
  <c r="H149" i="35"/>
  <c r="G149" i="35"/>
  <c r="F149" i="35"/>
  <c r="E149" i="35"/>
  <c r="D149" i="35"/>
  <c r="S139" i="35"/>
  <c r="R139" i="35"/>
  <c r="Q139" i="35"/>
  <c r="P139" i="35"/>
  <c r="O139" i="35"/>
  <c r="N139" i="35"/>
  <c r="M139" i="35"/>
  <c r="L139" i="35"/>
  <c r="K139" i="35"/>
  <c r="J139" i="35"/>
  <c r="I139" i="35"/>
  <c r="H139" i="35"/>
  <c r="G139" i="35"/>
  <c r="F139" i="35"/>
  <c r="E139" i="35"/>
  <c r="D139" i="35"/>
  <c r="S138" i="35"/>
  <c r="R138" i="35"/>
  <c r="Q138" i="35"/>
  <c r="P138" i="35"/>
  <c r="O138" i="35"/>
  <c r="N138" i="35"/>
  <c r="M138" i="35"/>
  <c r="L138" i="35"/>
  <c r="K138" i="35"/>
  <c r="J138" i="35"/>
  <c r="I138" i="35"/>
  <c r="H138" i="35"/>
  <c r="G138" i="35"/>
  <c r="F138" i="35"/>
  <c r="E138" i="35"/>
  <c r="D138" i="35"/>
  <c r="S137" i="35"/>
  <c r="R137" i="35"/>
  <c r="Q137" i="35"/>
  <c r="P137" i="35"/>
  <c r="O137" i="35"/>
  <c r="N137" i="35"/>
  <c r="M137" i="35"/>
  <c r="L137" i="35"/>
  <c r="K137" i="35"/>
  <c r="J137" i="35"/>
  <c r="I137" i="35"/>
  <c r="H137" i="35"/>
  <c r="G137" i="35"/>
  <c r="F137" i="35"/>
  <c r="E137" i="35"/>
  <c r="D137" i="35"/>
  <c r="S136" i="35"/>
  <c r="R136" i="35"/>
  <c r="Q136" i="35"/>
  <c r="P136" i="35"/>
  <c r="O136" i="35"/>
  <c r="N136" i="35"/>
  <c r="M136" i="35"/>
  <c r="L136" i="35"/>
  <c r="K136" i="35"/>
  <c r="J136" i="35"/>
  <c r="I136" i="35"/>
  <c r="H136" i="35"/>
  <c r="G136" i="35"/>
  <c r="F136" i="35"/>
  <c r="E136" i="35"/>
  <c r="D136" i="35"/>
  <c r="S135" i="35"/>
  <c r="R135" i="35"/>
  <c r="Q135" i="35"/>
  <c r="P135" i="35"/>
  <c r="O135" i="35"/>
  <c r="N135" i="35"/>
  <c r="M135" i="35"/>
  <c r="L135" i="35"/>
  <c r="K135" i="35"/>
  <c r="J135" i="35"/>
  <c r="I135" i="35"/>
  <c r="H135" i="35"/>
  <c r="G135" i="35"/>
  <c r="F135" i="35"/>
  <c r="E135" i="35"/>
  <c r="D135" i="35"/>
  <c r="S134" i="35"/>
  <c r="R134" i="35"/>
  <c r="Q134" i="35"/>
  <c r="P134" i="35"/>
  <c r="O134" i="35"/>
  <c r="N134" i="35"/>
  <c r="M134" i="35"/>
  <c r="L134" i="35"/>
  <c r="K134" i="35"/>
  <c r="J134" i="35"/>
  <c r="I134" i="35"/>
  <c r="H134" i="35"/>
  <c r="G134" i="35"/>
  <c r="F134" i="35"/>
  <c r="E134" i="35"/>
  <c r="D134" i="35"/>
  <c r="S133" i="35"/>
  <c r="R133" i="35"/>
  <c r="Q133" i="35"/>
  <c r="P133" i="35"/>
  <c r="O133" i="35"/>
  <c r="N133" i="35"/>
  <c r="M133" i="35"/>
  <c r="L133" i="35"/>
  <c r="K133" i="35"/>
  <c r="J133" i="35"/>
  <c r="I133" i="35"/>
  <c r="H133" i="35"/>
  <c r="G133" i="35"/>
  <c r="F133" i="35"/>
  <c r="E133" i="35"/>
  <c r="D133" i="35"/>
  <c r="S132" i="35"/>
  <c r="R132" i="35"/>
  <c r="Q132" i="35"/>
  <c r="P132" i="35"/>
  <c r="O132" i="35"/>
  <c r="N132" i="35"/>
  <c r="M132" i="35"/>
  <c r="L132" i="35"/>
  <c r="K132" i="35"/>
  <c r="J132" i="35"/>
  <c r="I132" i="35"/>
  <c r="H132" i="35"/>
  <c r="G132" i="35"/>
  <c r="F132" i="35"/>
  <c r="E132" i="35"/>
  <c r="D132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G131" i="35"/>
  <c r="F131" i="35"/>
  <c r="E131" i="35"/>
  <c r="D131" i="35"/>
  <c r="N59" i="35"/>
  <c r="M59" i="35"/>
  <c r="L59" i="35"/>
  <c r="K59" i="35"/>
  <c r="J59" i="35"/>
  <c r="I59" i="35"/>
  <c r="H59" i="35"/>
  <c r="G59" i="35"/>
  <c r="F59" i="35"/>
  <c r="E59" i="35"/>
  <c r="D59" i="35"/>
  <c r="P58" i="35"/>
  <c r="O58" i="35"/>
  <c r="N58" i="35"/>
  <c r="M58" i="35"/>
  <c r="L58" i="35"/>
  <c r="K58" i="35"/>
  <c r="J58" i="35"/>
  <c r="I58" i="35"/>
  <c r="H58" i="35"/>
  <c r="G58" i="35"/>
  <c r="F58" i="35"/>
  <c r="E58" i="35"/>
  <c r="D58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/>
  <c r="P56" i="35"/>
  <c r="O56" i="35"/>
  <c r="N56" i="35"/>
  <c r="M56" i="35"/>
  <c r="L56" i="35"/>
  <c r="K56" i="35"/>
  <c r="J56" i="35"/>
  <c r="I56" i="35"/>
  <c r="H56" i="35"/>
  <c r="G56" i="35"/>
  <c r="F56" i="35"/>
  <c r="E56" i="35"/>
  <c r="D56" i="35"/>
  <c r="P55" i="35"/>
  <c r="O55" i="35"/>
  <c r="N55" i="35"/>
  <c r="M55" i="35"/>
  <c r="L55" i="35"/>
  <c r="K55" i="35"/>
  <c r="J55" i="35"/>
  <c r="I55" i="35"/>
  <c r="H55" i="35"/>
  <c r="G55" i="35"/>
  <c r="F55" i="35"/>
  <c r="E55" i="35"/>
  <c r="D55" i="35"/>
  <c r="O38" i="35"/>
  <c r="N38" i="35"/>
  <c r="L38" i="35"/>
  <c r="I38" i="35"/>
  <c r="P37" i="35"/>
  <c r="O37" i="35"/>
  <c r="N37" i="35"/>
  <c r="M37" i="35"/>
  <c r="K37" i="35"/>
  <c r="J37" i="35"/>
  <c r="I37" i="35"/>
  <c r="H37" i="35"/>
  <c r="G37" i="35"/>
  <c r="F37" i="35"/>
  <c r="E37" i="35"/>
  <c r="D37" i="35"/>
  <c r="P36" i="35"/>
  <c r="O36" i="35"/>
  <c r="N36" i="35"/>
  <c r="M36" i="35"/>
  <c r="K36" i="35"/>
  <c r="J36" i="35"/>
  <c r="I36" i="35"/>
  <c r="H36" i="35"/>
  <c r="G36" i="35"/>
  <c r="F36" i="35"/>
  <c r="E36" i="35"/>
  <c r="D36" i="35"/>
  <c r="P35" i="35"/>
  <c r="O35" i="35"/>
  <c r="N35" i="35"/>
  <c r="M35" i="35"/>
  <c r="K35" i="35"/>
  <c r="J35" i="35"/>
  <c r="I35" i="35"/>
  <c r="H35" i="35"/>
  <c r="G35" i="35"/>
  <c r="F35" i="35"/>
  <c r="E35" i="35"/>
  <c r="D35" i="35"/>
  <c r="O34" i="35"/>
  <c r="N34" i="35"/>
  <c r="M34" i="35"/>
  <c r="L34" i="35"/>
  <c r="K34" i="35"/>
  <c r="J34" i="35"/>
  <c r="I34" i="35"/>
  <c r="P33" i="35"/>
  <c r="O33" i="35"/>
  <c r="N33" i="35"/>
  <c r="M33" i="35"/>
  <c r="K33" i="35"/>
  <c r="J33" i="35"/>
  <c r="I33" i="35"/>
  <c r="H33" i="35"/>
  <c r="G33" i="35"/>
  <c r="F33" i="35"/>
  <c r="E33" i="35"/>
  <c r="D33" i="35"/>
  <c r="P32" i="35"/>
  <c r="O32" i="35"/>
  <c r="N32" i="35"/>
  <c r="M32" i="35"/>
  <c r="K32" i="35"/>
  <c r="J32" i="35"/>
  <c r="I32" i="35"/>
  <c r="H32" i="35"/>
  <c r="G32" i="35"/>
  <c r="F32" i="35"/>
  <c r="E32" i="35"/>
  <c r="D32" i="35"/>
  <c r="P31" i="35"/>
  <c r="O31" i="35"/>
  <c r="N31" i="35"/>
  <c r="K31" i="35"/>
  <c r="J31" i="35"/>
  <c r="I31" i="35"/>
  <c r="H31" i="35"/>
  <c r="G31" i="35"/>
  <c r="F31" i="35"/>
  <c r="E31" i="35"/>
  <c r="D31" i="35"/>
  <c r="P30" i="35"/>
  <c r="Q19" i="1" s="1"/>
  <c r="O30" i="35"/>
  <c r="P19" i="1" s="1"/>
  <c r="N30" i="35"/>
  <c r="O19" i="1" s="1"/>
  <c r="L30" i="35"/>
  <c r="M19" i="1" s="1"/>
  <c r="K30" i="35"/>
  <c r="L19" i="1" s="1"/>
  <c r="J30" i="35"/>
  <c r="K19" i="1" s="1"/>
  <c r="I30" i="35"/>
  <c r="J19" i="1" s="1"/>
  <c r="P28" i="35"/>
  <c r="O28" i="35"/>
  <c r="N28" i="35"/>
  <c r="M28" i="35"/>
  <c r="L28" i="35"/>
  <c r="K28" i="35"/>
  <c r="J28" i="35"/>
  <c r="I28" i="35"/>
  <c r="H28" i="35"/>
  <c r="G28" i="35"/>
  <c r="P27" i="35"/>
  <c r="O27" i="35"/>
  <c r="N27" i="35"/>
  <c r="M27" i="35"/>
  <c r="L27" i="35"/>
  <c r="K27" i="35"/>
  <c r="J27" i="35"/>
  <c r="I27" i="35"/>
  <c r="H27" i="35"/>
  <c r="G27" i="35"/>
  <c r="D27" i="35"/>
  <c r="O23" i="35"/>
  <c r="P14" i="1" s="1"/>
  <c r="N23" i="35"/>
  <c r="O14" i="1" s="1"/>
  <c r="M23" i="35"/>
  <c r="N14" i="1" s="1"/>
  <c r="L23" i="35"/>
  <c r="M14" i="1" s="1"/>
  <c r="K23" i="35"/>
  <c r="L14" i="1" s="1"/>
  <c r="J23" i="35"/>
  <c r="K14" i="1" s="1"/>
  <c r="I23" i="35"/>
  <c r="J14" i="1" s="1"/>
  <c r="H23" i="35"/>
  <c r="I14" i="1" s="1"/>
  <c r="D23" i="35"/>
  <c r="E14" i="1" s="1"/>
  <c r="O21" i="35"/>
  <c r="O22" i="35" s="1"/>
  <c r="N21" i="35"/>
  <c r="N22" i="35" s="1"/>
  <c r="L21" i="35"/>
  <c r="L22" i="35" s="1"/>
  <c r="K21" i="35"/>
  <c r="K22" i="35" s="1"/>
  <c r="J21" i="35"/>
  <c r="J22" i="35" s="1"/>
  <c r="H21" i="35"/>
  <c r="H22" i="35" s="1"/>
  <c r="G21" i="35"/>
  <c r="G22" i="35" s="1"/>
  <c r="F21" i="35"/>
  <c r="F22" i="35" s="1"/>
  <c r="E21" i="35"/>
  <c r="E22" i="35" s="1"/>
  <c r="D21" i="35"/>
  <c r="D22" i="35" s="1"/>
  <c r="P16" i="35"/>
  <c r="Q11" i="1" s="1"/>
  <c r="O16" i="35"/>
  <c r="P11" i="1" s="1"/>
  <c r="N16" i="35"/>
  <c r="O11" i="1" s="1"/>
  <c r="M16" i="35"/>
  <c r="N11" i="1" s="1"/>
  <c r="L16" i="35"/>
  <c r="M11" i="1" s="1"/>
  <c r="K16" i="35"/>
  <c r="L11" i="1" s="1"/>
  <c r="J16" i="35"/>
  <c r="K11" i="1" s="1"/>
  <c r="I16" i="35"/>
  <c r="J11" i="1" s="1"/>
  <c r="H16" i="35"/>
  <c r="I11" i="1" s="1"/>
  <c r="G16" i="35"/>
  <c r="H11" i="1" s="1"/>
  <c r="F16" i="35"/>
  <c r="G11" i="1" s="1"/>
  <c r="E16" i="35"/>
  <c r="F11" i="1" s="1"/>
  <c r="D16" i="35"/>
  <c r="E11" i="1" s="1"/>
  <c r="P15" i="35"/>
  <c r="Q10" i="1" s="1"/>
  <c r="O15" i="35"/>
  <c r="P10" i="1" s="1"/>
  <c r="N15" i="35"/>
  <c r="O10" i="1" s="1"/>
  <c r="M15" i="35"/>
  <c r="N10" i="1" s="1"/>
  <c r="L15" i="35"/>
  <c r="M10" i="1" s="1"/>
  <c r="K15" i="35"/>
  <c r="L10" i="1" s="1"/>
  <c r="J15" i="35"/>
  <c r="K10" i="1" s="1"/>
  <c r="I15" i="35"/>
  <c r="J10" i="1" s="1"/>
  <c r="H15" i="35"/>
  <c r="I10" i="1" s="1"/>
  <c r="G15" i="35"/>
  <c r="H10" i="1" s="1"/>
  <c r="F15" i="35"/>
  <c r="G10" i="1" s="1"/>
  <c r="E15" i="35"/>
  <c r="F10" i="1" s="1"/>
  <c r="D15" i="35"/>
  <c r="E10" i="1" s="1"/>
  <c r="P14" i="35"/>
  <c r="Q12" i="1" s="1"/>
  <c r="O14" i="35"/>
  <c r="P12" i="1" s="1"/>
  <c r="N14" i="35"/>
  <c r="O12" i="1" s="1"/>
  <c r="M14" i="35"/>
  <c r="N12" i="1" s="1"/>
  <c r="L14" i="35"/>
  <c r="M12" i="1" s="1"/>
  <c r="K14" i="35"/>
  <c r="L12" i="1" s="1"/>
  <c r="J14" i="35"/>
  <c r="K12" i="1" s="1"/>
  <c r="I14" i="35"/>
  <c r="J12" i="1" s="1"/>
  <c r="H14" i="35"/>
  <c r="I12" i="1" s="1"/>
  <c r="G14" i="35"/>
  <c r="H12" i="1" s="1"/>
  <c r="F14" i="35"/>
  <c r="G12" i="1" s="1"/>
  <c r="E14" i="35"/>
  <c r="F12" i="1" s="1"/>
  <c r="D14" i="35"/>
  <c r="E12" i="1" s="1"/>
  <c r="P13" i="35"/>
  <c r="Q9" i="1" s="1"/>
  <c r="O13" i="35"/>
  <c r="P9" i="1" s="1"/>
  <c r="N13" i="35"/>
  <c r="O9" i="1" s="1"/>
  <c r="M13" i="35"/>
  <c r="N9" i="1" s="1"/>
  <c r="L13" i="35"/>
  <c r="M9" i="1" s="1"/>
  <c r="K13" i="35"/>
  <c r="L9" i="1" s="1"/>
  <c r="J13" i="35"/>
  <c r="K9" i="1" s="1"/>
  <c r="I13" i="35"/>
  <c r="J9" i="1" s="1"/>
  <c r="H13" i="35"/>
  <c r="I9" i="1" s="1"/>
  <c r="G13" i="35"/>
  <c r="H9" i="1" s="1"/>
  <c r="F13" i="35"/>
  <c r="G9" i="1" s="1"/>
  <c r="E13" i="35"/>
  <c r="F9" i="1" s="1"/>
  <c r="D13" i="35"/>
  <c r="E9" i="1" s="1"/>
  <c r="P12" i="35"/>
  <c r="Q7" i="1" s="1"/>
  <c r="O12" i="35"/>
  <c r="P7" i="1" s="1"/>
  <c r="N12" i="35"/>
  <c r="O7" i="1" s="1"/>
  <c r="M12" i="35"/>
  <c r="N7" i="1" s="1"/>
  <c r="L12" i="35"/>
  <c r="M7" i="1" s="1"/>
  <c r="K12" i="35"/>
  <c r="L7" i="1" s="1"/>
  <c r="J12" i="35"/>
  <c r="K7" i="1" s="1"/>
  <c r="I12" i="35"/>
  <c r="J7" i="1" s="1"/>
  <c r="H12" i="35"/>
  <c r="I7" i="1" s="1"/>
  <c r="G12" i="35"/>
  <c r="H7" i="1" s="1"/>
  <c r="F12" i="35"/>
  <c r="G7" i="1" s="1"/>
  <c r="E12" i="35"/>
  <c r="F7" i="1" s="1"/>
  <c r="D12" i="35"/>
  <c r="E7" i="1" s="1"/>
  <c r="P10" i="35"/>
  <c r="O10" i="35"/>
  <c r="N10" i="35"/>
  <c r="M10" i="35"/>
  <c r="L10" i="35"/>
  <c r="K10" i="35"/>
  <c r="J10" i="35"/>
  <c r="I10" i="35"/>
  <c r="H10" i="35"/>
  <c r="G10" i="35"/>
  <c r="F10" i="35"/>
  <c r="E10" i="35"/>
  <c r="D10" i="35"/>
  <c r="P9" i="35"/>
  <c r="O9" i="35"/>
  <c r="N9" i="35"/>
  <c r="M9" i="35"/>
  <c r="L9" i="35"/>
  <c r="K9" i="35"/>
  <c r="J9" i="35"/>
  <c r="I9" i="35"/>
  <c r="H9" i="35"/>
  <c r="G9" i="35"/>
  <c r="F9" i="35"/>
  <c r="E9" i="35"/>
  <c r="D9" i="35"/>
  <c r="AC48" i="34" a="1"/>
  <c r="AC48" i="34" s="1"/>
  <c r="AB48" i="34" a="1"/>
  <c r="AB48" i="34" s="1"/>
  <c r="AA48" i="34" a="1"/>
  <c r="AA48" i="34" s="1"/>
  <c r="Z48" i="34" a="1"/>
  <c r="Z48" i="34" s="1"/>
  <c r="Y48" i="34" a="1"/>
  <c r="Y48" i="34" s="1"/>
  <c r="X48" i="34" a="1"/>
  <c r="X48" i="34" s="1"/>
  <c r="W48" i="34" a="1"/>
  <c r="W48" i="34" s="1"/>
  <c r="V48" i="34" a="1"/>
  <c r="V48" i="34" s="1"/>
  <c r="U48" i="34" a="1"/>
  <c r="U48" i="34" s="1"/>
  <c r="T48" i="34" a="1"/>
  <c r="T48" i="34" s="1"/>
  <c r="S48" i="34" a="1"/>
  <c r="S48" i="34" s="1"/>
  <c r="R48" i="34" a="1"/>
  <c r="R48" i="34" s="1"/>
  <c r="Q48" i="34" a="1"/>
  <c r="Q48" i="34" s="1"/>
  <c r="P48" i="34" a="1"/>
  <c r="P48" i="34" s="1"/>
  <c r="O48" i="34" a="1"/>
  <c r="O48" i="34" s="1"/>
  <c r="N48" i="34" a="1"/>
  <c r="N48" i="34" s="1"/>
  <c r="M48" i="34" a="1"/>
  <c r="M48" i="34" s="1"/>
  <c r="L48" i="34" a="1"/>
  <c r="L48" i="34" s="1"/>
  <c r="K48" i="34" a="1"/>
  <c r="K48" i="34" s="1"/>
  <c r="J48" i="34" a="1"/>
  <c r="J48" i="34" s="1"/>
  <c r="I48" i="34" a="1"/>
  <c r="I48" i="34" s="1"/>
  <c r="H48" i="34" a="1"/>
  <c r="H48" i="34" s="1"/>
  <c r="G48" i="34" a="1"/>
  <c r="G48" i="34" s="1"/>
  <c r="F48" i="34" a="1"/>
  <c r="F48" i="34" s="1"/>
  <c r="E48" i="34" a="1"/>
  <c r="E48" i="34" s="1"/>
  <c r="D48" i="34" a="1"/>
  <c r="D48" i="34" s="1"/>
  <c r="AC47" i="34"/>
  <c r="AB47" i="34"/>
  <c r="AA47" i="34"/>
  <c r="Z47" i="34"/>
  <c r="Y47" i="34"/>
  <c r="X47" i="34"/>
  <c r="W47" i="34"/>
  <c r="V47" i="34"/>
  <c r="U47" i="34"/>
  <c r="T47" i="34"/>
  <c r="S47" i="34"/>
  <c r="R47" i="34"/>
  <c r="Q47" i="34"/>
  <c r="O47" i="34"/>
  <c r="N47" i="34"/>
  <c r="M47" i="34"/>
  <c r="L47" i="34"/>
  <c r="K47" i="34"/>
  <c r="J47" i="34"/>
  <c r="I47" i="34"/>
  <c r="H47" i="34"/>
  <c r="G47" i="34"/>
  <c r="F47" i="34"/>
  <c r="E47" i="34"/>
  <c r="D47" i="34"/>
  <c r="AC46" i="34"/>
  <c r="AB46" i="34"/>
  <c r="AA46" i="34"/>
  <c r="Z46" i="34"/>
  <c r="Y46" i="34"/>
  <c r="X46" i="34"/>
  <c r="W46" i="34"/>
  <c r="V46" i="34"/>
  <c r="U46" i="34"/>
  <c r="T46" i="34"/>
  <c r="S46" i="34"/>
  <c r="R46" i="34"/>
  <c r="Q46" i="34"/>
  <c r="O46" i="34"/>
  <c r="N46" i="34"/>
  <c r="L46" i="34"/>
  <c r="K46" i="34"/>
  <c r="J46" i="34"/>
  <c r="H46" i="34"/>
  <c r="G46" i="34"/>
  <c r="F46" i="34"/>
  <c r="E46" i="34"/>
  <c r="D46" i="34"/>
  <c r="AC48" i="33" a="1"/>
  <c r="AC48" i="33" s="1"/>
  <c r="AB48" i="33" a="1"/>
  <c r="AB48" i="33" s="1"/>
  <c r="AA48" i="33" a="1"/>
  <c r="AA48" i="33" s="1"/>
  <c r="Z48" i="33" a="1"/>
  <c r="Z48" i="33" s="1"/>
  <c r="Y48" i="33" a="1"/>
  <c r="Y48" i="33" s="1"/>
  <c r="X48" i="33" a="1"/>
  <c r="X48" i="33" s="1"/>
  <c r="W48" i="33" a="1"/>
  <c r="W48" i="33" s="1"/>
  <c r="V48" i="33" a="1"/>
  <c r="V48" i="33" s="1"/>
  <c r="U48" i="33" a="1"/>
  <c r="U48" i="33" s="1"/>
  <c r="T48" i="33" a="1"/>
  <c r="T48" i="33" s="1"/>
  <c r="T49" i="33" s="1"/>
  <c r="S48" i="33" a="1"/>
  <c r="S48" i="33" s="1"/>
  <c r="R48" i="33" a="1"/>
  <c r="R48" i="33" s="1"/>
  <c r="Q48" i="33" a="1"/>
  <c r="Q48" i="33" s="1"/>
  <c r="P48" i="33" a="1"/>
  <c r="P48" i="33" s="1"/>
  <c r="O48" i="33" a="1"/>
  <c r="O48" i="33" s="1"/>
  <c r="N48" i="33" a="1"/>
  <c r="N48" i="33" s="1"/>
  <c r="M48" i="33" a="1"/>
  <c r="M48" i="33" s="1"/>
  <c r="L48" i="33" a="1"/>
  <c r="L48" i="33" s="1"/>
  <c r="K48" i="33" a="1"/>
  <c r="K48" i="33" s="1"/>
  <c r="J48" i="33" a="1"/>
  <c r="J48" i="33" s="1"/>
  <c r="I48" i="33" a="1"/>
  <c r="I48" i="33" s="1"/>
  <c r="AC47" i="33"/>
  <c r="AB47" i="33"/>
  <c r="AA47" i="33"/>
  <c r="Z47" i="33"/>
  <c r="Y47" i="33"/>
  <c r="X47" i="33"/>
  <c r="W47" i="33"/>
  <c r="V47" i="33"/>
  <c r="U47" i="33"/>
  <c r="T47" i="33"/>
  <c r="S47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AC46" i="33"/>
  <c r="AB46" i="33"/>
  <c r="AA46" i="33"/>
  <c r="Z46" i="33"/>
  <c r="Y46" i="33"/>
  <c r="X46" i="33"/>
  <c r="W46" i="33"/>
  <c r="V46" i="33"/>
  <c r="U46" i="33"/>
  <c r="T46" i="33"/>
  <c r="S46" i="33"/>
  <c r="R46" i="33"/>
  <c r="Q46" i="33"/>
  <c r="P46" i="33"/>
  <c r="O46" i="33"/>
  <c r="N46" i="33"/>
  <c r="L46" i="33"/>
  <c r="K46" i="33"/>
  <c r="J46" i="33"/>
  <c r="H46" i="33"/>
  <c r="G46" i="33"/>
  <c r="F46" i="33"/>
  <c r="E46" i="33"/>
  <c r="D46" i="33"/>
  <c r="AC48" i="32" a="1"/>
  <c r="AC48" i="32" s="1"/>
  <c r="AB48" i="32" a="1"/>
  <c r="AB48" i="32" s="1"/>
  <c r="AA48" i="32" a="1"/>
  <c r="AA48" i="32" s="1"/>
  <c r="Z48" i="32" a="1"/>
  <c r="Z48" i="32" s="1"/>
  <c r="Y48" i="32" a="1"/>
  <c r="Y48" i="32" s="1"/>
  <c r="X48" i="32" a="1"/>
  <c r="X48" i="32" s="1"/>
  <c r="W48" i="32" a="1"/>
  <c r="W48" i="32" s="1"/>
  <c r="V48" i="32" a="1"/>
  <c r="V48" i="32" s="1"/>
  <c r="U48" i="32" a="1"/>
  <c r="U48" i="32" s="1"/>
  <c r="T48" i="32" a="1"/>
  <c r="T48" i="32" s="1"/>
  <c r="S48" i="32" a="1"/>
  <c r="S48" i="32" s="1"/>
  <c r="R48" i="32" a="1"/>
  <c r="R48" i="32" s="1"/>
  <c r="Q48" i="32" a="1"/>
  <c r="Q48" i="32" s="1"/>
  <c r="P48" i="32" a="1"/>
  <c r="P48" i="32" s="1"/>
  <c r="O48" i="32" a="1"/>
  <c r="O48" i="32" s="1"/>
  <c r="N48" i="32" a="1"/>
  <c r="N48" i="32" s="1"/>
  <c r="M48" i="32" a="1"/>
  <c r="M48" i="32" s="1"/>
  <c r="L48" i="32" a="1"/>
  <c r="L48" i="32" s="1"/>
  <c r="K48" i="32" a="1"/>
  <c r="K48" i="32" s="1"/>
  <c r="J48" i="32" a="1"/>
  <c r="J48" i="32" s="1"/>
  <c r="I48" i="32" a="1"/>
  <c r="I48" i="32" s="1"/>
  <c r="H48" i="32" a="1"/>
  <c r="H48" i="32" s="1"/>
  <c r="G48" i="32" a="1"/>
  <c r="G48" i="32" s="1"/>
  <c r="G49" i="32" s="1"/>
  <c r="F48" i="32" a="1"/>
  <c r="F48" i="32" s="1"/>
  <c r="E48" i="32" a="1"/>
  <c r="E48" i="32" s="1"/>
  <c r="AC47" i="32"/>
  <c r="AB47" i="32"/>
  <c r="AA47" i="32"/>
  <c r="Z47" i="32"/>
  <c r="Y47" i="32"/>
  <c r="X47" i="32"/>
  <c r="W47" i="32"/>
  <c r="V47" i="32"/>
  <c r="U47" i="32"/>
  <c r="T47" i="32"/>
  <c r="S47" i="32"/>
  <c r="R47" i="32"/>
  <c r="Q47" i="32"/>
  <c r="P47" i="32"/>
  <c r="O47" i="32"/>
  <c r="N47" i="32"/>
  <c r="M47" i="32"/>
  <c r="L47" i="32"/>
  <c r="K47" i="32"/>
  <c r="J47" i="32"/>
  <c r="I47" i="32"/>
  <c r="H47" i="32"/>
  <c r="G47" i="32"/>
  <c r="F47" i="32"/>
  <c r="E47" i="32"/>
  <c r="D47" i="32"/>
  <c r="AC46" i="32"/>
  <c r="AB46" i="32"/>
  <c r="AA46" i="32"/>
  <c r="Z46" i="32"/>
  <c r="Y46" i="32"/>
  <c r="X46" i="32"/>
  <c r="W46" i="32"/>
  <c r="V46" i="32"/>
  <c r="U46" i="32"/>
  <c r="T46" i="32"/>
  <c r="S46" i="32"/>
  <c r="R46" i="32"/>
  <c r="Q46" i="32"/>
  <c r="O46" i="32"/>
  <c r="N46" i="32"/>
  <c r="L46" i="32"/>
  <c r="K46" i="32"/>
  <c r="J46" i="32"/>
  <c r="H46" i="32"/>
  <c r="G46" i="32"/>
  <c r="F46" i="32"/>
  <c r="E46" i="32"/>
  <c r="D46" i="32"/>
  <c r="AC48" i="31" a="1"/>
  <c r="AC48" i="31" s="1"/>
  <c r="AB48" i="31" a="1"/>
  <c r="AB48" i="31" s="1"/>
  <c r="AA48" i="31" a="1"/>
  <c r="AA48" i="31" s="1"/>
  <c r="Z48" i="31" a="1"/>
  <c r="Z48" i="31" s="1"/>
  <c r="Y48" i="31" a="1"/>
  <c r="Y48" i="31" s="1"/>
  <c r="X48" i="31" a="1"/>
  <c r="X48" i="31" s="1"/>
  <c r="W48" i="31" a="1"/>
  <c r="W48" i="31" s="1"/>
  <c r="V48" i="31" a="1"/>
  <c r="V48" i="31" s="1"/>
  <c r="U48" i="31" a="1"/>
  <c r="U48" i="31" s="1"/>
  <c r="T48" i="31" a="1"/>
  <c r="T48" i="31" s="1"/>
  <c r="S48" i="31" a="1"/>
  <c r="S48" i="31" s="1"/>
  <c r="R48" i="31" a="1"/>
  <c r="R48" i="31" s="1"/>
  <c r="Q48" i="31" a="1"/>
  <c r="Q48" i="31" s="1"/>
  <c r="P48" i="31" a="1"/>
  <c r="P48" i="31" s="1"/>
  <c r="O48" i="31" a="1"/>
  <c r="O48" i="31" s="1"/>
  <c r="N48" i="31" a="1"/>
  <c r="N48" i="31" s="1"/>
  <c r="K48" i="31" a="1"/>
  <c r="K48" i="31" s="1"/>
  <c r="J48" i="31" a="1"/>
  <c r="J48" i="31" s="1"/>
  <c r="I48" i="31" a="1"/>
  <c r="I48" i="31" s="1"/>
  <c r="H48" i="31" a="1"/>
  <c r="H48" i="31" s="1"/>
  <c r="G48" i="31" a="1"/>
  <c r="G48" i="31" s="1"/>
  <c r="F48" i="31" a="1"/>
  <c r="F48" i="31" s="1"/>
  <c r="E48" i="31" a="1"/>
  <c r="E48" i="31" s="1"/>
  <c r="D48" i="31" a="1"/>
  <c r="D48" i="31" s="1"/>
  <c r="AC47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AC46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AC48" i="30" a="1"/>
  <c r="AC48" i="30" s="1"/>
  <c r="AB48" i="30" a="1"/>
  <c r="AB48" i="30" s="1"/>
  <c r="AA48" i="30" a="1"/>
  <c r="AA48" i="30" s="1"/>
  <c r="Z48" i="30" a="1"/>
  <c r="Z48" i="30" s="1"/>
  <c r="Y48" i="30" a="1"/>
  <c r="Y48" i="30" s="1"/>
  <c r="X48" i="30" a="1"/>
  <c r="X48" i="30" s="1"/>
  <c r="W48" i="30" a="1"/>
  <c r="W48" i="30" s="1"/>
  <c r="V48" i="30" a="1"/>
  <c r="V48" i="30" s="1"/>
  <c r="U48" i="30" a="1"/>
  <c r="U48" i="30" s="1"/>
  <c r="T48" i="30" a="1"/>
  <c r="T48" i="30" s="1"/>
  <c r="S48" i="30" a="1"/>
  <c r="S48" i="30" s="1"/>
  <c r="R48" i="30" a="1"/>
  <c r="R48" i="30" s="1"/>
  <c r="Q48" i="30" a="1"/>
  <c r="Q48" i="30" s="1"/>
  <c r="P48" i="30" a="1"/>
  <c r="P48" i="30" s="1"/>
  <c r="O48" i="30" a="1"/>
  <c r="O48" i="30" s="1"/>
  <c r="N48" i="30" a="1"/>
  <c r="N48" i="30" s="1"/>
  <c r="K48" i="30" a="1"/>
  <c r="K48" i="30" s="1"/>
  <c r="I48" i="30" a="1"/>
  <c r="I48" i="30" s="1"/>
  <c r="H48" i="30" a="1"/>
  <c r="H48" i="30" s="1"/>
  <c r="G48" i="30" a="1"/>
  <c r="G48" i="30" s="1"/>
  <c r="F48" i="30" a="1"/>
  <c r="F48" i="30" s="1"/>
  <c r="E48" i="30" a="1"/>
  <c r="E48" i="30" s="1"/>
  <c r="D48" i="30" a="1"/>
  <c r="D48" i="30" s="1"/>
  <c r="AC47" i="30"/>
  <c r="AB47" i="30"/>
  <c r="AA47" i="30"/>
  <c r="Z47" i="30"/>
  <c r="Y47" i="30"/>
  <c r="X47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L46" i="30"/>
  <c r="K46" i="30"/>
  <c r="J46" i="30"/>
  <c r="I46" i="30"/>
  <c r="H46" i="30"/>
  <c r="G46" i="30"/>
  <c r="F46" i="30"/>
  <c r="E46" i="30"/>
  <c r="D46" i="30"/>
  <c r="AC48" i="29" a="1"/>
  <c r="AC48" i="29" s="1"/>
  <c r="AB48" i="29" a="1"/>
  <c r="AB48" i="29" s="1"/>
  <c r="AA48" i="29" a="1"/>
  <c r="AA48" i="29" s="1"/>
  <c r="Z48" i="29" a="1"/>
  <c r="Z48" i="29" s="1"/>
  <c r="Y48" i="29" a="1"/>
  <c r="Y48" i="29" s="1"/>
  <c r="X48" i="29" a="1"/>
  <c r="X48" i="29" s="1"/>
  <c r="W48" i="29" a="1"/>
  <c r="W48" i="29" s="1"/>
  <c r="V48" i="29" a="1"/>
  <c r="V48" i="29" s="1"/>
  <c r="U48" i="29" a="1"/>
  <c r="U48" i="29" s="1"/>
  <c r="T48" i="29" a="1"/>
  <c r="T48" i="29" s="1"/>
  <c r="S48" i="29" a="1"/>
  <c r="S48" i="29" s="1"/>
  <c r="R48" i="29" a="1"/>
  <c r="R48" i="29" s="1"/>
  <c r="Q48" i="29" a="1"/>
  <c r="Q48" i="29" s="1"/>
  <c r="P48" i="29" a="1"/>
  <c r="P48" i="29" s="1"/>
  <c r="O48" i="29" a="1"/>
  <c r="O48" i="29" s="1"/>
  <c r="N48" i="29" a="1"/>
  <c r="N48" i="29" s="1"/>
  <c r="M48" i="29" a="1"/>
  <c r="M48" i="29" s="1"/>
  <c r="L48" i="29" a="1"/>
  <c r="L48" i="29" s="1"/>
  <c r="K48" i="29" a="1"/>
  <c r="K48" i="29" s="1"/>
  <c r="J48" i="29" a="1"/>
  <c r="J48" i="29" s="1"/>
  <c r="I48" i="29" a="1"/>
  <c r="I48" i="29" s="1"/>
  <c r="H48" i="29" a="1"/>
  <c r="H48" i="29" s="1"/>
  <c r="G48" i="29" a="1"/>
  <c r="G48" i="29" s="1"/>
  <c r="F48" i="29" a="1"/>
  <c r="F48" i="29" s="1"/>
  <c r="E48" i="29" a="1"/>
  <c r="E48" i="29" s="1"/>
  <c r="D48" i="29" a="1"/>
  <c r="D48" i="29" s="1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AC46" i="29"/>
  <c r="AB46" i="29"/>
  <c r="AA46" i="29"/>
  <c r="Z46" i="29"/>
  <c r="Y46" i="29"/>
  <c r="Y49" i="29" s="1"/>
  <c r="X46" i="29"/>
  <c r="W46" i="29"/>
  <c r="V46" i="29"/>
  <c r="U46" i="29"/>
  <c r="T46" i="29"/>
  <c r="S46" i="29"/>
  <c r="R46" i="29"/>
  <c r="Q46" i="29"/>
  <c r="O46" i="29"/>
  <c r="N46" i="29"/>
  <c r="M46" i="29"/>
  <c r="L46" i="29"/>
  <c r="K46" i="29"/>
  <c r="J46" i="29"/>
  <c r="H46" i="29"/>
  <c r="G46" i="29"/>
  <c r="F46" i="29"/>
  <c r="E46" i="29"/>
  <c r="D46" i="29"/>
  <c r="AC48" i="28" a="1"/>
  <c r="AC48" i="28" s="1"/>
  <c r="AB48" i="28" a="1"/>
  <c r="AB48" i="28" s="1"/>
  <c r="AA48" i="28" a="1"/>
  <c r="AA48" i="28" s="1"/>
  <c r="Z48" i="28" a="1"/>
  <c r="Z48" i="28" s="1"/>
  <c r="Y48" i="28" a="1"/>
  <c r="Y48" i="28" s="1"/>
  <c r="X48" i="28" a="1"/>
  <c r="X48" i="28" s="1"/>
  <c r="W48" i="28" a="1"/>
  <c r="W48" i="28" s="1"/>
  <c r="V48" i="28" a="1"/>
  <c r="V48" i="28" s="1"/>
  <c r="U48" i="28" a="1"/>
  <c r="U48" i="28" s="1"/>
  <c r="T48" i="28" a="1"/>
  <c r="T48" i="28" s="1"/>
  <c r="S48" i="28" a="1"/>
  <c r="S48" i="28" s="1"/>
  <c r="R48" i="28" a="1"/>
  <c r="R48" i="28" s="1"/>
  <c r="Q48" i="28" a="1"/>
  <c r="Q48" i="28" s="1"/>
  <c r="P48" i="28" a="1"/>
  <c r="P48" i="28" s="1"/>
  <c r="O48" i="28" a="1"/>
  <c r="O48" i="28" s="1"/>
  <c r="N48" i="28" a="1"/>
  <c r="N48" i="28" s="1"/>
  <c r="K48" i="28" a="1"/>
  <c r="K48" i="28" s="1"/>
  <c r="J48" i="28" a="1"/>
  <c r="J48" i="28" s="1"/>
  <c r="I48" i="28" a="1"/>
  <c r="I48" i="28" s="1"/>
  <c r="H48" i="28" a="1"/>
  <c r="H48" i="28" s="1"/>
  <c r="G48" i="28" a="1"/>
  <c r="G48" i="28" s="1"/>
  <c r="F48" i="28" a="1"/>
  <c r="F48" i="28" s="1"/>
  <c r="E48" i="28" a="1"/>
  <c r="E48" i="28" s="1"/>
  <c r="D48" i="28" a="1"/>
  <c r="D48" i="28" s="1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D49" i="28" s="1"/>
  <c r="AC46" i="28"/>
  <c r="AB46" i="28"/>
  <c r="AA46" i="28"/>
  <c r="Z46" i="28"/>
  <c r="Y46" i="28"/>
  <c r="X46" i="28"/>
  <c r="W46" i="28"/>
  <c r="V46" i="28"/>
  <c r="U46" i="28"/>
  <c r="T46" i="28"/>
  <c r="S46" i="28"/>
  <c r="R46" i="28"/>
  <c r="Q46" i="28"/>
  <c r="O46" i="28"/>
  <c r="N46" i="28"/>
  <c r="M46" i="28"/>
  <c r="L46" i="28"/>
  <c r="K46" i="28"/>
  <c r="J46" i="28"/>
  <c r="H46" i="28"/>
  <c r="G46" i="28"/>
  <c r="F46" i="28"/>
  <c r="E46" i="28"/>
  <c r="D46" i="28"/>
  <c r="AC48" i="27" a="1"/>
  <c r="AC48" i="27" s="1"/>
  <c r="AB48" i="27" a="1"/>
  <c r="AB48" i="27" s="1"/>
  <c r="AA48" i="27" a="1"/>
  <c r="AA48" i="27" s="1"/>
  <c r="Z48" i="27" a="1"/>
  <c r="Z48" i="27" s="1"/>
  <c r="Y48" i="27" a="1"/>
  <c r="Y48" i="27" s="1"/>
  <c r="X48" i="27" a="1"/>
  <c r="X48" i="27" s="1"/>
  <c r="W48" i="27" a="1"/>
  <c r="W48" i="27" s="1"/>
  <c r="V48" i="27" a="1"/>
  <c r="V48" i="27" s="1"/>
  <c r="U48" i="27" a="1"/>
  <c r="U48" i="27" s="1"/>
  <c r="T48" i="27" a="1"/>
  <c r="T48" i="27" s="1"/>
  <c r="S48" i="27" a="1"/>
  <c r="S48" i="27" s="1"/>
  <c r="R48" i="27" a="1"/>
  <c r="R48" i="27" s="1"/>
  <c r="Q48" i="27" a="1"/>
  <c r="Q48" i="27" s="1"/>
  <c r="P48" i="27" a="1"/>
  <c r="P48" i="27" s="1"/>
  <c r="O48" i="27" a="1"/>
  <c r="O48" i="27" s="1"/>
  <c r="N48" i="27" a="1"/>
  <c r="N48" i="27" s="1"/>
  <c r="M48" i="27" a="1"/>
  <c r="M48" i="27" s="1"/>
  <c r="L48" i="27" a="1"/>
  <c r="L48" i="27" s="1"/>
  <c r="K48" i="27" a="1"/>
  <c r="K48" i="27" s="1"/>
  <c r="J48" i="27" a="1"/>
  <c r="J48" i="27" s="1"/>
  <c r="I48" i="27" a="1"/>
  <c r="I48" i="27" s="1"/>
  <c r="H48" i="27" a="1"/>
  <c r="H48" i="27" s="1"/>
  <c r="G48" i="27" a="1"/>
  <c r="G48" i="27" s="1"/>
  <c r="F48" i="27" a="1"/>
  <c r="F48" i="27" s="1"/>
  <c r="E48" i="27" a="1"/>
  <c r="E48" i="27" s="1"/>
  <c r="D48" i="27" a="1"/>
  <c r="D48" i="27" s="1"/>
  <c r="AC47" i="27"/>
  <c r="AB47" i="27"/>
  <c r="AA47" i="27"/>
  <c r="Z47" i="27"/>
  <c r="Y47" i="27"/>
  <c r="X47" i="27"/>
  <c r="W47" i="27"/>
  <c r="V47" i="27"/>
  <c r="U47" i="27"/>
  <c r="T47" i="27"/>
  <c r="S47" i="27"/>
  <c r="R47" i="27"/>
  <c r="Q47" i="27"/>
  <c r="P47" i="27"/>
  <c r="O47" i="27"/>
  <c r="N47" i="27"/>
  <c r="N49" i="27" s="1"/>
  <c r="M47" i="27"/>
  <c r="L47" i="27"/>
  <c r="K47" i="27"/>
  <c r="J47" i="27"/>
  <c r="I47" i="27"/>
  <c r="H47" i="27"/>
  <c r="G47" i="27"/>
  <c r="F47" i="27"/>
  <c r="E47" i="27"/>
  <c r="D47" i="27"/>
  <c r="AC46" i="27"/>
  <c r="AB46" i="27"/>
  <c r="AA46" i="27"/>
  <c r="Z46" i="27"/>
  <c r="Y46" i="27"/>
  <c r="X46" i="27"/>
  <c r="W46" i="27"/>
  <c r="V46" i="27"/>
  <c r="U46" i="27"/>
  <c r="T46" i="27"/>
  <c r="S46" i="27"/>
  <c r="R46" i="27"/>
  <c r="Q46" i="27"/>
  <c r="P46" i="27"/>
  <c r="O46" i="27"/>
  <c r="N46" i="27"/>
  <c r="L46" i="27"/>
  <c r="K46" i="27"/>
  <c r="J46" i="27"/>
  <c r="H46" i="27"/>
  <c r="G46" i="27"/>
  <c r="F46" i="27"/>
  <c r="E46" i="27"/>
  <c r="D46" i="27"/>
  <c r="AC48" i="26" a="1"/>
  <c r="AC48" i="26" s="1"/>
  <c r="AB48" i="26" a="1"/>
  <c r="AB48" i="26" s="1"/>
  <c r="AA48" i="26" a="1"/>
  <c r="AA48" i="26" s="1"/>
  <c r="Z48" i="26" a="1"/>
  <c r="Z48" i="26" s="1"/>
  <c r="Y48" i="26" a="1"/>
  <c r="Y48" i="26" s="1"/>
  <c r="X48" i="26" a="1"/>
  <c r="X48" i="26" s="1"/>
  <c r="W48" i="26" a="1"/>
  <c r="W48" i="26" s="1"/>
  <c r="V48" i="26" a="1"/>
  <c r="V48" i="26" s="1"/>
  <c r="U48" i="26" a="1"/>
  <c r="U48" i="26" s="1"/>
  <c r="T48" i="26" a="1"/>
  <c r="T48" i="26" s="1"/>
  <c r="S48" i="26" a="1"/>
  <c r="S48" i="26" s="1"/>
  <c r="R48" i="26" a="1"/>
  <c r="R48" i="26" s="1"/>
  <c r="Q48" i="26" a="1"/>
  <c r="Q48" i="26" s="1"/>
  <c r="P48" i="26" a="1"/>
  <c r="P48" i="26" s="1"/>
  <c r="O48" i="26" a="1"/>
  <c r="O48" i="26" s="1"/>
  <c r="N48" i="26" a="1"/>
  <c r="N48" i="26" s="1"/>
  <c r="M48" i="26" a="1"/>
  <c r="M48" i="26" s="1"/>
  <c r="L48" i="26" a="1"/>
  <c r="L48" i="26" s="1"/>
  <c r="K48" i="26" a="1"/>
  <c r="K48" i="26" s="1"/>
  <c r="J48" i="26" a="1"/>
  <c r="J48" i="26" s="1"/>
  <c r="I48" i="26" a="1"/>
  <c r="I48" i="26" s="1"/>
  <c r="F48" i="26" a="1"/>
  <c r="F48" i="26" s="1"/>
  <c r="E48" i="26" a="1"/>
  <c r="E48" i="26" s="1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AC48" i="25" a="1"/>
  <c r="AC48" i="25" s="1"/>
  <c r="AB48" i="25" a="1"/>
  <c r="AB48" i="25" s="1"/>
  <c r="AA48" i="25" a="1"/>
  <c r="AA48" i="25" s="1"/>
  <c r="Z48" i="25" a="1"/>
  <c r="Z48" i="25" s="1"/>
  <c r="Y48" i="25" a="1"/>
  <c r="Y48" i="25" s="1"/>
  <c r="X48" i="25" a="1"/>
  <c r="X48" i="25" s="1"/>
  <c r="W48" i="25" a="1"/>
  <c r="W48" i="25" s="1"/>
  <c r="V48" i="25" a="1"/>
  <c r="V48" i="25" s="1"/>
  <c r="U48" i="25" a="1"/>
  <c r="U48" i="25" s="1"/>
  <c r="T48" i="25" a="1"/>
  <c r="T48" i="25" s="1"/>
  <c r="S48" i="25" a="1"/>
  <c r="S48" i="25" s="1"/>
  <c r="R48" i="25" a="1"/>
  <c r="R48" i="25" s="1"/>
  <c r="Q48" i="25" a="1"/>
  <c r="Q48" i="25" s="1"/>
  <c r="P48" i="25" a="1"/>
  <c r="P48" i="25" s="1"/>
  <c r="O48" i="25" a="1"/>
  <c r="O48" i="25" s="1"/>
  <c r="N48" i="25" a="1"/>
  <c r="N48" i="25" s="1"/>
  <c r="M48" i="25" a="1"/>
  <c r="M48" i="25" s="1"/>
  <c r="L48" i="25" a="1"/>
  <c r="L48" i="25" s="1"/>
  <c r="K48" i="25" a="1"/>
  <c r="K48" i="25" s="1"/>
  <c r="J48" i="25" a="1"/>
  <c r="J48" i="25" s="1"/>
  <c r="I48" i="25" a="1"/>
  <c r="I48" i="25" s="1"/>
  <c r="AC47" i="25"/>
  <c r="AB47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AC46" i="25"/>
  <c r="AB46" i="25"/>
  <c r="AA46" i="25"/>
  <c r="Z46" i="25"/>
  <c r="Y46" i="25"/>
  <c r="X46" i="25"/>
  <c r="W46" i="25"/>
  <c r="V46" i="25"/>
  <c r="U46" i="25"/>
  <c r="T46" i="25"/>
  <c r="S46" i="25"/>
  <c r="R46" i="25"/>
  <c r="Q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AC48" i="24" a="1"/>
  <c r="AC48" i="24" s="1"/>
  <c r="AB48" i="24" a="1"/>
  <c r="AB48" i="24" s="1"/>
  <c r="AA48" i="24" a="1"/>
  <c r="AA48" i="24" s="1"/>
  <c r="Z48" i="24" a="1"/>
  <c r="Z48" i="24" s="1"/>
  <c r="Y48" i="24" a="1"/>
  <c r="Y48" i="24" s="1"/>
  <c r="X48" i="24" a="1"/>
  <c r="X48" i="24" s="1"/>
  <c r="W48" i="24" a="1"/>
  <c r="W48" i="24" s="1"/>
  <c r="V48" i="24" a="1"/>
  <c r="V48" i="24" s="1"/>
  <c r="U48" i="24" a="1"/>
  <c r="U48" i="24" s="1"/>
  <c r="T48" i="24" a="1"/>
  <c r="T48" i="24" s="1"/>
  <c r="S48" i="24" a="1"/>
  <c r="S48" i="24" s="1"/>
  <c r="R48" i="24" a="1"/>
  <c r="R48" i="24" s="1"/>
  <c r="Q48" i="24" a="1"/>
  <c r="Q48" i="24" s="1"/>
  <c r="P48" i="24" a="1"/>
  <c r="P48" i="24" s="1"/>
  <c r="O48" i="24" a="1"/>
  <c r="O48" i="24" s="1"/>
  <c r="N48" i="24" a="1"/>
  <c r="N48" i="24" s="1"/>
  <c r="M48" i="24" a="1"/>
  <c r="M48" i="24" s="1"/>
  <c r="L48" i="24" a="1"/>
  <c r="L48" i="24" s="1"/>
  <c r="K48" i="24" a="1"/>
  <c r="K48" i="24" s="1"/>
  <c r="J48" i="24" a="1"/>
  <c r="J48" i="24" s="1"/>
  <c r="I48" i="24" a="1"/>
  <c r="I48" i="24" s="1"/>
  <c r="H48" i="24" a="1"/>
  <c r="H48" i="24" s="1"/>
  <c r="G48" i="24" a="1"/>
  <c r="G48" i="24" s="1"/>
  <c r="F48" i="24" a="1"/>
  <c r="F48" i="24" s="1"/>
  <c r="AC47" i="24"/>
  <c r="AB47" i="24"/>
  <c r="AA47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AC46" i="24"/>
  <c r="AB46" i="24"/>
  <c r="AA46" i="24"/>
  <c r="Z46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AC48" i="23" a="1"/>
  <c r="AC48" i="23" s="1"/>
  <c r="AB48" i="23" a="1"/>
  <c r="AB48" i="23" s="1"/>
  <c r="AA48" i="23" a="1"/>
  <c r="AA48" i="23" s="1"/>
  <c r="Z48" i="23" a="1"/>
  <c r="Z48" i="23" s="1"/>
  <c r="Y48" i="23" a="1"/>
  <c r="Y48" i="23" s="1"/>
  <c r="X48" i="23" a="1"/>
  <c r="X48" i="23" s="1"/>
  <c r="W48" i="23" a="1"/>
  <c r="W48" i="23" s="1"/>
  <c r="V48" i="23" a="1"/>
  <c r="V48" i="23" s="1"/>
  <c r="U48" i="23" a="1"/>
  <c r="U48" i="23" s="1"/>
  <c r="T48" i="23" a="1"/>
  <c r="T48" i="23" s="1"/>
  <c r="S48" i="23" a="1"/>
  <c r="S48" i="23" s="1"/>
  <c r="R48" i="23" a="1"/>
  <c r="R48" i="23" s="1"/>
  <c r="Q48" i="23" a="1"/>
  <c r="Q48" i="23" s="1"/>
  <c r="P48" i="23" a="1"/>
  <c r="P48" i="23" s="1"/>
  <c r="O48" i="23" a="1"/>
  <c r="O48" i="23" s="1"/>
  <c r="N48" i="23" a="1"/>
  <c r="N48" i="23" s="1"/>
  <c r="M48" i="23" a="1"/>
  <c r="M48" i="23" s="1"/>
  <c r="L48" i="23" a="1"/>
  <c r="L48" i="23" s="1"/>
  <c r="K48" i="23" a="1"/>
  <c r="K48" i="23" s="1"/>
  <c r="J48" i="23" a="1"/>
  <c r="J48" i="23" s="1"/>
  <c r="I48" i="23" a="1"/>
  <c r="I48" i="23" s="1"/>
  <c r="H48" i="23" a="1"/>
  <c r="H48" i="23" s="1"/>
  <c r="G48" i="23" a="1"/>
  <c r="G48" i="23" s="1"/>
  <c r="F48" i="23" a="1"/>
  <c r="F48" i="23" s="1"/>
  <c r="E48" i="23" a="1"/>
  <c r="E48" i="23" s="1"/>
  <c r="D48" i="23" a="1"/>
  <c r="D48" i="23" s="1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AC46" i="23"/>
  <c r="AB46" i="23"/>
  <c r="AA46" i="23"/>
  <c r="Z46" i="23"/>
  <c r="Y46" i="23"/>
  <c r="X46" i="23"/>
  <c r="W46" i="23"/>
  <c r="V46" i="23"/>
  <c r="U46" i="23"/>
  <c r="T46" i="23"/>
  <c r="S46" i="23"/>
  <c r="R46" i="23"/>
  <c r="Q46" i="23"/>
  <c r="O46" i="23"/>
  <c r="N46" i="23"/>
  <c r="M46" i="23"/>
  <c r="L46" i="23"/>
  <c r="K46" i="23"/>
  <c r="J46" i="23"/>
  <c r="H46" i="23"/>
  <c r="G46" i="23"/>
  <c r="F46" i="23"/>
  <c r="E46" i="23"/>
  <c r="D46" i="23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K48" i="22" a="1"/>
  <c r="K48" i="22" s="1"/>
  <c r="J48" i="22" a="1"/>
  <c r="J48" i="22" s="1"/>
  <c r="I48" i="22" a="1"/>
  <c r="I48" i="22" s="1"/>
  <c r="H48" i="22" a="1"/>
  <c r="H48" i="22" s="1"/>
  <c r="G48" i="22" a="1"/>
  <c r="G48" i="22" s="1"/>
  <c r="F48" i="22" a="1"/>
  <c r="F48" i="22" s="1"/>
  <c r="E48" i="22" a="1"/>
  <c r="E48" i="22" s="1"/>
  <c r="D48" i="22" a="1"/>
  <c r="D48" i="22" s="1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AC46" i="22"/>
  <c r="AC49" i="22" s="1"/>
  <c r="AB46" i="22"/>
  <c r="AA46" i="22"/>
  <c r="Z46" i="22"/>
  <c r="Y46" i="22"/>
  <c r="X46" i="22"/>
  <c r="W46" i="22"/>
  <c r="V46" i="22"/>
  <c r="U46" i="22"/>
  <c r="T46" i="22"/>
  <c r="S46" i="22"/>
  <c r="R46" i="22"/>
  <c r="Q46" i="22"/>
  <c r="P46" i="22"/>
  <c r="O46" i="22"/>
  <c r="N46" i="22"/>
  <c r="M46" i="22"/>
  <c r="L46" i="22"/>
  <c r="K46" i="22"/>
  <c r="J46" i="22"/>
  <c r="I46" i="22"/>
  <c r="I49" i="22" s="1"/>
  <c r="H46" i="22"/>
  <c r="G46" i="22"/>
  <c r="F46" i="22"/>
  <c r="E46" i="22"/>
  <c r="D46" i="22"/>
  <c r="AC48" i="21" a="1"/>
  <c r="AC48" i="21" s="1"/>
  <c r="AB48" i="21" a="1"/>
  <c r="AB48" i="21" s="1"/>
  <c r="AA48" i="21" a="1"/>
  <c r="AA48" i="21" s="1"/>
  <c r="Z48" i="21" a="1"/>
  <c r="Z48" i="21" s="1"/>
  <c r="Y48" i="21" a="1"/>
  <c r="Y48" i="21" s="1"/>
  <c r="X48" i="21" a="1"/>
  <c r="X48" i="21" s="1"/>
  <c r="W48" i="21" a="1"/>
  <c r="W48" i="21" s="1"/>
  <c r="V48" i="21" a="1"/>
  <c r="V48" i="21" s="1"/>
  <c r="U48" i="21" a="1"/>
  <c r="U48" i="21" s="1"/>
  <c r="T48" i="21" a="1"/>
  <c r="T48" i="21" s="1"/>
  <c r="S48" i="21" a="1"/>
  <c r="S48" i="21" s="1"/>
  <c r="R48" i="21" a="1"/>
  <c r="R48" i="21" s="1"/>
  <c r="Q48" i="21" a="1"/>
  <c r="Q48" i="21" s="1"/>
  <c r="P48" i="21" a="1"/>
  <c r="P48" i="21" s="1"/>
  <c r="O48" i="21" a="1"/>
  <c r="O48" i="21" s="1"/>
  <c r="N48" i="21" a="1"/>
  <c r="N48" i="21" s="1"/>
  <c r="M48" i="21" a="1"/>
  <c r="M48" i="21" s="1"/>
  <c r="L48" i="21" a="1"/>
  <c r="L48" i="21" s="1"/>
  <c r="K48" i="21" a="1"/>
  <c r="K48" i="21" s="1"/>
  <c r="J48" i="21" a="1"/>
  <c r="J48" i="21" s="1"/>
  <c r="I48" i="21" a="1"/>
  <c r="I48" i="21" s="1"/>
  <c r="H48" i="21" a="1"/>
  <c r="H48" i="21" s="1"/>
  <c r="G48" i="21" a="1"/>
  <c r="G48" i="21" s="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AC48" i="20" a="1"/>
  <c r="AC48" i="20" s="1"/>
  <c r="AB48" i="20" a="1"/>
  <c r="AB48" i="20" s="1"/>
  <c r="AA48" i="20" a="1"/>
  <c r="AA48" i="20" s="1"/>
  <c r="Z48" i="20" a="1"/>
  <c r="Z48" i="20" s="1"/>
  <c r="Y48" i="20" a="1"/>
  <c r="Y48" i="20" s="1"/>
  <c r="X48" i="20" a="1"/>
  <c r="X48" i="20" s="1"/>
  <c r="W48" i="20" a="1"/>
  <c r="W48" i="20" s="1"/>
  <c r="V48" i="20" a="1"/>
  <c r="V48" i="20" s="1"/>
  <c r="U48" i="20" a="1"/>
  <c r="U48" i="20" s="1"/>
  <c r="T48" i="20" a="1"/>
  <c r="T48" i="20" s="1"/>
  <c r="S48" i="20" a="1"/>
  <c r="S48" i="20" s="1"/>
  <c r="R48" i="20" a="1"/>
  <c r="R48" i="20" s="1"/>
  <c r="Q48" i="20" a="1"/>
  <c r="Q48" i="20" s="1"/>
  <c r="P48" i="20" a="1"/>
  <c r="P48" i="20" s="1"/>
  <c r="O48" i="20" a="1"/>
  <c r="O48" i="20" s="1"/>
  <c r="N48" i="20" a="1"/>
  <c r="N48" i="20" s="1"/>
  <c r="M48" i="20" a="1"/>
  <c r="M48" i="20" s="1"/>
  <c r="L48" i="20" a="1"/>
  <c r="L48" i="20" s="1"/>
  <c r="K48" i="20" a="1"/>
  <c r="K48" i="20" s="1"/>
  <c r="J48" i="20" a="1"/>
  <c r="J48" i="20" s="1"/>
  <c r="I48" i="20" a="1"/>
  <c r="I48" i="20" s="1"/>
  <c r="AC47" i="20"/>
  <c r="AB47" i="20"/>
  <c r="AA47" i="20"/>
  <c r="Z47" i="20"/>
  <c r="Y47" i="20"/>
  <c r="X47" i="20"/>
  <c r="W47" i="20"/>
  <c r="V47" i="20"/>
  <c r="U47" i="20"/>
  <c r="T47" i="20"/>
  <c r="S47" i="20"/>
  <c r="S49" i="20" s="1"/>
  <c r="R47" i="20"/>
  <c r="Q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AC46" i="20"/>
  <c r="AB46" i="20"/>
  <c r="AA46" i="20"/>
  <c r="Z46" i="20"/>
  <c r="Y46" i="20"/>
  <c r="X46" i="20"/>
  <c r="W46" i="20"/>
  <c r="V46" i="20"/>
  <c r="U46" i="20"/>
  <c r="T46" i="20"/>
  <c r="S46" i="20"/>
  <c r="R46" i="20"/>
  <c r="Q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AC48" i="19" a="1"/>
  <c r="AC48" i="19" s="1"/>
  <c r="AB48" i="19" a="1"/>
  <c r="AB48" i="19" s="1"/>
  <c r="AA48" i="19" a="1"/>
  <c r="AA48" i="19" s="1"/>
  <c r="Z48" i="19" a="1"/>
  <c r="Z48" i="19" s="1"/>
  <c r="Y48" i="19" a="1"/>
  <c r="Y48" i="19" s="1"/>
  <c r="X48" i="19" a="1"/>
  <c r="X48" i="19" s="1"/>
  <c r="W48" i="19" a="1"/>
  <c r="W48" i="19" s="1"/>
  <c r="V48" i="19" a="1"/>
  <c r="V48" i="19" s="1"/>
  <c r="U48" i="19" a="1"/>
  <c r="U48" i="19" s="1"/>
  <c r="T48" i="19" a="1"/>
  <c r="T48" i="19" s="1"/>
  <c r="S48" i="19" a="1"/>
  <c r="S48" i="19" s="1"/>
  <c r="R48" i="19" a="1"/>
  <c r="R48" i="19" s="1"/>
  <c r="Q48" i="19" a="1"/>
  <c r="Q48" i="19" s="1"/>
  <c r="P48" i="19" a="1"/>
  <c r="P48" i="19" s="1"/>
  <c r="O48" i="19" a="1"/>
  <c r="O48" i="19" s="1"/>
  <c r="N48" i="19" a="1"/>
  <c r="N48" i="19" s="1"/>
  <c r="M48" i="19" a="1"/>
  <c r="M48" i="19" s="1"/>
  <c r="L48" i="19" a="1"/>
  <c r="L48" i="19" s="1"/>
  <c r="K48" i="19" a="1"/>
  <c r="K48" i="19" s="1"/>
  <c r="J48" i="19" a="1"/>
  <c r="J48" i="19" s="1"/>
  <c r="I48" i="19" a="1"/>
  <c r="I48" i="19" s="1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AC46" i="19"/>
  <c r="AB46" i="19"/>
  <c r="AA46" i="19"/>
  <c r="Z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L46" i="19"/>
  <c r="K46" i="19"/>
  <c r="J46" i="19"/>
  <c r="I46" i="19"/>
  <c r="H46" i="19"/>
  <c r="G46" i="19"/>
  <c r="F46" i="19"/>
  <c r="E46" i="19"/>
  <c r="D46" i="19"/>
  <c r="AC61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E61" i="34"/>
  <c r="D6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E31" i="34"/>
  <c r="D31" i="34"/>
  <c r="P16" i="34"/>
  <c r="P15" i="34"/>
  <c r="M15" i="34"/>
  <c r="M46" i="34" s="1"/>
  <c r="I15" i="34"/>
  <c r="I46" i="34" s="1"/>
  <c r="AC61" i="33"/>
  <c r="AB61" i="33"/>
  <c r="AA61" i="33"/>
  <c r="Z61" i="33"/>
  <c r="Y61" i="33"/>
  <c r="X61" i="33"/>
  <c r="W61" i="33"/>
  <c r="V61" i="33"/>
  <c r="U61" i="33"/>
  <c r="T61" i="33"/>
  <c r="S61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AC31" i="33"/>
  <c r="AB31" i="33"/>
  <c r="AA31" i="33"/>
  <c r="Z31" i="33"/>
  <c r="Y31" i="33"/>
  <c r="X31" i="33"/>
  <c r="W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G19" i="33"/>
  <c r="F19" i="33"/>
  <c r="E19" i="33"/>
  <c r="E28" i="35" s="1"/>
  <c r="D19" i="33"/>
  <c r="D28" i="35" s="1"/>
  <c r="G18" i="33"/>
  <c r="F18" i="33"/>
  <c r="E18" i="33"/>
  <c r="E27" i="35" s="1"/>
  <c r="D18" i="33"/>
  <c r="M15" i="33"/>
  <c r="M46" i="33" s="1"/>
  <c r="I15" i="33"/>
  <c r="I46" i="33" s="1"/>
  <c r="AC61" i="32"/>
  <c r="AB61" i="32"/>
  <c r="AA61" i="32"/>
  <c r="Z61" i="32"/>
  <c r="Y61" i="32"/>
  <c r="X61" i="32"/>
  <c r="W61" i="32"/>
  <c r="V61" i="32"/>
  <c r="U61" i="32"/>
  <c r="T61" i="32"/>
  <c r="S61" i="32"/>
  <c r="R61" i="32"/>
  <c r="Q61" i="32"/>
  <c r="P61" i="32"/>
  <c r="O61" i="32"/>
  <c r="N61" i="32"/>
  <c r="M61" i="32"/>
  <c r="L61" i="32"/>
  <c r="K61" i="32"/>
  <c r="J61" i="32"/>
  <c r="I61" i="32"/>
  <c r="H61" i="32"/>
  <c r="G61" i="32"/>
  <c r="F61" i="32"/>
  <c r="E61" i="32"/>
  <c r="D61" i="32"/>
  <c r="AC31" i="32"/>
  <c r="AB31" i="32"/>
  <c r="AA31" i="32"/>
  <c r="Z31" i="32"/>
  <c r="Y31" i="32"/>
  <c r="X31" i="32"/>
  <c r="W31" i="32"/>
  <c r="V31" i="32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D31" i="32"/>
  <c r="D19" i="32"/>
  <c r="D18" i="32"/>
  <c r="P15" i="32"/>
  <c r="P46" i="32" s="1"/>
  <c r="M15" i="32"/>
  <c r="M46" i="32" s="1"/>
  <c r="I15" i="32"/>
  <c r="I46" i="32" s="1"/>
  <c r="AC61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P61" i="31"/>
  <c r="O61" i="31"/>
  <c r="N61" i="31"/>
  <c r="M61" i="31"/>
  <c r="L61" i="31"/>
  <c r="K61" i="31"/>
  <c r="J61" i="31"/>
  <c r="I61" i="31"/>
  <c r="H61" i="31"/>
  <c r="G61" i="31"/>
  <c r="F61" i="31"/>
  <c r="E61" i="31"/>
  <c r="D61" i="31"/>
  <c r="M41" i="31"/>
  <c r="L39" i="31"/>
  <c r="L38" i="31"/>
  <c r="L36" i="31"/>
  <c r="L35" i="31"/>
  <c r="M34" i="31"/>
  <c r="L34" i="31"/>
  <c r="M33" i="31"/>
  <c r="AC31" i="31"/>
  <c r="AB31" i="31"/>
  <c r="AA31" i="31"/>
  <c r="Z31" i="31"/>
  <c r="Y31" i="31"/>
  <c r="X31" i="31"/>
  <c r="W31" i="31"/>
  <c r="V31" i="31"/>
  <c r="U31" i="31"/>
  <c r="T31" i="31"/>
  <c r="S31" i="31"/>
  <c r="R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P61" i="30"/>
  <c r="O61" i="30"/>
  <c r="N61" i="30"/>
  <c r="M61" i="30"/>
  <c r="L61" i="30"/>
  <c r="K61" i="30"/>
  <c r="J61" i="30"/>
  <c r="I61" i="30"/>
  <c r="H61" i="30"/>
  <c r="G61" i="30"/>
  <c r="F61" i="30"/>
  <c r="E61" i="30"/>
  <c r="D61" i="30"/>
  <c r="M41" i="30"/>
  <c r="M38" i="35" s="1"/>
  <c r="K41" i="30"/>
  <c r="K38" i="35" s="1"/>
  <c r="J41" i="30"/>
  <c r="J48" i="30" s="1" a="1"/>
  <c r="J48" i="30" s="1"/>
  <c r="L39" i="30"/>
  <c r="L38" i="30"/>
  <c r="L36" i="30"/>
  <c r="L35" i="30"/>
  <c r="M34" i="30"/>
  <c r="L34" i="30"/>
  <c r="M33" i="30"/>
  <c r="M48" i="30" s="1" a="1"/>
  <c r="M48" i="30" s="1"/>
  <c r="AC31" i="30"/>
  <c r="AB31" i="30"/>
  <c r="AA31" i="30"/>
  <c r="Z31" i="30"/>
  <c r="Y31" i="30"/>
  <c r="X31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M15" i="30"/>
  <c r="M46" i="30" s="1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P15" i="29"/>
  <c r="P46" i="29" s="1"/>
  <c r="M15" i="29"/>
  <c r="I15" i="29"/>
  <c r="I46" i="29" s="1"/>
  <c r="AC61" i="28"/>
  <c r="AB61" i="28"/>
  <c r="AA61" i="28"/>
  <c r="Z61" i="28"/>
  <c r="Y61" i="28"/>
  <c r="X61" i="28"/>
  <c r="W61" i="28"/>
  <c r="V61" i="28"/>
  <c r="U61" i="28"/>
  <c r="T61" i="28"/>
  <c r="S61" i="28"/>
  <c r="R61" i="28"/>
  <c r="Q61" i="28"/>
  <c r="P61" i="28"/>
  <c r="O61" i="28"/>
  <c r="N61" i="28"/>
  <c r="M61" i="28"/>
  <c r="L61" i="28"/>
  <c r="K61" i="28"/>
  <c r="J61" i="28"/>
  <c r="I61" i="28"/>
  <c r="H61" i="28"/>
  <c r="G61" i="28"/>
  <c r="F61" i="28"/>
  <c r="E61" i="28"/>
  <c r="D61" i="28"/>
  <c r="M41" i="28"/>
  <c r="L39" i="28"/>
  <c r="L38" i="28"/>
  <c r="L36" i="28"/>
  <c r="L35" i="28"/>
  <c r="L32" i="35" s="1"/>
  <c r="M34" i="28"/>
  <c r="L34" i="28"/>
  <c r="M33" i="28"/>
  <c r="M48" i="28" s="1" a="1"/>
  <c r="M48" i="28" s="1"/>
  <c r="AC31" i="28"/>
  <c r="AB31" i="28"/>
  <c r="AA31" i="28"/>
  <c r="Z31" i="28"/>
  <c r="Y31" i="28"/>
  <c r="X31" i="28"/>
  <c r="W31" i="28"/>
  <c r="V31" i="28"/>
  <c r="U31" i="28"/>
  <c r="T31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P15" i="28"/>
  <c r="P46" i="28" s="1"/>
  <c r="I15" i="28"/>
  <c r="I46" i="28" s="1"/>
  <c r="AC61" i="27"/>
  <c r="AB61" i="27"/>
  <c r="AA61" i="27"/>
  <c r="Z61" i="27"/>
  <c r="Y61" i="27"/>
  <c r="X61" i="27"/>
  <c r="W61" i="27"/>
  <c r="V61" i="27"/>
  <c r="U61" i="27"/>
  <c r="T61" i="27"/>
  <c r="S61" i="27"/>
  <c r="R61" i="27"/>
  <c r="Q61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AC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P15" i="27"/>
  <c r="M15" i="27"/>
  <c r="M46" i="27" s="1"/>
  <c r="I15" i="27"/>
  <c r="I46" i="27" s="1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AC61" i="25"/>
  <c r="AB61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AC31" i="25"/>
  <c r="AB31" i="25"/>
  <c r="AA31" i="25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P15" i="25"/>
  <c r="P46" i="25" s="1"/>
  <c r="M15" i="25"/>
  <c r="I15" i="25"/>
  <c r="AC61" i="24"/>
  <c r="AB61" i="24"/>
  <c r="AA61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AC31" i="24"/>
  <c r="AB31" i="24"/>
  <c r="AA31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P15" i="23"/>
  <c r="P46" i="23" s="1"/>
  <c r="M15" i="23"/>
  <c r="I15" i="23"/>
  <c r="I46" i="23" s="1"/>
  <c r="AC61" i="22"/>
  <c r="AB61" i="22"/>
  <c r="AA61" i="22"/>
  <c r="Z61" i="22"/>
  <c r="Y61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K61" i="22"/>
  <c r="J61" i="22"/>
  <c r="I61" i="22"/>
  <c r="H61" i="22"/>
  <c r="G61" i="22"/>
  <c r="F61" i="22"/>
  <c r="E61" i="22"/>
  <c r="D6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AC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F61" i="20"/>
  <c r="E61" i="20"/>
  <c r="D6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P16" i="20"/>
  <c r="P47" i="20" s="1"/>
  <c r="P15" i="20"/>
  <c r="P46" i="20" s="1"/>
  <c r="M15" i="20"/>
  <c r="I15" i="20"/>
  <c r="AC61" i="19"/>
  <c r="AB61" i="19"/>
  <c r="AA61" i="19"/>
  <c r="Z61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K61" i="19"/>
  <c r="J61" i="19"/>
  <c r="I61" i="19"/>
  <c r="H61" i="19"/>
  <c r="G61" i="19"/>
  <c r="F61" i="19"/>
  <c r="E61" i="19"/>
  <c r="D6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F19" i="19"/>
  <c r="F28" i="35" s="1"/>
  <c r="E19" i="19"/>
  <c r="D19" i="19"/>
  <c r="F18" i="19"/>
  <c r="E18" i="19"/>
  <c r="D18" i="19"/>
  <c r="P15" i="19"/>
  <c r="M15" i="19"/>
  <c r="M46" i="19" s="1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AA49" i="18"/>
  <c r="Z49" i="18"/>
  <c r="W49" i="18"/>
  <c r="V49" i="18"/>
  <c r="S49" i="18"/>
  <c r="R49" i="18"/>
  <c r="O49" i="18"/>
  <c r="N49" i="18"/>
  <c r="K49" i="18"/>
  <c r="J49" i="18"/>
  <c r="G49" i="18"/>
  <c r="F49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AC61" i="17"/>
  <c r="AB61" i="17"/>
  <c r="AA61" i="17"/>
  <c r="Z61" i="17"/>
  <c r="Y61" i="17"/>
  <c r="X61" i="17"/>
  <c r="W61" i="17"/>
  <c r="V61" i="17"/>
  <c r="U61" i="17"/>
  <c r="T61" i="17"/>
  <c r="S61" i="17"/>
  <c r="R61" i="17"/>
  <c r="Q61" i="17"/>
  <c r="P61" i="17"/>
  <c r="O61" i="17"/>
  <c r="N61" i="17"/>
  <c r="M61" i="17"/>
  <c r="L61" i="17"/>
  <c r="K61" i="17"/>
  <c r="J61" i="17"/>
  <c r="I61" i="17"/>
  <c r="H61" i="17"/>
  <c r="G61" i="17"/>
  <c r="F61" i="17"/>
  <c r="E61" i="17"/>
  <c r="D61" i="17"/>
  <c r="Y49" i="17"/>
  <c r="I49" i="17"/>
  <c r="M49" i="17"/>
  <c r="AC49" i="17"/>
  <c r="AA49" i="17"/>
  <c r="Z49" i="17"/>
  <c r="W49" i="17"/>
  <c r="V49" i="17"/>
  <c r="U49" i="17"/>
  <c r="S49" i="17"/>
  <c r="R49" i="17"/>
  <c r="Q49" i="17"/>
  <c r="O49" i="17"/>
  <c r="N49" i="17"/>
  <c r="K49" i="17"/>
  <c r="J49" i="17"/>
  <c r="G49" i="17"/>
  <c r="F49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AC61" i="16"/>
  <c r="AB61" i="16"/>
  <c r="AA61" i="16"/>
  <c r="Z61" i="16"/>
  <c r="Y61" i="16"/>
  <c r="X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K49" i="16"/>
  <c r="AA49" i="16"/>
  <c r="Z49" i="16"/>
  <c r="V49" i="16"/>
  <c r="R49" i="16"/>
  <c r="N49" i="16"/>
  <c r="J49" i="16"/>
  <c r="G49" i="16"/>
  <c r="F49" i="16"/>
  <c r="AC31" i="16"/>
  <c r="AB31" i="16"/>
  <c r="AA31" i="16"/>
  <c r="Z31" i="16"/>
  <c r="Y31" i="16"/>
  <c r="X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P15" i="16"/>
  <c r="M15" i="16"/>
  <c r="M46" i="16" s="1"/>
  <c r="I15" i="16"/>
  <c r="I46" i="16" s="1"/>
  <c r="AC61" i="15"/>
  <c r="AB61" i="15"/>
  <c r="AA61" i="15"/>
  <c r="Z61" i="15"/>
  <c r="Y61" i="15"/>
  <c r="X61" i="15"/>
  <c r="W61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E61" i="15"/>
  <c r="D61" i="15"/>
  <c r="AC49" i="15"/>
  <c r="AA49" i="15"/>
  <c r="Z49" i="15"/>
  <c r="Y49" i="15"/>
  <c r="W49" i="15"/>
  <c r="V49" i="15"/>
  <c r="U49" i="15"/>
  <c r="S49" i="15"/>
  <c r="R49" i="15"/>
  <c r="Q49" i="15"/>
  <c r="O49" i="15"/>
  <c r="N49" i="15"/>
  <c r="M49" i="15"/>
  <c r="K49" i="15"/>
  <c r="J49" i="15"/>
  <c r="I49" i="15"/>
  <c r="G49" i="15"/>
  <c r="F49" i="15"/>
  <c r="E49" i="15"/>
  <c r="AC31" i="15"/>
  <c r="AB31" i="15"/>
  <c r="AA31" i="15"/>
  <c r="Z31" i="15"/>
  <c r="Y31" i="15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AC61" i="14"/>
  <c r="AB61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D61" i="14"/>
  <c r="AC49" i="14"/>
  <c r="AB49" i="14"/>
  <c r="AA49" i="14"/>
  <c r="Z49" i="14"/>
  <c r="Y49" i="14"/>
  <c r="X49" i="14"/>
  <c r="W49" i="14"/>
  <c r="V49" i="14"/>
  <c r="U49" i="14"/>
  <c r="S49" i="14"/>
  <c r="R49" i="14"/>
  <c r="Q49" i="14"/>
  <c r="O49" i="14"/>
  <c r="N49" i="14"/>
  <c r="L49" i="14"/>
  <c r="K49" i="14"/>
  <c r="H49" i="14"/>
  <c r="G49" i="14"/>
  <c r="F49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P15" i="14"/>
  <c r="P46" i="14" s="1"/>
  <c r="P49" i="14" s="1"/>
  <c r="M15" i="14"/>
  <c r="AC61" i="13"/>
  <c r="AB61" i="13"/>
  <c r="AA61" i="13"/>
  <c r="Z61" i="13"/>
  <c r="Y61" i="13"/>
  <c r="X61" i="13"/>
  <c r="W61" i="13"/>
  <c r="V61" i="13"/>
  <c r="U61" i="13"/>
  <c r="T61" i="13"/>
  <c r="S61" i="13"/>
  <c r="R61" i="13"/>
  <c r="Q61" i="13"/>
  <c r="P61" i="13"/>
  <c r="N61" i="13"/>
  <c r="M61" i="13"/>
  <c r="L61" i="13"/>
  <c r="K61" i="13"/>
  <c r="J61" i="13"/>
  <c r="I61" i="13"/>
  <c r="H61" i="13"/>
  <c r="G61" i="13"/>
  <c r="F61" i="13"/>
  <c r="E61" i="13"/>
  <c r="D61" i="13"/>
  <c r="O56" i="13"/>
  <c r="O61" i="13" s="1"/>
  <c r="AC49" i="13"/>
  <c r="AB49" i="13"/>
  <c r="AA49" i="13"/>
  <c r="Y49" i="13"/>
  <c r="X49" i="13"/>
  <c r="W49" i="13"/>
  <c r="U49" i="13"/>
  <c r="T49" i="13"/>
  <c r="S49" i="13"/>
  <c r="Q49" i="13"/>
  <c r="P49" i="13"/>
  <c r="M49" i="13"/>
  <c r="L49" i="13"/>
  <c r="K49" i="13"/>
  <c r="I49" i="13"/>
  <c r="H49" i="13"/>
  <c r="AC31" i="13"/>
  <c r="AB31" i="13"/>
  <c r="AA31" i="13"/>
  <c r="Z31" i="13"/>
  <c r="Y31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AB49" i="12"/>
  <c r="AA49" i="12"/>
  <c r="Z49" i="12"/>
  <c r="W49" i="12"/>
  <c r="V49" i="12"/>
  <c r="T49" i="12"/>
  <c r="S49" i="12"/>
  <c r="R49" i="12"/>
  <c r="O49" i="12"/>
  <c r="N49" i="12"/>
  <c r="L49" i="12"/>
  <c r="K49" i="12"/>
  <c r="J49" i="12"/>
  <c r="G49" i="12"/>
  <c r="F49" i="12"/>
  <c r="D49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V49" i="11"/>
  <c r="Z49" i="11"/>
  <c r="J49" i="11"/>
  <c r="AB49" i="11"/>
  <c r="AA49" i="11"/>
  <c r="Y49" i="11"/>
  <c r="X49" i="11"/>
  <c r="W49" i="11"/>
  <c r="U49" i="11"/>
  <c r="T49" i="11"/>
  <c r="S49" i="11"/>
  <c r="R49" i="11"/>
  <c r="Q49" i="11"/>
  <c r="P49" i="11"/>
  <c r="O49" i="11"/>
  <c r="N49" i="11"/>
  <c r="M49" i="11"/>
  <c r="L49" i="11"/>
  <c r="K49" i="11"/>
  <c r="I49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AC49" i="10"/>
  <c r="U49" i="10"/>
  <c r="AB49" i="10"/>
  <c r="AA49" i="10"/>
  <c r="Z49" i="10"/>
  <c r="Y49" i="10"/>
  <c r="X49" i="10"/>
  <c r="W49" i="10"/>
  <c r="V49" i="10"/>
  <c r="T49" i="10"/>
  <c r="S49" i="10"/>
  <c r="R49" i="10"/>
  <c r="Q49" i="10"/>
  <c r="O49" i="10"/>
  <c r="N49" i="10"/>
  <c r="L49" i="10"/>
  <c r="K49" i="10"/>
  <c r="J49" i="10"/>
  <c r="H49" i="10"/>
  <c r="G49" i="10"/>
  <c r="F49" i="10"/>
  <c r="D49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P15" i="10"/>
  <c r="M15" i="10"/>
  <c r="M46" i="10" s="1"/>
  <c r="M49" i="10" s="1"/>
  <c r="I15" i="10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Z49" i="9"/>
  <c r="AC49" i="9"/>
  <c r="AA49" i="9"/>
  <c r="Y49" i="9"/>
  <c r="X49" i="9"/>
  <c r="W49" i="9"/>
  <c r="V49" i="9"/>
  <c r="U49" i="9"/>
  <c r="S49" i="9"/>
  <c r="R49" i="9"/>
  <c r="Q49" i="9"/>
  <c r="O49" i="9"/>
  <c r="N49" i="9"/>
  <c r="L49" i="9"/>
  <c r="J49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P15" i="9"/>
  <c r="M15" i="9"/>
  <c r="M46" i="9" s="1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AA49" i="8"/>
  <c r="W49" i="8"/>
  <c r="S49" i="8"/>
  <c r="AB49" i="8"/>
  <c r="Z49" i="8"/>
  <c r="X49" i="8"/>
  <c r="V49" i="8"/>
  <c r="T49" i="8"/>
  <c r="R49" i="8"/>
  <c r="O49" i="8"/>
  <c r="L49" i="8"/>
  <c r="K49" i="8"/>
  <c r="J49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G16" i="8"/>
  <c r="G47" i="8" s="1"/>
  <c r="F16" i="8"/>
  <c r="F47" i="8" s="1"/>
  <c r="E16" i="8"/>
  <c r="E47" i="8" s="1"/>
  <c r="P15" i="8"/>
  <c r="P46" i="8" s="1"/>
  <c r="M15" i="8"/>
  <c r="G15" i="8"/>
  <c r="G46" i="8" s="1"/>
  <c r="F15" i="8"/>
  <c r="F46" i="8" s="1"/>
  <c r="E15" i="8"/>
  <c r="E46" i="8" s="1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T49" i="7"/>
  <c r="AC49" i="7"/>
  <c r="AB49" i="7"/>
  <c r="AA49" i="7"/>
  <c r="Y49" i="7"/>
  <c r="X49" i="7"/>
  <c r="W49" i="7"/>
  <c r="U49" i="7"/>
  <c r="S49" i="7"/>
  <c r="Q49" i="7"/>
  <c r="P49" i="7"/>
  <c r="L49" i="7"/>
  <c r="K49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U49" i="6"/>
  <c r="AC49" i="6"/>
  <c r="AA49" i="6"/>
  <c r="Y49" i="6"/>
  <c r="X49" i="6"/>
  <c r="W49" i="6"/>
  <c r="S49" i="6"/>
  <c r="Q49" i="6"/>
  <c r="P49" i="6"/>
  <c r="O49" i="6"/>
  <c r="M49" i="6"/>
  <c r="K49" i="6"/>
  <c r="I49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AA49" i="5"/>
  <c r="W49" i="5"/>
  <c r="S49" i="5"/>
  <c r="O49" i="5"/>
  <c r="N49" i="5"/>
  <c r="J49" i="5"/>
  <c r="F49" i="5"/>
  <c r="P41" i="5"/>
  <c r="P38" i="35" s="1"/>
  <c r="P37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P15" i="5"/>
  <c r="P46" i="5" s="1"/>
  <c r="M15" i="5"/>
  <c r="M46" i="5" s="1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AB49" i="4"/>
  <c r="AA49" i="4"/>
  <c r="X49" i="4"/>
  <c r="W49" i="4"/>
  <c r="T49" i="4"/>
  <c r="S49" i="4"/>
  <c r="O49" i="4"/>
  <c r="L49" i="4"/>
  <c r="K49" i="4"/>
  <c r="H49" i="4"/>
  <c r="G49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P15" i="4"/>
  <c r="P46" i="4" s="1"/>
  <c r="P49" i="4" s="1"/>
  <c r="AC58" i="2"/>
  <c r="AC43" i="21" s="1"/>
  <c r="AB58" i="2"/>
  <c r="AB43" i="23" s="1"/>
  <c r="AA58" i="2"/>
  <c r="Z58" i="2"/>
  <c r="Y58" i="2"/>
  <c r="Y43" i="30" s="1"/>
  <c r="X58" i="2"/>
  <c r="X43" i="26" s="1"/>
  <c r="W58" i="2"/>
  <c r="W43" i="28" s="1"/>
  <c r="V58" i="2"/>
  <c r="V43" i="25" s="1"/>
  <c r="U58" i="2"/>
  <c r="T58" i="2"/>
  <c r="T43" i="29" s="1"/>
  <c r="S58" i="2"/>
  <c r="R58" i="2"/>
  <c r="Q58" i="2"/>
  <c r="Q43" i="20" s="1"/>
  <c r="P58" i="2"/>
  <c r="P43" i="19" s="1"/>
  <c r="O58" i="2"/>
  <c r="O43" i="19" s="1"/>
  <c r="N58" i="2"/>
  <c r="N43" i="20" s="1"/>
  <c r="M58" i="2"/>
  <c r="L58" i="2"/>
  <c r="L43" i="27" s="1"/>
  <c r="K58" i="2"/>
  <c r="J58" i="2"/>
  <c r="I58" i="2"/>
  <c r="I43" i="33" s="1"/>
  <c r="H58" i="2"/>
  <c r="H43" i="24" s="1"/>
  <c r="G58" i="2"/>
  <c r="G43" i="28" s="1"/>
  <c r="F58" i="2"/>
  <c r="F43" i="25" s="1"/>
  <c r="E58" i="2"/>
  <c r="D58" i="2"/>
  <c r="D53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P48" i="5" l="1" a="1"/>
  <c r="P48" i="5" s="1"/>
  <c r="P34" i="35"/>
  <c r="M46" i="8"/>
  <c r="M49" i="8" s="1"/>
  <c r="M50" i="8" s="1"/>
  <c r="M62" i="8" s="1"/>
  <c r="G23" i="35"/>
  <c r="H14" i="1" s="1"/>
  <c r="E23" i="35"/>
  <c r="F14" i="1" s="1"/>
  <c r="F23" i="35"/>
  <c r="G14" i="1" s="1"/>
  <c r="P46" i="9"/>
  <c r="P49" i="9" s="1"/>
  <c r="P50" i="9" s="1"/>
  <c r="P62" i="9" s="1"/>
  <c r="P46" i="10"/>
  <c r="P49" i="10" s="1"/>
  <c r="P50" i="10" s="1"/>
  <c r="P62" i="10" s="1"/>
  <c r="I46" i="10"/>
  <c r="I43" i="35" s="1"/>
  <c r="M46" i="14"/>
  <c r="M49" i="14" s="1"/>
  <c r="M50" i="14" s="1"/>
  <c r="M62" i="14" s="1"/>
  <c r="P49" i="16"/>
  <c r="P46" i="16"/>
  <c r="F27" i="35"/>
  <c r="P23" i="35"/>
  <c r="Q14" i="1" s="1"/>
  <c r="S49" i="23"/>
  <c r="Q49" i="24"/>
  <c r="AC49" i="25"/>
  <c r="V49" i="26"/>
  <c r="R49" i="26"/>
  <c r="U49" i="27"/>
  <c r="T49" i="27"/>
  <c r="M31" i="35"/>
  <c r="N20" i="1" s="1"/>
  <c r="M30" i="35"/>
  <c r="N19" i="1" s="1"/>
  <c r="L33" i="35"/>
  <c r="L31" i="35"/>
  <c r="P21" i="35"/>
  <c r="P22" i="35" s="1"/>
  <c r="R49" i="29"/>
  <c r="L35" i="35"/>
  <c r="L36" i="35"/>
  <c r="G17" i="35"/>
  <c r="H8" i="1" s="1"/>
  <c r="K17" i="35"/>
  <c r="L8" i="1" s="1"/>
  <c r="O17" i="35"/>
  <c r="P8" i="1" s="1"/>
  <c r="J38" i="35"/>
  <c r="K20" i="1" s="1"/>
  <c r="M48" i="31" a="1"/>
  <c r="M48" i="31" s="1"/>
  <c r="P47" i="34"/>
  <c r="I21" i="35"/>
  <c r="I22" i="35" s="1"/>
  <c r="M21" i="35"/>
  <c r="M22" i="35" s="1"/>
  <c r="P46" i="34"/>
  <c r="P43" i="35" s="1"/>
  <c r="D17" i="35"/>
  <c r="E8" i="1" s="1"/>
  <c r="L17" i="35"/>
  <c r="M8" i="1" s="1"/>
  <c r="E17" i="35"/>
  <c r="F8" i="1" s="1"/>
  <c r="I17" i="35"/>
  <c r="J8" i="1" s="1"/>
  <c r="M17" i="35"/>
  <c r="N8" i="1" s="1"/>
  <c r="H17" i="35"/>
  <c r="I8" i="1" s="1"/>
  <c r="P17" i="35"/>
  <c r="Q8" i="1" s="1"/>
  <c r="F17" i="35"/>
  <c r="G8" i="1" s="1"/>
  <c r="J17" i="35"/>
  <c r="K8" i="1" s="1"/>
  <c r="N17" i="35"/>
  <c r="O8" i="1" s="1"/>
  <c r="Q20" i="1"/>
  <c r="K19" i="35"/>
  <c r="L5" i="1" s="1"/>
  <c r="L6" i="1"/>
  <c r="L26" i="1" s="1"/>
  <c r="H44" i="35"/>
  <c r="I18" i="1" s="1"/>
  <c r="I16" i="1"/>
  <c r="D19" i="35"/>
  <c r="E5" i="1" s="1"/>
  <c r="E6" i="1"/>
  <c r="E26" i="1" s="1"/>
  <c r="L19" i="35"/>
  <c r="M5" i="1" s="1"/>
  <c r="M6" i="1"/>
  <c r="M26" i="1" s="1"/>
  <c r="E44" i="35"/>
  <c r="F18" i="1" s="1"/>
  <c r="F16" i="1"/>
  <c r="O19" i="35"/>
  <c r="P5" i="1" s="1"/>
  <c r="P6" i="1"/>
  <c r="P26" i="1" s="1"/>
  <c r="L44" i="35"/>
  <c r="M18" i="1" s="1"/>
  <c r="M16" i="1"/>
  <c r="H19" i="35"/>
  <c r="I5" i="1" s="1"/>
  <c r="I6" i="1"/>
  <c r="I26" i="1" s="1"/>
  <c r="J20" i="1"/>
  <c r="E19" i="35"/>
  <c r="F5" i="1" s="1"/>
  <c r="F6" i="1"/>
  <c r="I19" i="35"/>
  <c r="J5" i="1" s="1"/>
  <c r="J6" i="1"/>
  <c r="J26" i="1" s="1"/>
  <c r="M19" i="35"/>
  <c r="N5" i="1" s="1"/>
  <c r="N6" i="1"/>
  <c r="N26" i="1" s="1"/>
  <c r="F44" i="35"/>
  <c r="G18" i="1" s="1"/>
  <c r="G16" i="1"/>
  <c r="J44" i="35"/>
  <c r="K18" i="1" s="1"/>
  <c r="K16" i="1"/>
  <c r="N44" i="35"/>
  <c r="O18" i="1" s="1"/>
  <c r="O16" i="1"/>
  <c r="O20" i="1"/>
  <c r="G19" i="35"/>
  <c r="H5" i="1" s="1"/>
  <c r="H6" i="1"/>
  <c r="D44" i="35"/>
  <c r="E18" i="1" s="1"/>
  <c r="E16" i="1"/>
  <c r="P19" i="35"/>
  <c r="Q5" i="1" s="1"/>
  <c r="Q6" i="1"/>
  <c r="F19" i="35"/>
  <c r="G5" i="1" s="1"/>
  <c r="G6" i="1"/>
  <c r="J19" i="35"/>
  <c r="K5" i="1" s="1"/>
  <c r="K6" i="1"/>
  <c r="K26" i="1" s="1"/>
  <c r="N19" i="35"/>
  <c r="O5" i="1" s="1"/>
  <c r="O6" i="1"/>
  <c r="O26" i="1" s="1"/>
  <c r="G44" i="35"/>
  <c r="H18" i="1" s="1"/>
  <c r="H16" i="1"/>
  <c r="K44" i="35"/>
  <c r="L18" i="1" s="1"/>
  <c r="L16" i="1"/>
  <c r="O44" i="35"/>
  <c r="P18" i="1" s="1"/>
  <c r="P16" i="1"/>
  <c r="L20" i="1"/>
  <c r="P20" i="1"/>
  <c r="G60" i="35"/>
  <c r="N60" i="35"/>
  <c r="F60" i="35"/>
  <c r="J60" i="35"/>
  <c r="K60" i="35"/>
  <c r="O60" i="35"/>
  <c r="I49" i="24"/>
  <c r="AB49" i="6"/>
  <c r="T49" i="9"/>
  <c r="AB49" i="9"/>
  <c r="J49" i="14"/>
  <c r="T49" i="6"/>
  <c r="E49" i="10"/>
  <c r="E50" i="10" s="1"/>
  <c r="E62" i="10" s="1"/>
  <c r="L49" i="6"/>
  <c r="L50" i="6" s="1"/>
  <c r="L62" i="6" s="1"/>
  <c r="O49" i="13"/>
  <c r="S49" i="16"/>
  <c r="Q49" i="21"/>
  <c r="AC49" i="32"/>
  <c r="W49" i="34"/>
  <c r="U49" i="21"/>
  <c r="S49" i="29"/>
  <c r="G49" i="31"/>
  <c r="K49" i="31"/>
  <c r="S49" i="31"/>
  <c r="G49" i="34"/>
  <c r="D17" i="2"/>
  <c r="H17" i="2"/>
  <c r="L17" i="2"/>
  <c r="P17" i="2"/>
  <c r="T17" i="2"/>
  <c r="X17" i="2"/>
  <c r="AB17" i="2"/>
  <c r="H44" i="24"/>
  <c r="H45" i="24" s="1"/>
  <c r="Z49" i="20"/>
  <c r="J49" i="29"/>
  <c r="R49" i="30"/>
  <c r="J49" i="31"/>
  <c r="Z49" i="31"/>
  <c r="V49" i="31"/>
  <c r="R49" i="20"/>
  <c r="I49" i="28"/>
  <c r="U49" i="32"/>
  <c r="K49" i="34"/>
  <c r="O49" i="34"/>
  <c r="S49" i="34"/>
  <c r="V49" i="29"/>
  <c r="Y43" i="20"/>
  <c r="Y44" i="20" s="1"/>
  <c r="Y45" i="20" s="1"/>
  <c r="K49" i="20"/>
  <c r="AB49" i="26"/>
  <c r="P49" i="31"/>
  <c r="T44" i="29"/>
  <c r="T45" i="29" s="1"/>
  <c r="X44" i="26"/>
  <c r="X45" i="26" s="1"/>
  <c r="N49" i="24"/>
  <c r="Z49" i="24"/>
  <c r="M49" i="25"/>
  <c r="D49" i="29"/>
  <c r="R49" i="32"/>
  <c r="Z49" i="32"/>
  <c r="U49" i="23"/>
  <c r="K49" i="32"/>
  <c r="W49" i="32"/>
  <c r="AB49" i="25"/>
  <c r="T49" i="31"/>
  <c r="O44" i="19"/>
  <c r="O45" i="19" s="1"/>
  <c r="I43" i="19"/>
  <c r="I44" i="19" s="1"/>
  <c r="I45" i="19" s="1"/>
  <c r="O43" i="35"/>
  <c r="M49" i="24"/>
  <c r="U49" i="24"/>
  <c r="I49" i="25"/>
  <c r="Q49" i="25"/>
  <c r="Y49" i="25"/>
  <c r="V49" i="27"/>
  <c r="D49" i="27"/>
  <c r="H49" i="27"/>
  <c r="L49" i="27"/>
  <c r="X49" i="27"/>
  <c r="AB49" i="27"/>
  <c r="H49" i="28"/>
  <c r="F49" i="29"/>
  <c r="N49" i="29"/>
  <c r="I43" i="31"/>
  <c r="I44" i="31" s="1"/>
  <c r="I45" i="31" s="1"/>
  <c r="AB49" i="31"/>
  <c r="AB44" i="23"/>
  <c r="AB45" i="23" s="1"/>
  <c r="L43" i="21"/>
  <c r="L44" i="21" s="1"/>
  <c r="L45" i="21" s="1"/>
  <c r="Z49" i="21"/>
  <c r="AC49" i="21"/>
  <c r="U49" i="22"/>
  <c r="Y49" i="22"/>
  <c r="Y49" i="23"/>
  <c r="W49" i="23"/>
  <c r="AA49" i="23"/>
  <c r="J49" i="24"/>
  <c r="V49" i="24"/>
  <c r="L49" i="25"/>
  <c r="AC43" i="26"/>
  <c r="AC44" i="26" s="1"/>
  <c r="AC45" i="26" s="1"/>
  <c r="U49" i="26"/>
  <c r="Y49" i="26"/>
  <c r="J49" i="26"/>
  <c r="N49" i="26"/>
  <c r="T43" i="27"/>
  <c r="T44" i="27" s="1"/>
  <c r="T45" i="27" s="1"/>
  <c r="T50" i="27" s="1"/>
  <c r="T62" i="27" s="1"/>
  <c r="O49" i="27"/>
  <c r="S49" i="27"/>
  <c r="W49" i="27"/>
  <c r="AA49" i="27"/>
  <c r="Q49" i="27"/>
  <c r="Y49" i="27"/>
  <c r="AC49" i="27"/>
  <c r="X43" i="28"/>
  <c r="X44" i="28" s="1"/>
  <c r="X45" i="28" s="1"/>
  <c r="G49" i="28"/>
  <c r="K49" i="28"/>
  <c r="O49" i="28"/>
  <c r="E49" i="28"/>
  <c r="Q49" i="28"/>
  <c r="Y49" i="28"/>
  <c r="AC49" i="28"/>
  <c r="K49" i="29"/>
  <c r="E49" i="29"/>
  <c r="Z49" i="29"/>
  <c r="I43" i="30"/>
  <c r="I44" i="30" s="1"/>
  <c r="I45" i="30" s="1"/>
  <c r="F49" i="30"/>
  <c r="V49" i="30"/>
  <c r="T49" i="30"/>
  <c r="X49" i="30"/>
  <c r="AB49" i="30"/>
  <c r="D49" i="31"/>
  <c r="O49" i="32"/>
  <c r="M49" i="32"/>
  <c r="Y49" i="32"/>
  <c r="O49" i="33"/>
  <c r="F49" i="34"/>
  <c r="J49" i="34"/>
  <c r="N49" i="34"/>
  <c r="R49" i="34"/>
  <c r="V49" i="34"/>
  <c r="Z49" i="34"/>
  <c r="D49" i="34"/>
  <c r="H49" i="34"/>
  <c r="T49" i="34"/>
  <c r="X49" i="34"/>
  <c r="AB49" i="34"/>
  <c r="T49" i="20"/>
  <c r="W49" i="20"/>
  <c r="W50" i="20" s="1"/>
  <c r="W62" i="20" s="1"/>
  <c r="Y43" i="21"/>
  <c r="Y44" i="21" s="1"/>
  <c r="Y45" i="21" s="1"/>
  <c r="X43" i="24"/>
  <c r="X44" i="24" s="1"/>
  <c r="X45" i="24" s="1"/>
  <c r="Y49" i="24"/>
  <c r="AC49" i="24"/>
  <c r="L49" i="26"/>
  <c r="T49" i="26"/>
  <c r="X49" i="26"/>
  <c r="F49" i="26"/>
  <c r="X49" i="29"/>
  <c r="AB49" i="29"/>
  <c r="T49" i="29"/>
  <c r="G49" i="30"/>
  <c r="W49" i="31"/>
  <c r="AA49" i="31"/>
  <c r="F49" i="32"/>
  <c r="N49" i="32"/>
  <c r="V49" i="32"/>
  <c r="J49" i="33"/>
  <c r="N49" i="33"/>
  <c r="R49" i="33"/>
  <c r="V49" i="33"/>
  <c r="Z49" i="33"/>
  <c r="T49" i="32"/>
  <c r="AA49" i="20"/>
  <c r="E43" i="21"/>
  <c r="E44" i="21" s="1"/>
  <c r="E45" i="21" s="1"/>
  <c r="E43" i="19"/>
  <c r="E44" i="19" s="1"/>
  <c r="E43" i="26"/>
  <c r="I43" i="26"/>
  <c r="I44" i="26" s="1"/>
  <c r="I45" i="26" s="1"/>
  <c r="I43" i="25"/>
  <c r="I44" i="25" s="1"/>
  <c r="I45" i="25" s="1"/>
  <c r="I43" i="24"/>
  <c r="I44" i="24" s="1"/>
  <c r="I45" i="24" s="1"/>
  <c r="I50" i="24" s="1"/>
  <c r="I62" i="24" s="1"/>
  <c r="I43" i="20"/>
  <c r="I44" i="20" s="1"/>
  <c r="I45" i="20" s="1"/>
  <c r="M43" i="21"/>
  <c r="M44" i="21" s="1"/>
  <c r="M45" i="21" s="1"/>
  <c r="M43" i="22"/>
  <c r="M44" i="22" s="1"/>
  <c r="M45" i="22" s="1"/>
  <c r="Q43" i="31"/>
  <c r="Q44" i="31" s="1"/>
  <c r="Q45" i="31" s="1"/>
  <c r="Q43" i="32"/>
  <c r="Q44" i="32" s="1"/>
  <c r="Q45" i="32" s="1"/>
  <c r="Q43" i="21"/>
  <c r="Q44" i="21" s="1"/>
  <c r="Q45" i="21" s="1"/>
  <c r="Q50" i="21" s="1"/>
  <c r="Q62" i="21" s="1"/>
  <c r="U43" i="21"/>
  <c r="U44" i="21" s="1"/>
  <c r="U45" i="21" s="1"/>
  <c r="U43" i="22"/>
  <c r="U44" i="22" s="1"/>
  <c r="U45" i="22" s="1"/>
  <c r="U43" i="19"/>
  <c r="U44" i="19" s="1"/>
  <c r="U43" i="26"/>
  <c r="U44" i="26" s="1"/>
  <c r="U45" i="26" s="1"/>
  <c r="Y43" i="26"/>
  <c r="Y44" i="26" s="1"/>
  <c r="Y45" i="26" s="1"/>
  <c r="Y43" i="31"/>
  <c r="Y44" i="31" s="1"/>
  <c r="Y45" i="31" s="1"/>
  <c r="Y43" i="25"/>
  <c r="Y44" i="25" s="1"/>
  <c r="Y45" i="25" s="1"/>
  <c r="Y43" i="24"/>
  <c r="Y44" i="24" s="1"/>
  <c r="Y45" i="24" s="1"/>
  <c r="AC44" i="21"/>
  <c r="AC45" i="21" s="1"/>
  <c r="I49" i="32"/>
  <c r="Y43" i="19"/>
  <c r="Y44" i="19" s="1"/>
  <c r="G43" i="35"/>
  <c r="K43" i="35"/>
  <c r="E45" i="35"/>
  <c r="F15" i="1" s="1"/>
  <c r="I45" i="35"/>
  <c r="J15" i="1" s="1"/>
  <c r="M45" i="35"/>
  <c r="N15" i="1" s="1"/>
  <c r="P46" i="35"/>
  <c r="Q21" i="1" s="1"/>
  <c r="AB43" i="21"/>
  <c r="AB44" i="21" s="1"/>
  <c r="AB45" i="21" s="1"/>
  <c r="I49" i="21"/>
  <c r="M49" i="21"/>
  <c r="Y49" i="21"/>
  <c r="E43" i="22"/>
  <c r="E44" i="22" s="1"/>
  <c r="E45" i="22" s="1"/>
  <c r="L43" i="23"/>
  <c r="L44" i="23" s="1"/>
  <c r="L45" i="23" s="1"/>
  <c r="R49" i="24"/>
  <c r="Q43" i="25"/>
  <c r="Q44" i="25" s="1"/>
  <c r="Q45" i="25" s="1"/>
  <c r="T49" i="25"/>
  <c r="M43" i="26"/>
  <c r="M44" i="26" s="1"/>
  <c r="M45" i="26" s="1"/>
  <c r="W49" i="29"/>
  <c r="AA49" i="29"/>
  <c r="Q49" i="29"/>
  <c r="H49" i="31"/>
  <c r="X49" i="31"/>
  <c r="N49" i="31"/>
  <c r="R49" i="31"/>
  <c r="X49" i="33"/>
  <c r="U49" i="28"/>
  <c r="N49" i="30"/>
  <c r="D43" i="33"/>
  <c r="D44" i="33" s="1"/>
  <c r="D45" i="33" s="1"/>
  <c r="D43" i="29"/>
  <c r="D44" i="29" s="1"/>
  <c r="D45" i="29" s="1"/>
  <c r="D50" i="29" s="1"/>
  <c r="D62" i="29" s="1"/>
  <c r="D43" i="23"/>
  <c r="D44" i="23" s="1"/>
  <c r="D45" i="23" s="1"/>
  <c r="D43" i="21"/>
  <c r="D44" i="21" s="1"/>
  <c r="D45" i="21" s="1"/>
  <c r="D43" i="27"/>
  <c r="D44" i="27" s="1"/>
  <c r="D45" i="27" s="1"/>
  <c r="D43" i="19"/>
  <c r="D44" i="19" s="1"/>
  <c r="D45" i="19" s="1"/>
  <c r="H43" i="26"/>
  <c r="H44" i="26" s="1"/>
  <c r="H45" i="26" s="1"/>
  <c r="H43" i="28"/>
  <c r="H44" i="28" s="1"/>
  <c r="H45" i="28" s="1"/>
  <c r="P43" i="28"/>
  <c r="P44" i="28" s="1"/>
  <c r="P45" i="28" s="1"/>
  <c r="P43" i="24"/>
  <c r="P44" i="24" s="1"/>
  <c r="P45" i="24" s="1"/>
  <c r="P43" i="31"/>
  <c r="P44" i="31" s="1"/>
  <c r="P45" i="31" s="1"/>
  <c r="T43" i="21"/>
  <c r="T44" i="21" s="1"/>
  <c r="T45" i="21" s="1"/>
  <c r="T43" i="19"/>
  <c r="T44" i="19" s="1"/>
  <c r="O49" i="20"/>
  <c r="U49" i="25"/>
  <c r="AB43" i="27"/>
  <c r="AB44" i="27" s="1"/>
  <c r="AB45" i="27" s="1"/>
  <c r="Z49" i="30"/>
  <c r="G17" i="2"/>
  <c r="K17" i="2"/>
  <c r="O17" i="2"/>
  <c r="S17" i="2"/>
  <c r="W17" i="2"/>
  <c r="AA17" i="2"/>
  <c r="N44" i="20"/>
  <c r="N45" i="20" s="1"/>
  <c r="I49" i="29"/>
  <c r="I43" i="21"/>
  <c r="I44" i="21" s="1"/>
  <c r="I45" i="21" s="1"/>
  <c r="I50" i="21" s="1"/>
  <c r="I62" i="21" s="1"/>
  <c r="AC43" i="22"/>
  <c r="AC44" i="22" s="1"/>
  <c r="AC45" i="22" s="1"/>
  <c r="AC50" i="22" s="1"/>
  <c r="AC62" i="22" s="1"/>
  <c r="T43" i="23"/>
  <c r="T44" i="23" s="1"/>
  <c r="T45" i="23" s="1"/>
  <c r="Q43" i="24"/>
  <c r="Q44" i="24" s="1"/>
  <c r="Q45" i="24" s="1"/>
  <c r="Q50" i="24" s="1"/>
  <c r="Q62" i="24" s="1"/>
  <c r="P43" i="26"/>
  <c r="P44" i="26" s="1"/>
  <c r="P45" i="26" s="1"/>
  <c r="X49" i="28"/>
  <c r="AB49" i="28"/>
  <c r="H49" i="30"/>
  <c r="U43" i="32"/>
  <c r="U44" i="32" s="1"/>
  <c r="U45" i="32" s="1"/>
  <c r="E49" i="32"/>
  <c r="Q49" i="32"/>
  <c r="P49" i="25"/>
  <c r="P49" i="27"/>
  <c r="I49" i="33"/>
  <c r="L49" i="20"/>
  <c r="X49" i="20"/>
  <c r="J49" i="20"/>
  <c r="J49" i="21"/>
  <c r="R49" i="21"/>
  <c r="Z49" i="26"/>
  <c r="I49" i="23"/>
  <c r="P49" i="29"/>
  <c r="K46" i="35"/>
  <c r="L21" i="1" s="1"/>
  <c r="O46" i="35"/>
  <c r="P21" i="1" s="1"/>
  <c r="F49" i="22"/>
  <c r="J49" i="22"/>
  <c r="N49" i="22"/>
  <c r="R49" i="22"/>
  <c r="Z49" i="22"/>
  <c r="H49" i="23"/>
  <c r="L49" i="23"/>
  <c r="F49" i="23"/>
  <c r="J49" i="23"/>
  <c r="N49" i="23"/>
  <c r="R49" i="23"/>
  <c r="Z49" i="23"/>
  <c r="P49" i="26"/>
  <c r="K49" i="27"/>
  <c r="H49" i="29"/>
  <c r="L49" i="29"/>
  <c r="O49" i="30"/>
  <c r="S49" i="30"/>
  <c r="W49" i="30"/>
  <c r="AA49" i="30"/>
  <c r="D49" i="30"/>
  <c r="P49" i="30"/>
  <c r="AA49" i="32"/>
  <c r="P49" i="23"/>
  <c r="F43" i="33"/>
  <c r="F44" i="33" s="1"/>
  <c r="F45" i="33" s="1"/>
  <c r="F43" i="29"/>
  <c r="F44" i="29" s="1"/>
  <c r="F45" i="29" s="1"/>
  <c r="F43" i="31"/>
  <c r="F44" i="31" s="1"/>
  <c r="F45" i="31" s="1"/>
  <c r="F43" i="28"/>
  <c r="F44" i="28" s="1"/>
  <c r="F45" i="28" s="1"/>
  <c r="F43" i="27"/>
  <c r="F44" i="27" s="1"/>
  <c r="F45" i="27" s="1"/>
  <c r="F43" i="23"/>
  <c r="F44" i="23" s="1"/>
  <c r="F45" i="23" s="1"/>
  <c r="F43" i="34"/>
  <c r="F44" i="34" s="1"/>
  <c r="F45" i="34" s="1"/>
  <c r="F43" i="26"/>
  <c r="F44" i="26" s="1"/>
  <c r="F45" i="26" s="1"/>
  <c r="F43" i="24"/>
  <c r="F44" i="24" s="1"/>
  <c r="F45" i="24" s="1"/>
  <c r="F43" i="21"/>
  <c r="F44" i="21" s="1"/>
  <c r="F45" i="21" s="1"/>
  <c r="F43" i="19"/>
  <c r="F44" i="19" s="1"/>
  <c r="F43" i="30"/>
  <c r="F44" i="30" s="1"/>
  <c r="F45" i="30" s="1"/>
  <c r="F43" i="22"/>
  <c r="F44" i="22" s="1"/>
  <c r="F45" i="22" s="1"/>
  <c r="F43" i="32"/>
  <c r="F44" i="32" s="1"/>
  <c r="F45" i="32" s="1"/>
  <c r="J43" i="33"/>
  <c r="J44" i="33" s="1"/>
  <c r="J45" i="33" s="1"/>
  <c r="J43" i="34"/>
  <c r="J44" i="34" s="1"/>
  <c r="J45" i="34" s="1"/>
  <c r="J50" i="34" s="1"/>
  <c r="J62" i="34" s="1"/>
  <c r="J43" i="29"/>
  <c r="J44" i="29" s="1"/>
  <c r="J45" i="29" s="1"/>
  <c r="J43" i="31"/>
  <c r="J44" i="31" s="1"/>
  <c r="J45" i="31" s="1"/>
  <c r="J50" i="31" s="1"/>
  <c r="J62" i="31" s="1"/>
  <c r="J43" i="28"/>
  <c r="J44" i="28" s="1"/>
  <c r="J45" i="28" s="1"/>
  <c r="J43" i="27"/>
  <c r="J44" i="27" s="1"/>
  <c r="J45" i="27" s="1"/>
  <c r="J43" i="23"/>
  <c r="J44" i="23" s="1"/>
  <c r="J45" i="23" s="1"/>
  <c r="J43" i="30"/>
  <c r="J44" i="30" s="1"/>
  <c r="J45" i="30" s="1"/>
  <c r="J43" i="26"/>
  <c r="J44" i="26" s="1"/>
  <c r="J45" i="26" s="1"/>
  <c r="J50" i="26" s="1"/>
  <c r="J62" i="26" s="1"/>
  <c r="J43" i="24"/>
  <c r="J44" i="24" s="1"/>
  <c r="J45" i="24" s="1"/>
  <c r="J43" i="21"/>
  <c r="J44" i="21" s="1"/>
  <c r="J45" i="21" s="1"/>
  <c r="J43" i="19"/>
  <c r="J44" i="19" s="1"/>
  <c r="J43" i="32"/>
  <c r="J44" i="32" s="1"/>
  <c r="J45" i="32" s="1"/>
  <c r="J43" i="22"/>
  <c r="J44" i="22" s="1"/>
  <c r="J45" i="22" s="1"/>
  <c r="J43" i="25"/>
  <c r="J44" i="25" s="1"/>
  <c r="J45" i="25" s="1"/>
  <c r="J43" i="20"/>
  <c r="J44" i="20" s="1"/>
  <c r="J45" i="20" s="1"/>
  <c r="N43" i="33"/>
  <c r="N44" i="33" s="1"/>
  <c r="N45" i="33" s="1"/>
  <c r="N43" i="32"/>
  <c r="N44" i="32" s="1"/>
  <c r="N45" i="32" s="1"/>
  <c r="N43" i="29"/>
  <c r="N44" i="29" s="1"/>
  <c r="N45" i="29" s="1"/>
  <c r="N43" i="31"/>
  <c r="N44" i="31" s="1"/>
  <c r="N45" i="31" s="1"/>
  <c r="N43" i="28"/>
  <c r="N44" i="28" s="1"/>
  <c r="N45" i="28" s="1"/>
  <c r="N43" i="27"/>
  <c r="N44" i="27" s="1"/>
  <c r="N45" i="27" s="1"/>
  <c r="N50" i="27" s="1"/>
  <c r="N62" i="27" s="1"/>
  <c r="N43" i="23"/>
  <c r="N44" i="23" s="1"/>
  <c r="N45" i="23" s="1"/>
  <c r="N43" i="26"/>
  <c r="N44" i="26" s="1"/>
  <c r="N45" i="26" s="1"/>
  <c r="N43" i="24"/>
  <c r="N44" i="24" s="1"/>
  <c r="N45" i="24" s="1"/>
  <c r="N43" i="21"/>
  <c r="N43" i="19"/>
  <c r="N44" i="19" s="1"/>
  <c r="N43" i="34"/>
  <c r="N44" i="34" s="1"/>
  <c r="N45" i="34" s="1"/>
  <c r="N43" i="30"/>
  <c r="N44" i="30" s="1"/>
  <c r="N45" i="30" s="1"/>
  <c r="N50" i="30" s="1"/>
  <c r="N62" i="30" s="1"/>
  <c r="N43" i="22"/>
  <c r="N44" i="22" s="1"/>
  <c r="N45" i="22" s="1"/>
  <c r="R43" i="33"/>
  <c r="R44" i="33" s="1"/>
  <c r="R45" i="33" s="1"/>
  <c r="R43" i="34"/>
  <c r="R44" i="34" s="1"/>
  <c r="R45" i="34" s="1"/>
  <c r="R43" i="29"/>
  <c r="R44" i="29" s="1"/>
  <c r="R45" i="29" s="1"/>
  <c r="R50" i="29" s="1"/>
  <c r="R62" i="29" s="1"/>
  <c r="R43" i="32"/>
  <c r="R44" i="32" s="1"/>
  <c r="R45" i="32" s="1"/>
  <c r="R43" i="31"/>
  <c r="R44" i="31" s="1"/>
  <c r="R45" i="31" s="1"/>
  <c r="R43" i="28"/>
  <c r="R44" i="28" s="1"/>
  <c r="R45" i="28" s="1"/>
  <c r="R43" i="27"/>
  <c r="R44" i="27" s="1"/>
  <c r="R45" i="27" s="1"/>
  <c r="R43" i="23"/>
  <c r="R44" i="23" s="1"/>
  <c r="R45" i="23" s="1"/>
  <c r="R43" i="30"/>
  <c r="R44" i="30" s="1"/>
  <c r="R45" i="30" s="1"/>
  <c r="R43" i="26"/>
  <c r="R44" i="26" s="1"/>
  <c r="R45" i="26" s="1"/>
  <c r="R50" i="26" s="1"/>
  <c r="R62" i="26" s="1"/>
  <c r="R43" i="24"/>
  <c r="R44" i="24" s="1"/>
  <c r="R45" i="24" s="1"/>
  <c r="R43" i="21"/>
  <c r="R44" i="21" s="1"/>
  <c r="R45" i="21" s="1"/>
  <c r="R43" i="19"/>
  <c r="R44" i="19" s="1"/>
  <c r="R43" i="22"/>
  <c r="R44" i="22" s="1"/>
  <c r="R45" i="22" s="1"/>
  <c r="R43" i="25"/>
  <c r="R44" i="25" s="1"/>
  <c r="R45" i="25" s="1"/>
  <c r="R43" i="20"/>
  <c r="R44" i="20" s="1"/>
  <c r="R45" i="20" s="1"/>
  <c r="V43" i="33"/>
  <c r="V44" i="33" s="1"/>
  <c r="V45" i="33" s="1"/>
  <c r="V43" i="29"/>
  <c r="V44" i="29" s="1"/>
  <c r="V45" i="29" s="1"/>
  <c r="V50" i="29" s="1"/>
  <c r="V62" i="29" s="1"/>
  <c r="V43" i="31"/>
  <c r="V44" i="31" s="1"/>
  <c r="V45" i="31" s="1"/>
  <c r="V43" i="28"/>
  <c r="V44" i="28" s="1"/>
  <c r="V45" i="28" s="1"/>
  <c r="V43" i="27"/>
  <c r="V44" i="27" s="1"/>
  <c r="V45" i="27" s="1"/>
  <c r="V43" i="23"/>
  <c r="V44" i="23" s="1"/>
  <c r="V45" i="23" s="1"/>
  <c r="V43" i="34"/>
  <c r="V44" i="34" s="1"/>
  <c r="V45" i="34" s="1"/>
  <c r="V43" i="32"/>
  <c r="V44" i="32" s="1"/>
  <c r="V45" i="32" s="1"/>
  <c r="V43" i="26"/>
  <c r="V44" i="26" s="1"/>
  <c r="V45" i="26" s="1"/>
  <c r="V50" i="26" s="1"/>
  <c r="V62" i="26" s="1"/>
  <c r="V43" i="24"/>
  <c r="V44" i="24" s="1"/>
  <c r="V45" i="24" s="1"/>
  <c r="V43" i="21"/>
  <c r="V44" i="21" s="1"/>
  <c r="V45" i="21" s="1"/>
  <c r="V43" i="19"/>
  <c r="V44" i="19" s="1"/>
  <c r="V43" i="30"/>
  <c r="V44" i="30" s="1"/>
  <c r="V45" i="30" s="1"/>
  <c r="V43" i="22"/>
  <c r="V44" i="22" s="1"/>
  <c r="V45" i="22" s="1"/>
  <c r="Z43" i="33"/>
  <c r="Z44" i="33" s="1"/>
  <c r="Z45" i="33" s="1"/>
  <c r="Z43" i="34"/>
  <c r="Z44" i="34" s="1"/>
  <c r="Z45" i="34" s="1"/>
  <c r="Z43" i="29"/>
  <c r="Z44" i="29" s="1"/>
  <c r="Z45" i="29" s="1"/>
  <c r="Z43" i="31"/>
  <c r="Z44" i="31" s="1"/>
  <c r="Z45" i="31" s="1"/>
  <c r="Z50" i="31" s="1"/>
  <c r="Z62" i="31" s="1"/>
  <c r="Z43" i="32"/>
  <c r="Z44" i="32" s="1"/>
  <c r="Z45" i="32" s="1"/>
  <c r="Z43" i="28"/>
  <c r="Z44" i="28" s="1"/>
  <c r="Z45" i="28" s="1"/>
  <c r="Z43" i="27"/>
  <c r="Z44" i="27" s="1"/>
  <c r="Z45" i="27" s="1"/>
  <c r="Z43" i="23"/>
  <c r="Z44" i="23" s="1"/>
  <c r="Z45" i="23" s="1"/>
  <c r="Z43" i="30"/>
  <c r="Z44" i="30" s="1"/>
  <c r="Z45" i="30" s="1"/>
  <c r="Z43" i="26"/>
  <c r="Z44" i="26" s="1"/>
  <c r="Z45" i="26" s="1"/>
  <c r="Z43" i="24"/>
  <c r="Z44" i="24" s="1"/>
  <c r="Z45" i="24" s="1"/>
  <c r="Z43" i="21"/>
  <c r="Z44" i="21" s="1"/>
  <c r="Z45" i="21" s="1"/>
  <c r="Z43" i="19"/>
  <c r="Z44" i="19" s="1"/>
  <c r="Z43" i="22"/>
  <c r="Z44" i="22" s="1"/>
  <c r="Z45" i="22" s="1"/>
  <c r="Z43" i="25"/>
  <c r="Z44" i="25" s="1"/>
  <c r="Z45" i="25" s="1"/>
  <c r="Z43" i="20"/>
  <c r="Z44" i="20" s="1"/>
  <c r="Z45" i="20" s="1"/>
  <c r="Z50" i="20" s="1"/>
  <c r="Z62" i="20" s="1"/>
  <c r="P49" i="20"/>
  <c r="F43" i="20"/>
  <c r="F44" i="20" s="1"/>
  <c r="F45" i="20" s="1"/>
  <c r="V43" i="20"/>
  <c r="V44" i="20" s="1"/>
  <c r="V45" i="20" s="1"/>
  <c r="N43" i="25"/>
  <c r="N44" i="25" s="1"/>
  <c r="N45" i="25" s="1"/>
  <c r="X49" i="25"/>
  <c r="M49" i="26"/>
  <c r="Y44" i="30"/>
  <c r="Y45" i="30" s="1"/>
  <c r="F44" i="25"/>
  <c r="F45" i="25" s="1"/>
  <c r="N44" i="21"/>
  <c r="N45" i="21" s="1"/>
  <c r="V44" i="25"/>
  <c r="V45" i="25" s="1"/>
  <c r="G43" i="33"/>
  <c r="G44" i="33" s="1"/>
  <c r="G45" i="33" s="1"/>
  <c r="G43" i="32"/>
  <c r="G44" i="32" s="1"/>
  <c r="G45" i="32" s="1"/>
  <c r="G50" i="32" s="1"/>
  <c r="G62" i="32" s="1"/>
  <c r="G43" i="31"/>
  <c r="G44" i="31" s="1"/>
  <c r="G45" i="31" s="1"/>
  <c r="G50" i="31" s="1"/>
  <c r="G62" i="31" s="1"/>
  <c r="G43" i="34"/>
  <c r="G44" i="34" s="1"/>
  <c r="G45" i="34" s="1"/>
  <c r="G50" i="34" s="1"/>
  <c r="G62" i="34" s="1"/>
  <c r="G43" i="30"/>
  <c r="G44" i="30" s="1"/>
  <c r="G45" i="30" s="1"/>
  <c r="G43" i="26"/>
  <c r="G44" i="26" s="1"/>
  <c r="G45" i="26" s="1"/>
  <c r="G43" i="24"/>
  <c r="G44" i="24" s="1"/>
  <c r="G45" i="24" s="1"/>
  <c r="G43" i="21"/>
  <c r="G44" i="21" s="1"/>
  <c r="G45" i="21" s="1"/>
  <c r="G43" i="29"/>
  <c r="G44" i="29" s="1"/>
  <c r="G45" i="29" s="1"/>
  <c r="G43" i="25"/>
  <c r="G44" i="25" s="1"/>
  <c r="G45" i="25" s="1"/>
  <c r="G43" i="22"/>
  <c r="G44" i="22" s="1"/>
  <c r="G45" i="22" s="1"/>
  <c r="G43" i="20"/>
  <c r="G44" i="20" s="1"/>
  <c r="G45" i="20" s="1"/>
  <c r="G43" i="19"/>
  <c r="G44" i="19" s="1"/>
  <c r="G43" i="27"/>
  <c r="G44" i="27" s="1"/>
  <c r="G45" i="27" s="1"/>
  <c r="G43" i="23"/>
  <c r="G44" i="23" s="1"/>
  <c r="G45" i="23" s="1"/>
  <c r="K43" i="33"/>
  <c r="K44" i="33" s="1"/>
  <c r="K45" i="33" s="1"/>
  <c r="K43" i="32"/>
  <c r="K44" i="32" s="1"/>
  <c r="K45" i="32" s="1"/>
  <c r="K43" i="31"/>
  <c r="K44" i="31" s="1"/>
  <c r="K45" i="31" s="1"/>
  <c r="K43" i="30"/>
  <c r="K44" i="30" s="1"/>
  <c r="K45" i="30" s="1"/>
  <c r="K43" i="34"/>
  <c r="K44" i="34" s="1"/>
  <c r="K45" i="34" s="1"/>
  <c r="K43" i="26"/>
  <c r="K44" i="26" s="1"/>
  <c r="K45" i="26" s="1"/>
  <c r="K43" i="24"/>
  <c r="K44" i="24" s="1"/>
  <c r="K45" i="24" s="1"/>
  <c r="K43" i="21"/>
  <c r="K44" i="21" s="1"/>
  <c r="K45" i="21" s="1"/>
  <c r="K43" i="25"/>
  <c r="K44" i="25" s="1"/>
  <c r="K45" i="25" s="1"/>
  <c r="K43" i="22"/>
  <c r="K44" i="22" s="1"/>
  <c r="K45" i="22" s="1"/>
  <c r="K43" i="20"/>
  <c r="K44" i="20" s="1"/>
  <c r="K45" i="20" s="1"/>
  <c r="K43" i="27"/>
  <c r="K44" i="27" s="1"/>
  <c r="K45" i="27" s="1"/>
  <c r="K43" i="23"/>
  <c r="K44" i="23" s="1"/>
  <c r="K45" i="23" s="1"/>
  <c r="K43" i="19"/>
  <c r="K44" i="19" s="1"/>
  <c r="K43" i="29"/>
  <c r="K44" i="29" s="1"/>
  <c r="K45" i="29" s="1"/>
  <c r="K43" i="28"/>
  <c r="K44" i="28" s="1"/>
  <c r="K45" i="28" s="1"/>
  <c r="O43" i="33"/>
  <c r="O44" i="33" s="1"/>
  <c r="O45" i="33" s="1"/>
  <c r="O43" i="32"/>
  <c r="O44" i="32" s="1"/>
  <c r="O45" i="32" s="1"/>
  <c r="O43" i="31"/>
  <c r="O44" i="31" s="1"/>
  <c r="O45" i="31" s="1"/>
  <c r="O43" i="34"/>
  <c r="O44" i="34" s="1"/>
  <c r="O45" i="34" s="1"/>
  <c r="O43" i="30"/>
  <c r="O44" i="30" s="1"/>
  <c r="O45" i="30" s="1"/>
  <c r="O43" i="26"/>
  <c r="O44" i="26" s="1"/>
  <c r="O45" i="26" s="1"/>
  <c r="O43" i="24"/>
  <c r="O44" i="24" s="1"/>
  <c r="O45" i="24" s="1"/>
  <c r="O43" i="21"/>
  <c r="O44" i="21" s="1"/>
  <c r="O45" i="21" s="1"/>
  <c r="O43" i="29"/>
  <c r="O44" i="29" s="1"/>
  <c r="O45" i="29" s="1"/>
  <c r="O43" i="25"/>
  <c r="O44" i="25" s="1"/>
  <c r="O45" i="25" s="1"/>
  <c r="O43" i="22"/>
  <c r="O44" i="22" s="1"/>
  <c r="O45" i="22" s="1"/>
  <c r="O43" i="20"/>
  <c r="O44" i="20" s="1"/>
  <c r="O45" i="20" s="1"/>
  <c r="O43" i="23"/>
  <c r="O44" i="23" s="1"/>
  <c r="O45" i="23" s="1"/>
  <c r="O43" i="27"/>
  <c r="O44" i="27" s="1"/>
  <c r="O45" i="27" s="1"/>
  <c r="S43" i="33"/>
  <c r="S44" i="33" s="1"/>
  <c r="S45" i="33" s="1"/>
  <c r="S43" i="32"/>
  <c r="S44" i="32" s="1"/>
  <c r="S45" i="32" s="1"/>
  <c r="S43" i="31"/>
  <c r="S44" i="31" s="1"/>
  <c r="S45" i="31" s="1"/>
  <c r="S43" i="30"/>
  <c r="S44" i="30" s="1"/>
  <c r="S45" i="30" s="1"/>
  <c r="S50" i="30" s="1"/>
  <c r="S62" i="30" s="1"/>
  <c r="S43" i="26"/>
  <c r="S44" i="26" s="1"/>
  <c r="S45" i="26" s="1"/>
  <c r="S43" i="24"/>
  <c r="S44" i="24" s="1"/>
  <c r="S45" i="24" s="1"/>
  <c r="S43" i="21"/>
  <c r="S44" i="21" s="1"/>
  <c r="S45" i="21" s="1"/>
  <c r="S43" i="25"/>
  <c r="S44" i="25" s="1"/>
  <c r="S45" i="25" s="1"/>
  <c r="S43" i="22"/>
  <c r="S44" i="22" s="1"/>
  <c r="S45" i="22" s="1"/>
  <c r="S43" i="20"/>
  <c r="S44" i="20" s="1"/>
  <c r="S45" i="20" s="1"/>
  <c r="S50" i="20" s="1"/>
  <c r="S62" i="20" s="1"/>
  <c r="S43" i="34"/>
  <c r="S44" i="34" s="1"/>
  <c r="S45" i="34" s="1"/>
  <c r="S43" i="27"/>
  <c r="S44" i="27" s="1"/>
  <c r="S45" i="27" s="1"/>
  <c r="S43" i="23"/>
  <c r="S44" i="23" s="1"/>
  <c r="S45" i="23" s="1"/>
  <c r="S50" i="23" s="1"/>
  <c r="S62" i="23" s="1"/>
  <c r="S43" i="19"/>
  <c r="S44" i="19" s="1"/>
  <c r="S43" i="28"/>
  <c r="S44" i="28" s="1"/>
  <c r="S45" i="28" s="1"/>
  <c r="W43" i="33"/>
  <c r="W44" i="33" s="1"/>
  <c r="W45" i="33" s="1"/>
  <c r="W43" i="32"/>
  <c r="W44" i="32" s="1"/>
  <c r="W45" i="32" s="1"/>
  <c r="W50" i="32" s="1"/>
  <c r="W62" i="32" s="1"/>
  <c r="W43" i="31"/>
  <c r="W44" i="31" s="1"/>
  <c r="W45" i="31" s="1"/>
  <c r="W43" i="34"/>
  <c r="W44" i="34" s="1"/>
  <c r="W45" i="34" s="1"/>
  <c r="W50" i="34" s="1"/>
  <c r="W62" i="34" s="1"/>
  <c r="W43" i="30"/>
  <c r="W44" i="30" s="1"/>
  <c r="W45" i="30" s="1"/>
  <c r="W43" i="26"/>
  <c r="W44" i="26" s="1"/>
  <c r="W45" i="26" s="1"/>
  <c r="W43" i="24"/>
  <c r="W44" i="24" s="1"/>
  <c r="W45" i="24" s="1"/>
  <c r="W43" i="21"/>
  <c r="W44" i="21" s="1"/>
  <c r="W45" i="21" s="1"/>
  <c r="W43" i="29"/>
  <c r="W44" i="29" s="1"/>
  <c r="W45" i="29" s="1"/>
  <c r="W50" i="29" s="1"/>
  <c r="W62" i="29" s="1"/>
  <c r="W43" i="25"/>
  <c r="W44" i="25" s="1"/>
  <c r="W45" i="25" s="1"/>
  <c r="W43" i="22"/>
  <c r="W44" i="22" s="1"/>
  <c r="W45" i="22" s="1"/>
  <c r="W43" i="20"/>
  <c r="W44" i="20" s="1"/>
  <c r="W45" i="20" s="1"/>
  <c r="W43" i="27"/>
  <c r="W44" i="27" s="1"/>
  <c r="W45" i="27" s="1"/>
  <c r="W43" i="19"/>
  <c r="W44" i="19" s="1"/>
  <c r="W43" i="23"/>
  <c r="W44" i="23" s="1"/>
  <c r="W45" i="23" s="1"/>
  <c r="W50" i="23" s="1"/>
  <c r="W62" i="23" s="1"/>
  <c r="AA43" i="33"/>
  <c r="AA44" i="33" s="1"/>
  <c r="AA45" i="33" s="1"/>
  <c r="AA43" i="32"/>
  <c r="AA44" i="32" s="1"/>
  <c r="AA45" i="32" s="1"/>
  <c r="AA43" i="31"/>
  <c r="AA44" i="31" s="1"/>
  <c r="AA45" i="31" s="1"/>
  <c r="AA43" i="30"/>
  <c r="AA44" i="30" s="1"/>
  <c r="AA45" i="30" s="1"/>
  <c r="AA43" i="34"/>
  <c r="AA44" i="34" s="1"/>
  <c r="AA45" i="34" s="1"/>
  <c r="AA43" i="26"/>
  <c r="AA43" i="24"/>
  <c r="AA44" i="24" s="1"/>
  <c r="AA45" i="24" s="1"/>
  <c r="AA43" i="21"/>
  <c r="AA44" i="21" s="1"/>
  <c r="AA45" i="21" s="1"/>
  <c r="AA43" i="25"/>
  <c r="AA44" i="25" s="1"/>
  <c r="AA45" i="25" s="1"/>
  <c r="AA43" i="22"/>
  <c r="AA44" i="22" s="1"/>
  <c r="AA45" i="22" s="1"/>
  <c r="AA43" i="20"/>
  <c r="AA44" i="20" s="1"/>
  <c r="AA45" i="20" s="1"/>
  <c r="AA50" i="20" s="1"/>
  <c r="AA62" i="20" s="1"/>
  <c r="AA43" i="27"/>
  <c r="AA44" i="27" s="1"/>
  <c r="AA45" i="27" s="1"/>
  <c r="AA50" i="27" s="1"/>
  <c r="AA62" i="27" s="1"/>
  <c r="AA43" i="23"/>
  <c r="AA44" i="23" s="1"/>
  <c r="AA45" i="23" s="1"/>
  <c r="AA43" i="19"/>
  <c r="AA44" i="19" s="1"/>
  <c r="AA43" i="29"/>
  <c r="AA44" i="29" s="1"/>
  <c r="AA45" i="29" s="1"/>
  <c r="AA50" i="29" s="1"/>
  <c r="AA62" i="29" s="1"/>
  <c r="AA43" i="28"/>
  <c r="AA44" i="28" s="1"/>
  <c r="AA45" i="28" s="1"/>
  <c r="F43" i="35"/>
  <c r="J43" i="35"/>
  <c r="N43" i="35"/>
  <c r="D45" i="35"/>
  <c r="E15" i="1" s="1"/>
  <c r="H45" i="35"/>
  <c r="I15" i="1" s="1"/>
  <c r="L45" i="35"/>
  <c r="M15" i="1" s="1"/>
  <c r="P45" i="35"/>
  <c r="Q15" i="1" s="1"/>
  <c r="E44" i="26"/>
  <c r="E45" i="26" s="1"/>
  <c r="O43" i="28"/>
  <c r="O44" i="28" s="1"/>
  <c r="O45" i="28" s="1"/>
  <c r="T49" i="28"/>
  <c r="S43" i="29"/>
  <c r="S44" i="29" s="1"/>
  <c r="S45" i="29" s="1"/>
  <c r="H49" i="32"/>
  <c r="J49" i="32"/>
  <c r="Q44" i="20"/>
  <c r="Q45" i="20" s="1"/>
  <c r="X49" i="32"/>
  <c r="I44" i="33"/>
  <c r="I45" i="33" s="1"/>
  <c r="Q17" i="2"/>
  <c r="AC17" i="2"/>
  <c r="G44" i="28"/>
  <c r="G45" i="28" s="1"/>
  <c r="D43" i="34"/>
  <c r="D44" i="34" s="1"/>
  <c r="D45" i="34" s="1"/>
  <c r="D43" i="32"/>
  <c r="D44" i="32" s="1"/>
  <c r="D45" i="32" s="1"/>
  <c r="D43" i="30"/>
  <c r="D44" i="30" s="1"/>
  <c r="D45" i="30" s="1"/>
  <c r="D43" i="25"/>
  <c r="D44" i="25" s="1"/>
  <c r="D45" i="25" s="1"/>
  <c r="D43" i="22"/>
  <c r="D44" i="22" s="1"/>
  <c r="D45" i="22" s="1"/>
  <c r="D43" i="20"/>
  <c r="D44" i="20" s="1"/>
  <c r="D45" i="20" s="1"/>
  <c r="D43" i="31"/>
  <c r="D44" i="31" s="1"/>
  <c r="D45" i="31" s="1"/>
  <c r="H43" i="34"/>
  <c r="H44" i="34" s="1"/>
  <c r="H45" i="34" s="1"/>
  <c r="H43" i="33"/>
  <c r="H44" i="33" s="1"/>
  <c r="H45" i="33" s="1"/>
  <c r="H43" i="30"/>
  <c r="H44" i="30" s="1"/>
  <c r="H45" i="30" s="1"/>
  <c r="H43" i="32"/>
  <c r="H44" i="32" s="1"/>
  <c r="H45" i="32" s="1"/>
  <c r="H43" i="29"/>
  <c r="H44" i="29" s="1"/>
  <c r="H45" i="29" s="1"/>
  <c r="H43" i="25"/>
  <c r="H44" i="25" s="1"/>
  <c r="H45" i="25" s="1"/>
  <c r="H43" i="22"/>
  <c r="H44" i="22" s="1"/>
  <c r="H45" i="22" s="1"/>
  <c r="H43" i="20"/>
  <c r="H44" i="20" s="1"/>
  <c r="H45" i="20" s="1"/>
  <c r="L43" i="34"/>
  <c r="L44" i="34" s="1"/>
  <c r="L45" i="34" s="1"/>
  <c r="L43" i="30"/>
  <c r="L44" i="30" s="1"/>
  <c r="L45" i="30" s="1"/>
  <c r="L43" i="25"/>
  <c r="L44" i="25" s="1"/>
  <c r="L45" i="25" s="1"/>
  <c r="L43" i="22"/>
  <c r="L43" i="20"/>
  <c r="L44" i="20" s="1"/>
  <c r="L45" i="20" s="1"/>
  <c r="L43" i="33"/>
  <c r="L44" i="33" s="1"/>
  <c r="L45" i="33" s="1"/>
  <c r="L43" i="32"/>
  <c r="L44" i="32" s="1"/>
  <c r="L45" i="32" s="1"/>
  <c r="L43" i="31"/>
  <c r="L44" i="31" s="1"/>
  <c r="L45" i="31" s="1"/>
  <c r="P43" i="34"/>
  <c r="P44" i="34" s="1"/>
  <c r="P45" i="34" s="1"/>
  <c r="P43" i="33"/>
  <c r="P44" i="33" s="1"/>
  <c r="P45" i="33" s="1"/>
  <c r="P43" i="30"/>
  <c r="P44" i="30" s="1"/>
  <c r="P45" i="30" s="1"/>
  <c r="P43" i="32"/>
  <c r="P44" i="32" s="1"/>
  <c r="P45" i="32" s="1"/>
  <c r="P43" i="29"/>
  <c r="P44" i="29" s="1"/>
  <c r="P45" i="29" s="1"/>
  <c r="P43" i="25"/>
  <c r="P44" i="25" s="1"/>
  <c r="P45" i="25" s="1"/>
  <c r="P50" i="25" s="1"/>
  <c r="P62" i="25" s="1"/>
  <c r="P43" i="22"/>
  <c r="P44" i="22" s="1"/>
  <c r="P45" i="22" s="1"/>
  <c r="P43" i="20"/>
  <c r="P44" i="20" s="1"/>
  <c r="P45" i="20" s="1"/>
  <c r="T43" i="34"/>
  <c r="T43" i="32"/>
  <c r="T44" i="32" s="1"/>
  <c r="T45" i="32" s="1"/>
  <c r="T43" i="30"/>
  <c r="T44" i="30" s="1"/>
  <c r="T45" i="30" s="1"/>
  <c r="T43" i="25"/>
  <c r="T44" i="25" s="1"/>
  <c r="T45" i="25" s="1"/>
  <c r="T43" i="22"/>
  <c r="T44" i="22" s="1"/>
  <c r="T45" i="22" s="1"/>
  <c r="T43" i="20"/>
  <c r="T44" i="20" s="1"/>
  <c r="T45" i="20" s="1"/>
  <c r="T43" i="31"/>
  <c r="T44" i="31" s="1"/>
  <c r="T45" i="31" s="1"/>
  <c r="X43" i="34"/>
  <c r="X44" i="34" s="1"/>
  <c r="X45" i="34" s="1"/>
  <c r="X43" i="33"/>
  <c r="X44" i="33" s="1"/>
  <c r="X45" i="33" s="1"/>
  <c r="X43" i="30"/>
  <c r="X44" i="30" s="1"/>
  <c r="X45" i="30" s="1"/>
  <c r="X50" i="30" s="1"/>
  <c r="X62" i="30" s="1"/>
  <c r="X43" i="32"/>
  <c r="X44" i="32" s="1"/>
  <c r="X45" i="32" s="1"/>
  <c r="X43" i="29"/>
  <c r="X44" i="29" s="1"/>
  <c r="X45" i="29" s="1"/>
  <c r="X43" i="25"/>
  <c r="X44" i="25" s="1"/>
  <c r="X45" i="25" s="1"/>
  <c r="X43" i="22"/>
  <c r="X44" i="22" s="1"/>
  <c r="X45" i="22" s="1"/>
  <c r="X43" i="20"/>
  <c r="X44" i="20" s="1"/>
  <c r="X45" i="20" s="1"/>
  <c r="AB43" i="34"/>
  <c r="AB43" i="30"/>
  <c r="AB44" i="30" s="1"/>
  <c r="AB45" i="30" s="1"/>
  <c r="AB43" i="25"/>
  <c r="AB44" i="25" s="1"/>
  <c r="AB45" i="25" s="1"/>
  <c r="AB43" i="22"/>
  <c r="AB44" i="22" s="1"/>
  <c r="AB45" i="22" s="1"/>
  <c r="AB43" i="20"/>
  <c r="AB44" i="20" s="1"/>
  <c r="AB45" i="20" s="1"/>
  <c r="AB43" i="33"/>
  <c r="AB44" i="33" s="1"/>
  <c r="AB45" i="33" s="1"/>
  <c r="AB43" i="31"/>
  <c r="AB44" i="31" s="1"/>
  <c r="AB45" i="31" s="1"/>
  <c r="AB50" i="31" s="1"/>
  <c r="AB62" i="31" s="1"/>
  <c r="P49" i="28"/>
  <c r="L43" i="19"/>
  <c r="L44" i="19" s="1"/>
  <c r="Q43" i="19"/>
  <c r="Q44" i="19" s="1"/>
  <c r="AB43" i="19"/>
  <c r="AB44" i="19" s="1"/>
  <c r="I43" i="22"/>
  <c r="I44" i="22" s="1"/>
  <c r="I45" i="22" s="1"/>
  <c r="I50" i="22" s="1"/>
  <c r="I62" i="22" s="1"/>
  <c r="Q43" i="22"/>
  <c r="Q44" i="22" s="1"/>
  <c r="Q45" i="22" s="1"/>
  <c r="Y43" i="22"/>
  <c r="Y44" i="22" s="1"/>
  <c r="Y45" i="22" s="1"/>
  <c r="H43" i="23"/>
  <c r="H44" i="23" s="1"/>
  <c r="H45" i="23" s="1"/>
  <c r="P43" i="23"/>
  <c r="P44" i="23" s="1"/>
  <c r="P45" i="23" s="1"/>
  <c r="X43" i="23"/>
  <c r="X44" i="23" s="1"/>
  <c r="X45" i="23" s="1"/>
  <c r="D43" i="24"/>
  <c r="D44" i="24" s="1"/>
  <c r="D45" i="24" s="1"/>
  <c r="L43" i="24"/>
  <c r="L44" i="24" s="1"/>
  <c r="L45" i="24" s="1"/>
  <c r="T43" i="24"/>
  <c r="T44" i="24" s="1"/>
  <c r="T45" i="24" s="1"/>
  <c r="AB43" i="24"/>
  <c r="AB44" i="24" s="1"/>
  <c r="AB45" i="24" s="1"/>
  <c r="Q43" i="26"/>
  <c r="Q44" i="26" s="1"/>
  <c r="Q45" i="26" s="1"/>
  <c r="E49" i="26"/>
  <c r="H43" i="27"/>
  <c r="H44" i="27" s="1"/>
  <c r="H45" i="27" s="1"/>
  <c r="P43" i="27"/>
  <c r="P44" i="27" s="1"/>
  <c r="P45" i="27" s="1"/>
  <c r="X43" i="27"/>
  <c r="X44" i="27" s="1"/>
  <c r="X45" i="27" s="1"/>
  <c r="Q43" i="30"/>
  <c r="Q44" i="30" s="1"/>
  <c r="Q45" i="30" s="1"/>
  <c r="AB43" i="32"/>
  <c r="AB44" i="32" s="1"/>
  <c r="AB45" i="32" s="1"/>
  <c r="T43" i="33"/>
  <c r="T44" i="33" s="1"/>
  <c r="T45" i="33" s="1"/>
  <c r="T50" i="33" s="1"/>
  <c r="T62" i="33" s="1"/>
  <c r="Q49" i="26"/>
  <c r="E17" i="2"/>
  <c r="I17" i="2"/>
  <c r="M17" i="2"/>
  <c r="U17" i="2"/>
  <c r="Y17" i="2"/>
  <c r="F17" i="2"/>
  <c r="J17" i="2"/>
  <c r="N17" i="2"/>
  <c r="R17" i="2"/>
  <c r="V17" i="2"/>
  <c r="Z17" i="2"/>
  <c r="L44" i="27"/>
  <c r="L45" i="27" s="1"/>
  <c r="L44" i="22"/>
  <c r="L45" i="22" s="1"/>
  <c r="T44" i="34"/>
  <c r="T45" i="34" s="1"/>
  <c r="AB44" i="34"/>
  <c r="AB45" i="34" s="1"/>
  <c r="E43" i="34"/>
  <c r="E44" i="34" s="1"/>
  <c r="E45" i="34" s="1"/>
  <c r="E43" i="33"/>
  <c r="E44" i="33" s="1"/>
  <c r="E45" i="33" s="1"/>
  <c r="E43" i="29"/>
  <c r="E44" i="29" s="1"/>
  <c r="E45" i="29" s="1"/>
  <c r="E43" i="32"/>
  <c r="E44" i="32" s="1"/>
  <c r="E45" i="32" s="1"/>
  <c r="E43" i="31"/>
  <c r="E44" i="31" s="1"/>
  <c r="E45" i="31" s="1"/>
  <c r="E43" i="30"/>
  <c r="E44" i="30" s="1"/>
  <c r="E45" i="30" s="1"/>
  <c r="E43" i="28"/>
  <c r="E44" i="28" s="1"/>
  <c r="E45" i="28" s="1"/>
  <c r="E43" i="27"/>
  <c r="E44" i="27" s="1"/>
  <c r="E45" i="27" s="1"/>
  <c r="E43" i="23"/>
  <c r="E44" i="23" s="1"/>
  <c r="E45" i="23" s="1"/>
  <c r="I43" i="34"/>
  <c r="I44" i="34" s="1"/>
  <c r="I45" i="34" s="1"/>
  <c r="I43" i="32"/>
  <c r="I44" i="32" s="1"/>
  <c r="I45" i="32" s="1"/>
  <c r="I43" i="29"/>
  <c r="I44" i="29" s="1"/>
  <c r="I45" i="29" s="1"/>
  <c r="I43" i="28"/>
  <c r="I44" i="28" s="1"/>
  <c r="I45" i="28" s="1"/>
  <c r="I50" i="28" s="1"/>
  <c r="I62" i="28" s="1"/>
  <c r="I43" i="27"/>
  <c r="I44" i="27" s="1"/>
  <c r="I45" i="27" s="1"/>
  <c r="I43" i="23"/>
  <c r="I44" i="23" s="1"/>
  <c r="I45" i="23" s="1"/>
  <c r="M43" i="34"/>
  <c r="M44" i="34" s="1"/>
  <c r="M45" i="34" s="1"/>
  <c r="M43" i="33"/>
  <c r="M44" i="33" s="1"/>
  <c r="M45" i="33" s="1"/>
  <c r="M43" i="32"/>
  <c r="M44" i="32" s="1"/>
  <c r="M45" i="32" s="1"/>
  <c r="M43" i="29"/>
  <c r="M44" i="29" s="1"/>
  <c r="M45" i="29" s="1"/>
  <c r="M43" i="31"/>
  <c r="M44" i="31" s="1"/>
  <c r="M45" i="31" s="1"/>
  <c r="M43" i="30"/>
  <c r="M44" i="30" s="1"/>
  <c r="M45" i="30" s="1"/>
  <c r="M43" i="28"/>
  <c r="M44" i="28" s="1"/>
  <c r="M45" i="28" s="1"/>
  <c r="M43" i="27"/>
  <c r="M44" i="27" s="1"/>
  <c r="M45" i="27" s="1"/>
  <c r="M43" i="23"/>
  <c r="M44" i="23" s="1"/>
  <c r="M45" i="23" s="1"/>
  <c r="Q43" i="34"/>
  <c r="Q44" i="34" s="1"/>
  <c r="Q45" i="34" s="1"/>
  <c r="Q43" i="29"/>
  <c r="Q44" i="29" s="1"/>
  <c r="Q45" i="29" s="1"/>
  <c r="Q43" i="33"/>
  <c r="Q44" i="33" s="1"/>
  <c r="Q45" i="33" s="1"/>
  <c r="Q43" i="28"/>
  <c r="Q44" i="28" s="1"/>
  <c r="Q45" i="28" s="1"/>
  <c r="Q43" i="27"/>
  <c r="Q44" i="27" s="1"/>
  <c r="Q45" i="27" s="1"/>
  <c r="Q43" i="23"/>
  <c r="Q44" i="23" s="1"/>
  <c r="Q45" i="23" s="1"/>
  <c r="U43" i="34"/>
  <c r="U44" i="34" s="1"/>
  <c r="U45" i="34" s="1"/>
  <c r="U43" i="33"/>
  <c r="U44" i="33" s="1"/>
  <c r="U45" i="33" s="1"/>
  <c r="U43" i="29"/>
  <c r="U44" i="29" s="1"/>
  <c r="U45" i="29" s="1"/>
  <c r="U43" i="31"/>
  <c r="U44" i="31" s="1"/>
  <c r="U45" i="31" s="1"/>
  <c r="U43" i="30"/>
  <c r="U44" i="30" s="1"/>
  <c r="U45" i="30" s="1"/>
  <c r="U43" i="28"/>
  <c r="U44" i="28" s="1"/>
  <c r="U45" i="28" s="1"/>
  <c r="U43" i="27"/>
  <c r="U44" i="27" s="1"/>
  <c r="U45" i="27" s="1"/>
  <c r="U50" i="27" s="1"/>
  <c r="U62" i="27" s="1"/>
  <c r="U43" i="23"/>
  <c r="U44" i="23" s="1"/>
  <c r="U45" i="23" s="1"/>
  <c r="Y43" i="34"/>
  <c r="Y44" i="34" s="1"/>
  <c r="Y45" i="34" s="1"/>
  <c r="Y43" i="32"/>
  <c r="Y44" i="32" s="1"/>
  <c r="Y45" i="32" s="1"/>
  <c r="Y43" i="29"/>
  <c r="Y44" i="29" s="1"/>
  <c r="Y45" i="29" s="1"/>
  <c r="Y50" i="29" s="1"/>
  <c r="Y62" i="29" s="1"/>
  <c r="Y43" i="28"/>
  <c r="Y44" i="28" s="1"/>
  <c r="Y45" i="28" s="1"/>
  <c r="Y43" i="27"/>
  <c r="Y44" i="27" s="1"/>
  <c r="Y45" i="27" s="1"/>
  <c r="Y43" i="23"/>
  <c r="Y44" i="23" s="1"/>
  <c r="Y45" i="23" s="1"/>
  <c r="AC43" i="34"/>
  <c r="AC44" i="34" s="1"/>
  <c r="AC45" i="34" s="1"/>
  <c r="AC43" i="33"/>
  <c r="AC44" i="33" s="1"/>
  <c r="AC45" i="33" s="1"/>
  <c r="AC43" i="32"/>
  <c r="AC44" i="32" s="1"/>
  <c r="AC45" i="32" s="1"/>
  <c r="AC50" i="32" s="1"/>
  <c r="AC62" i="32" s="1"/>
  <c r="AC43" i="29"/>
  <c r="AC44" i="29" s="1"/>
  <c r="AC45" i="29" s="1"/>
  <c r="AC43" i="31"/>
  <c r="AC44" i="31" s="1"/>
  <c r="AC45" i="31" s="1"/>
  <c r="AC43" i="30"/>
  <c r="AC44" i="30" s="1"/>
  <c r="AC45" i="30" s="1"/>
  <c r="AC43" i="28"/>
  <c r="AC44" i="28" s="1"/>
  <c r="AC45" i="28" s="1"/>
  <c r="AC43" i="27"/>
  <c r="AC44" i="27" s="1"/>
  <c r="AC45" i="27" s="1"/>
  <c r="AC43" i="23"/>
  <c r="AC44" i="23" s="1"/>
  <c r="AC45" i="23" s="1"/>
  <c r="M49" i="20"/>
  <c r="M49" i="27"/>
  <c r="P44" i="19"/>
  <c r="H43" i="19"/>
  <c r="H44" i="19" s="1"/>
  <c r="M43" i="19"/>
  <c r="M44" i="19" s="1"/>
  <c r="X43" i="19"/>
  <c r="X44" i="19" s="1"/>
  <c r="AC43" i="19"/>
  <c r="AC44" i="19" s="1"/>
  <c r="E43" i="20"/>
  <c r="E44" i="20" s="1"/>
  <c r="E45" i="20" s="1"/>
  <c r="M43" i="20"/>
  <c r="M44" i="20" s="1"/>
  <c r="M45" i="20" s="1"/>
  <c r="U43" i="20"/>
  <c r="U44" i="20" s="1"/>
  <c r="U45" i="20" s="1"/>
  <c r="AC43" i="20"/>
  <c r="AC44" i="20" s="1"/>
  <c r="AC45" i="20" s="1"/>
  <c r="H43" i="21"/>
  <c r="H44" i="21" s="1"/>
  <c r="H45" i="21" s="1"/>
  <c r="P43" i="21"/>
  <c r="P44" i="21" s="1"/>
  <c r="P45" i="21" s="1"/>
  <c r="X43" i="21"/>
  <c r="X44" i="21" s="1"/>
  <c r="X45" i="21" s="1"/>
  <c r="E49" i="22"/>
  <c r="M49" i="22"/>
  <c r="Q49" i="22"/>
  <c r="E43" i="24"/>
  <c r="E44" i="24" s="1"/>
  <c r="E45" i="24" s="1"/>
  <c r="M43" i="24"/>
  <c r="M44" i="24" s="1"/>
  <c r="M45" i="24" s="1"/>
  <c r="U43" i="24"/>
  <c r="U44" i="24" s="1"/>
  <c r="U45" i="24" s="1"/>
  <c r="AC43" i="24"/>
  <c r="AC44" i="24" s="1"/>
  <c r="AC45" i="24" s="1"/>
  <c r="F49" i="24"/>
  <c r="E43" i="25"/>
  <c r="E44" i="25" s="1"/>
  <c r="E45" i="25" s="1"/>
  <c r="M43" i="25"/>
  <c r="M44" i="25" s="1"/>
  <c r="M45" i="25" s="1"/>
  <c r="U43" i="25"/>
  <c r="U44" i="25" s="1"/>
  <c r="U45" i="25" s="1"/>
  <c r="AC43" i="25"/>
  <c r="AC44" i="25" s="1"/>
  <c r="AC45" i="25" s="1"/>
  <c r="AC50" i="25" s="1"/>
  <c r="AC62" i="25" s="1"/>
  <c r="D43" i="26"/>
  <c r="D44" i="26" s="1"/>
  <c r="D45" i="26" s="1"/>
  <c r="L43" i="26"/>
  <c r="L44" i="26" s="1"/>
  <c r="L45" i="26" s="1"/>
  <c r="T43" i="26"/>
  <c r="T44" i="26" s="1"/>
  <c r="T45" i="26" s="1"/>
  <c r="AB43" i="26"/>
  <c r="AB44" i="26" s="1"/>
  <c r="AB45" i="26" s="1"/>
  <c r="AA44" i="26"/>
  <c r="AA45" i="26" s="1"/>
  <c r="AC49" i="26"/>
  <c r="D43" i="28"/>
  <c r="D44" i="28" s="1"/>
  <c r="D45" i="28" s="1"/>
  <c r="D50" i="28" s="1"/>
  <c r="D62" i="28" s="1"/>
  <c r="L43" i="28"/>
  <c r="L44" i="28" s="1"/>
  <c r="L45" i="28" s="1"/>
  <c r="T43" i="28"/>
  <c r="T44" i="28" s="1"/>
  <c r="T45" i="28" s="1"/>
  <c r="AB43" i="28"/>
  <c r="AB44" i="28" s="1"/>
  <c r="AB45" i="28" s="1"/>
  <c r="AB50" i="28" s="1"/>
  <c r="AB62" i="28" s="1"/>
  <c r="W44" i="28"/>
  <c r="W45" i="28" s="1"/>
  <c r="L43" i="29"/>
  <c r="L44" i="29" s="1"/>
  <c r="L45" i="29" s="1"/>
  <c r="AB43" i="29"/>
  <c r="AB44" i="29" s="1"/>
  <c r="AB45" i="29" s="1"/>
  <c r="H43" i="31"/>
  <c r="H44" i="31" s="1"/>
  <c r="H45" i="31" s="1"/>
  <c r="X43" i="31"/>
  <c r="X44" i="31" s="1"/>
  <c r="X45" i="31" s="1"/>
  <c r="Y43" i="33"/>
  <c r="Y44" i="33" s="1"/>
  <c r="Y45" i="33" s="1"/>
  <c r="D43" i="35"/>
  <c r="H43" i="35"/>
  <c r="L43" i="35"/>
  <c r="F45" i="35"/>
  <c r="G15" i="1" s="1"/>
  <c r="J45" i="35"/>
  <c r="K15" i="1" s="1"/>
  <c r="N45" i="35"/>
  <c r="O15" i="1" s="1"/>
  <c r="I49" i="19"/>
  <c r="I46" i="35"/>
  <c r="J21" i="1" s="1"/>
  <c r="M46" i="35"/>
  <c r="N21" i="1" s="1"/>
  <c r="N49" i="21"/>
  <c r="V49" i="21"/>
  <c r="Q49" i="23"/>
  <c r="AC49" i="23"/>
  <c r="E43" i="35"/>
  <c r="M43" i="35"/>
  <c r="G45" i="35"/>
  <c r="H15" i="1" s="1"/>
  <c r="K45" i="35"/>
  <c r="L15" i="1" s="1"/>
  <c r="O45" i="35"/>
  <c r="P15" i="1" s="1"/>
  <c r="J46" i="35"/>
  <c r="K21" i="1" s="1"/>
  <c r="N46" i="35"/>
  <c r="O21" i="1" s="1"/>
  <c r="V49" i="22"/>
  <c r="V49" i="23"/>
  <c r="I49" i="26"/>
  <c r="AB49" i="20"/>
  <c r="D49" i="23"/>
  <c r="M49" i="23"/>
  <c r="Q49" i="19"/>
  <c r="AC49" i="19"/>
  <c r="J49" i="19"/>
  <c r="N49" i="19"/>
  <c r="R49" i="19"/>
  <c r="V49" i="19"/>
  <c r="Z49" i="19"/>
  <c r="G49" i="21"/>
  <c r="G50" i="21" s="1"/>
  <c r="G62" i="21" s="1"/>
  <c r="K49" i="21"/>
  <c r="O49" i="21"/>
  <c r="S49" i="21"/>
  <c r="W49" i="21"/>
  <c r="W50" i="21" s="1"/>
  <c r="W62" i="21" s="1"/>
  <c r="AA49" i="21"/>
  <c r="G49" i="22"/>
  <c r="K49" i="22"/>
  <c r="O49" i="22"/>
  <c r="S49" i="22"/>
  <c r="W49" i="22"/>
  <c r="AA49" i="22"/>
  <c r="E49" i="23"/>
  <c r="O49" i="23"/>
  <c r="T49" i="23"/>
  <c r="X49" i="23"/>
  <c r="AB49" i="23"/>
  <c r="G49" i="24"/>
  <c r="K49" i="24"/>
  <c r="O49" i="24"/>
  <c r="S49" i="24"/>
  <c r="W49" i="24"/>
  <c r="AA49" i="24"/>
  <c r="J49" i="25"/>
  <c r="N49" i="25"/>
  <c r="R49" i="25"/>
  <c r="V49" i="25"/>
  <c r="Z49" i="25"/>
  <c r="J49" i="30"/>
  <c r="U49" i="19"/>
  <c r="Y49" i="19"/>
  <c r="K49" i="19"/>
  <c r="O49" i="19"/>
  <c r="S49" i="19"/>
  <c r="W49" i="19"/>
  <c r="AA49" i="19"/>
  <c r="Q49" i="20"/>
  <c r="U49" i="20"/>
  <c r="Y49" i="20"/>
  <c r="AC49" i="20"/>
  <c r="H49" i="21"/>
  <c r="L49" i="21"/>
  <c r="L50" i="21" s="1"/>
  <c r="L62" i="21" s="1"/>
  <c r="P49" i="21"/>
  <c r="T49" i="21"/>
  <c r="X49" i="21"/>
  <c r="AB49" i="21"/>
  <c r="D49" i="22"/>
  <c r="H49" i="22"/>
  <c r="L49" i="22"/>
  <c r="P49" i="22"/>
  <c r="T49" i="22"/>
  <c r="X49" i="22"/>
  <c r="AB49" i="22"/>
  <c r="K49" i="23"/>
  <c r="H49" i="24"/>
  <c r="L49" i="24"/>
  <c r="P49" i="24"/>
  <c r="T49" i="24"/>
  <c r="X49" i="24"/>
  <c r="AB49" i="24"/>
  <c r="K49" i="25"/>
  <c r="O49" i="25"/>
  <c r="S49" i="25"/>
  <c r="W49" i="25"/>
  <c r="AA49" i="25"/>
  <c r="G49" i="27"/>
  <c r="L49" i="19"/>
  <c r="P49" i="19"/>
  <c r="T49" i="19"/>
  <c r="X49" i="19"/>
  <c r="AB49" i="19"/>
  <c r="I49" i="20"/>
  <c r="N49" i="20"/>
  <c r="V49" i="20"/>
  <c r="G49" i="23"/>
  <c r="K49" i="26"/>
  <c r="O49" i="26"/>
  <c r="S49" i="26"/>
  <c r="W49" i="26"/>
  <c r="AA49" i="26"/>
  <c r="R49" i="27"/>
  <c r="Z49" i="27"/>
  <c r="O49" i="29"/>
  <c r="L49" i="32"/>
  <c r="E49" i="27"/>
  <c r="J49" i="27"/>
  <c r="R49" i="28"/>
  <c r="V49" i="28"/>
  <c r="Z49" i="28"/>
  <c r="M49" i="29"/>
  <c r="U49" i="29"/>
  <c r="AC49" i="29"/>
  <c r="O49" i="31"/>
  <c r="I49" i="27"/>
  <c r="F49" i="27"/>
  <c r="F49" i="28"/>
  <c r="J49" i="28"/>
  <c r="N49" i="28"/>
  <c r="S49" i="28"/>
  <c r="W49" i="28"/>
  <c r="AA49" i="28"/>
  <c r="G49" i="29"/>
  <c r="K49" i="30"/>
  <c r="S49" i="33"/>
  <c r="M49" i="30"/>
  <c r="L40" i="30"/>
  <c r="L40" i="28"/>
  <c r="L48" i="28" s="1" a="1"/>
  <c r="L48" i="28" s="1"/>
  <c r="F49" i="31"/>
  <c r="L49" i="33"/>
  <c r="E49" i="30"/>
  <c r="I49" i="30"/>
  <c r="Q49" i="30"/>
  <c r="U49" i="30"/>
  <c r="Y49" i="30"/>
  <c r="AC49" i="30"/>
  <c r="L40" i="31"/>
  <c r="E49" i="31"/>
  <c r="I49" i="31"/>
  <c r="M49" i="31"/>
  <c r="Q49" i="31"/>
  <c r="U49" i="31"/>
  <c r="Y49" i="31"/>
  <c r="AC49" i="31"/>
  <c r="P49" i="32"/>
  <c r="P50" i="32" s="1"/>
  <c r="P62" i="32" s="1"/>
  <c r="S49" i="32"/>
  <c r="W49" i="33"/>
  <c r="AA49" i="33"/>
  <c r="AB49" i="32"/>
  <c r="K49" i="33"/>
  <c r="P49" i="33"/>
  <c r="AB49" i="33"/>
  <c r="AA49" i="34"/>
  <c r="S50" i="34"/>
  <c r="S62" i="34" s="1"/>
  <c r="E49" i="34"/>
  <c r="M49" i="33"/>
  <c r="I49" i="34"/>
  <c r="Q49" i="34"/>
  <c r="U49" i="34"/>
  <c r="Y49" i="34"/>
  <c r="Y50" i="34" s="1"/>
  <c r="Y62" i="34" s="1"/>
  <c r="Q49" i="33"/>
  <c r="U49" i="33"/>
  <c r="Y49" i="33"/>
  <c r="AC49" i="33"/>
  <c r="M49" i="34"/>
  <c r="L49" i="34"/>
  <c r="AC49" i="34"/>
  <c r="D60" i="35"/>
  <c r="H60" i="35"/>
  <c r="L60" i="35"/>
  <c r="P60" i="35"/>
  <c r="E60" i="35"/>
  <c r="I60" i="35"/>
  <c r="M60" i="35"/>
  <c r="I49" i="4"/>
  <c r="M49" i="4"/>
  <c r="M50" i="4" s="1"/>
  <c r="M62" i="4" s="1"/>
  <c r="Q49" i="4"/>
  <c r="Q50" i="4" s="1"/>
  <c r="Q62" i="4" s="1"/>
  <c r="U49" i="4"/>
  <c r="Y49" i="4"/>
  <c r="AC49" i="4"/>
  <c r="AC50" i="4" s="1"/>
  <c r="AC62" i="4" s="1"/>
  <c r="G49" i="5"/>
  <c r="G50" i="5" s="1"/>
  <c r="G62" i="5" s="1"/>
  <c r="K49" i="5"/>
  <c r="P49" i="5"/>
  <c r="T49" i="5"/>
  <c r="X49" i="5"/>
  <c r="X50" i="5" s="1"/>
  <c r="X62" i="5" s="1"/>
  <c r="AB49" i="5"/>
  <c r="AB50" i="5" s="1"/>
  <c r="AB62" i="5" s="1"/>
  <c r="F49" i="4"/>
  <c r="J49" i="4"/>
  <c r="N49" i="4"/>
  <c r="N50" i="4" s="1"/>
  <c r="N62" i="4" s="1"/>
  <c r="R49" i="4"/>
  <c r="V49" i="4"/>
  <c r="Z49" i="4"/>
  <c r="M49" i="5"/>
  <c r="M50" i="5" s="1"/>
  <c r="M62" i="5" s="1"/>
  <c r="H49" i="5"/>
  <c r="H50" i="5" s="1"/>
  <c r="H62" i="5" s="1"/>
  <c r="L49" i="5"/>
  <c r="Q49" i="5"/>
  <c r="U49" i="5"/>
  <c r="Y49" i="5"/>
  <c r="AC49" i="5"/>
  <c r="I49" i="5"/>
  <c r="R49" i="5"/>
  <c r="R50" i="5" s="1"/>
  <c r="R62" i="5" s="1"/>
  <c r="V49" i="5"/>
  <c r="Z49" i="5"/>
  <c r="J50" i="17"/>
  <c r="J62" i="17" s="1"/>
  <c r="G50" i="17"/>
  <c r="G62" i="17" s="1"/>
  <c r="G50" i="14"/>
  <c r="G62" i="14" s="1"/>
  <c r="S50" i="17"/>
  <c r="S62" i="17" s="1"/>
  <c r="S50" i="15"/>
  <c r="S62" i="15" s="1"/>
  <c r="S50" i="11"/>
  <c r="S62" i="11" s="1"/>
  <c r="S50" i="7"/>
  <c r="S62" i="7" s="1"/>
  <c r="AA50" i="15"/>
  <c r="AA62" i="15" s="1"/>
  <c r="AA50" i="11"/>
  <c r="AA62" i="11" s="1"/>
  <c r="AA50" i="9"/>
  <c r="AA62" i="9" s="1"/>
  <c r="AA50" i="8"/>
  <c r="AA62" i="8" s="1"/>
  <c r="AA50" i="7"/>
  <c r="AA62" i="7" s="1"/>
  <c r="AA50" i="6"/>
  <c r="AA62" i="6" s="1"/>
  <c r="O49" i="7"/>
  <c r="O50" i="7" s="1"/>
  <c r="O62" i="7" s="1"/>
  <c r="E49" i="8"/>
  <c r="G50" i="18"/>
  <c r="G62" i="18" s="1"/>
  <c r="G50" i="16"/>
  <c r="G62" i="16" s="1"/>
  <c r="G50" i="15"/>
  <c r="G62" i="15" s="1"/>
  <c r="G50" i="12"/>
  <c r="G62" i="12" s="1"/>
  <c r="K50" i="6"/>
  <c r="K62" i="6" s="1"/>
  <c r="O50" i="18"/>
  <c r="O62" i="18" s="1"/>
  <c r="O50" i="10"/>
  <c r="O62" i="10" s="1"/>
  <c r="S50" i="18"/>
  <c r="S62" i="18" s="1"/>
  <c r="S50" i="14"/>
  <c r="S62" i="14" s="1"/>
  <c r="S50" i="16"/>
  <c r="S62" i="16" s="1"/>
  <c r="S50" i="12"/>
  <c r="S62" i="12" s="1"/>
  <c r="S50" i="13"/>
  <c r="S62" i="13" s="1"/>
  <c r="S50" i="10"/>
  <c r="S62" i="10" s="1"/>
  <c r="W50" i="12"/>
  <c r="W62" i="12" s="1"/>
  <c r="W50" i="10"/>
  <c r="W62" i="10" s="1"/>
  <c r="AA50" i="18"/>
  <c r="AA62" i="18" s="1"/>
  <c r="AA50" i="17"/>
  <c r="AA62" i="17" s="1"/>
  <c r="AA50" i="16"/>
  <c r="AA62" i="16" s="1"/>
  <c r="AA50" i="14"/>
  <c r="AA62" i="14" s="1"/>
  <c r="AA50" i="13"/>
  <c r="AA62" i="13" s="1"/>
  <c r="AA50" i="12"/>
  <c r="AA62" i="12" s="1"/>
  <c r="AA50" i="10"/>
  <c r="AA62" i="10" s="1"/>
  <c r="D50" i="12"/>
  <c r="D62" i="12" s="1"/>
  <c r="H50" i="13"/>
  <c r="H62" i="13" s="1"/>
  <c r="L50" i="12"/>
  <c r="L62" i="12" s="1"/>
  <c r="L50" i="10"/>
  <c r="L62" i="10" s="1"/>
  <c r="L50" i="11"/>
  <c r="L62" i="11" s="1"/>
  <c r="L50" i="9"/>
  <c r="L62" i="9" s="1"/>
  <c r="T50" i="7"/>
  <c r="T62" i="7" s="1"/>
  <c r="X50" i="10"/>
  <c r="X62" i="10" s="1"/>
  <c r="X50" i="8"/>
  <c r="X62" i="8" s="1"/>
  <c r="X50" i="11"/>
  <c r="X62" i="11" s="1"/>
  <c r="X50" i="7"/>
  <c r="X62" i="7" s="1"/>
  <c r="AB50" i="10"/>
  <c r="AB62" i="10" s="1"/>
  <c r="AB50" i="9"/>
  <c r="AB62" i="9" s="1"/>
  <c r="AB50" i="8"/>
  <c r="AB62" i="8" s="1"/>
  <c r="K50" i="4"/>
  <c r="K62" i="4" s="1"/>
  <c r="W50" i="6"/>
  <c r="W62" i="6" s="1"/>
  <c r="AB50" i="6"/>
  <c r="AB62" i="6" s="1"/>
  <c r="P49" i="8"/>
  <c r="P50" i="8" s="1"/>
  <c r="P62" i="8" s="1"/>
  <c r="Q49" i="8"/>
  <c r="U49" i="8"/>
  <c r="Y49" i="8"/>
  <c r="Y50" i="8" s="1"/>
  <c r="Y62" i="8" s="1"/>
  <c r="AC49" i="8"/>
  <c r="P50" i="11"/>
  <c r="P62" i="11" s="1"/>
  <c r="K50" i="18"/>
  <c r="K62" i="18" s="1"/>
  <c r="K50" i="17"/>
  <c r="K62" i="17" s="1"/>
  <c r="K50" i="15"/>
  <c r="K62" i="15" s="1"/>
  <c r="K50" i="16"/>
  <c r="K62" i="16" s="1"/>
  <c r="K50" i="14"/>
  <c r="K62" i="14" s="1"/>
  <c r="K50" i="13"/>
  <c r="K62" i="13" s="1"/>
  <c r="K50" i="12"/>
  <c r="K62" i="12" s="1"/>
  <c r="K50" i="11"/>
  <c r="K62" i="11" s="1"/>
  <c r="K50" i="10"/>
  <c r="K62" i="10" s="1"/>
  <c r="K50" i="8"/>
  <c r="K62" i="8" s="1"/>
  <c r="D50" i="10"/>
  <c r="D62" i="10" s="1"/>
  <c r="H50" i="14"/>
  <c r="H62" i="14" s="1"/>
  <c r="H50" i="10"/>
  <c r="H62" i="10" s="1"/>
  <c r="L50" i="14"/>
  <c r="L62" i="14" s="1"/>
  <c r="L50" i="13"/>
  <c r="L62" i="13" s="1"/>
  <c r="L50" i="8"/>
  <c r="L62" i="8" s="1"/>
  <c r="P50" i="16"/>
  <c r="P62" i="16" s="1"/>
  <c r="P50" i="14"/>
  <c r="P62" i="14" s="1"/>
  <c r="P50" i="13"/>
  <c r="P62" i="13" s="1"/>
  <c r="T50" i="13"/>
  <c r="T62" i="13" s="1"/>
  <c r="T50" i="11"/>
  <c r="T62" i="11" s="1"/>
  <c r="T50" i="10"/>
  <c r="T62" i="10" s="1"/>
  <c r="T50" i="12"/>
  <c r="T62" i="12" s="1"/>
  <c r="T50" i="9"/>
  <c r="T62" i="9" s="1"/>
  <c r="T50" i="8"/>
  <c r="T62" i="8" s="1"/>
  <c r="X50" i="13"/>
  <c r="X62" i="13" s="1"/>
  <c r="X50" i="14"/>
  <c r="X62" i="14" s="1"/>
  <c r="X50" i="9"/>
  <c r="X62" i="9" s="1"/>
  <c r="AB50" i="14"/>
  <c r="AB62" i="14" s="1"/>
  <c r="AB50" i="13"/>
  <c r="AB62" i="13" s="1"/>
  <c r="AB50" i="11"/>
  <c r="AB62" i="11" s="1"/>
  <c r="AB50" i="12"/>
  <c r="AB62" i="12" s="1"/>
  <c r="E50" i="15"/>
  <c r="E62" i="15" s="1"/>
  <c r="I50" i="11"/>
  <c r="I62" i="11" s="1"/>
  <c r="I50" i="6"/>
  <c r="I62" i="6" s="1"/>
  <c r="M50" i="17"/>
  <c r="M62" i="17" s="1"/>
  <c r="M50" i="15"/>
  <c r="M62" i="15" s="1"/>
  <c r="M50" i="13"/>
  <c r="M62" i="13" s="1"/>
  <c r="M50" i="10"/>
  <c r="M62" i="10" s="1"/>
  <c r="M50" i="6"/>
  <c r="M62" i="6" s="1"/>
  <c r="Q50" i="6"/>
  <c r="Q62" i="6" s="1"/>
  <c r="Q50" i="10"/>
  <c r="Q62" i="10" s="1"/>
  <c r="U50" i="15"/>
  <c r="U62" i="15" s="1"/>
  <c r="U50" i="14"/>
  <c r="U62" i="14" s="1"/>
  <c r="U50" i="11"/>
  <c r="U62" i="11" s="1"/>
  <c r="U50" i="10"/>
  <c r="U62" i="10" s="1"/>
  <c r="Y50" i="17"/>
  <c r="Y62" i="17" s="1"/>
  <c r="Y50" i="14"/>
  <c r="Y62" i="14" s="1"/>
  <c r="Y50" i="7"/>
  <c r="Y62" i="7" s="1"/>
  <c r="Y50" i="6"/>
  <c r="Y62" i="6" s="1"/>
  <c r="AC50" i="17"/>
  <c r="AC62" i="17" s="1"/>
  <c r="AC50" i="15"/>
  <c r="AC62" i="15" s="1"/>
  <c r="AC50" i="13"/>
  <c r="AC62" i="13" s="1"/>
  <c r="AC50" i="10"/>
  <c r="AC62" i="10" s="1"/>
  <c r="AC50" i="7"/>
  <c r="AC62" i="7" s="1"/>
  <c r="AC50" i="6"/>
  <c r="AC62" i="6" s="1"/>
  <c r="V50" i="4"/>
  <c r="V62" i="4" s="1"/>
  <c r="H50" i="4"/>
  <c r="H62" i="4" s="1"/>
  <c r="L50" i="4"/>
  <c r="L62" i="4" s="1"/>
  <c r="P50" i="4"/>
  <c r="P62" i="4" s="1"/>
  <c r="T50" i="4"/>
  <c r="T62" i="4" s="1"/>
  <c r="X50" i="4"/>
  <c r="X62" i="4" s="1"/>
  <c r="AB50" i="4"/>
  <c r="AB62" i="4" s="1"/>
  <c r="L50" i="5"/>
  <c r="L62" i="5" s="1"/>
  <c r="T50" i="5"/>
  <c r="T62" i="5" s="1"/>
  <c r="F50" i="5"/>
  <c r="F62" i="5" s="1"/>
  <c r="J50" i="5"/>
  <c r="J62" i="5" s="1"/>
  <c r="N50" i="5"/>
  <c r="N62" i="5" s="1"/>
  <c r="V50" i="5"/>
  <c r="V62" i="5" s="1"/>
  <c r="S50" i="6"/>
  <c r="S62" i="6" s="1"/>
  <c r="X50" i="6"/>
  <c r="X62" i="6" s="1"/>
  <c r="T50" i="6"/>
  <c r="T62" i="6" s="1"/>
  <c r="K50" i="7"/>
  <c r="K62" i="7" s="1"/>
  <c r="L50" i="7"/>
  <c r="L62" i="7" s="1"/>
  <c r="AB50" i="7"/>
  <c r="AB62" i="7" s="1"/>
  <c r="I49" i="7"/>
  <c r="I50" i="7" s="1"/>
  <c r="I62" i="7" s="1"/>
  <c r="M49" i="7"/>
  <c r="M50" i="7" s="1"/>
  <c r="M62" i="7" s="1"/>
  <c r="AC50" i="8"/>
  <c r="AC62" i="8" s="1"/>
  <c r="S50" i="8"/>
  <c r="S62" i="8" s="1"/>
  <c r="S50" i="9"/>
  <c r="S62" i="9" s="1"/>
  <c r="I50" i="13"/>
  <c r="I62" i="13" s="1"/>
  <c r="O50" i="17"/>
  <c r="O62" i="17" s="1"/>
  <c r="O50" i="15"/>
  <c r="O62" i="15" s="1"/>
  <c r="O50" i="14"/>
  <c r="O62" i="14" s="1"/>
  <c r="O50" i="12"/>
  <c r="O62" i="12" s="1"/>
  <c r="O50" i="11"/>
  <c r="O62" i="11" s="1"/>
  <c r="O50" i="9"/>
  <c r="O62" i="9" s="1"/>
  <c r="O50" i="8"/>
  <c r="O62" i="8" s="1"/>
  <c r="W50" i="18"/>
  <c r="W62" i="18" s="1"/>
  <c r="W50" i="17"/>
  <c r="W62" i="17" s="1"/>
  <c r="W50" i="15"/>
  <c r="W62" i="15" s="1"/>
  <c r="W50" i="14"/>
  <c r="W62" i="14" s="1"/>
  <c r="W50" i="13"/>
  <c r="W62" i="13" s="1"/>
  <c r="W50" i="11"/>
  <c r="W62" i="11" s="1"/>
  <c r="W50" i="8"/>
  <c r="W62" i="8" s="1"/>
  <c r="W50" i="7"/>
  <c r="W62" i="7" s="1"/>
  <c r="R50" i="4"/>
  <c r="R62" i="4" s="1"/>
  <c r="I50" i="17"/>
  <c r="I62" i="17" s="1"/>
  <c r="I50" i="15"/>
  <c r="I62" i="15" s="1"/>
  <c r="M50" i="11"/>
  <c r="M62" i="11" s="1"/>
  <c r="Q50" i="17"/>
  <c r="Q62" i="17" s="1"/>
  <c r="Q50" i="15"/>
  <c r="Q62" i="15" s="1"/>
  <c r="Q50" i="14"/>
  <c r="Q62" i="14" s="1"/>
  <c r="Q50" i="13"/>
  <c r="Q62" i="13" s="1"/>
  <c r="Q50" i="11"/>
  <c r="Q62" i="11" s="1"/>
  <c r="Q50" i="7"/>
  <c r="Q62" i="7" s="1"/>
  <c r="U50" i="17"/>
  <c r="U62" i="17" s="1"/>
  <c r="U50" i="13"/>
  <c r="U62" i="13" s="1"/>
  <c r="U50" i="9"/>
  <c r="U62" i="9" s="1"/>
  <c r="U50" i="7"/>
  <c r="U62" i="7" s="1"/>
  <c r="Y50" i="15"/>
  <c r="Y62" i="15" s="1"/>
  <c r="Y50" i="13"/>
  <c r="Y62" i="13" s="1"/>
  <c r="Y50" i="11"/>
  <c r="Y62" i="11" s="1"/>
  <c r="Y50" i="10"/>
  <c r="Y62" i="10" s="1"/>
  <c r="Y50" i="9"/>
  <c r="Y62" i="9" s="1"/>
  <c r="AC50" i="14"/>
  <c r="AC62" i="14" s="1"/>
  <c r="AC50" i="9"/>
  <c r="AC62" i="9" s="1"/>
  <c r="F50" i="18"/>
  <c r="F62" i="18" s="1"/>
  <c r="F50" i="17"/>
  <c r="F62" i="17" s="1"/>
  <c r="F50" i="15"/>
  <c r="F62" i="15" s="1"/>
  <c r="F50" i="16"/>
  <c r="F62" i="16" s="1"/>
  <c r="F50" i="14"/>
  <c r="F62" i="14" s="1"/>
  <c r="F50" i="10"/>
  <c r="F62" i="10" s="1"/>
  <c r="J50" i="18"/>
  <c r="J62" i="18" s="1"/>
  <c r="J50" i="15"/>
  <c r="J62" i="15" s="1"/>
  <c r="J50" i="16"/>
  <c r="J62" i="16" s="1"/>
  <c r="J50" i="12"/>
  <c r="J62" i="12" s="1"/>
  <c r="J50" i="11"/>
  <c r="J62" i="11" s="1"/>
  <c r="J50" i="10"/>
  <c r="J62" i="10" s="1"/>
  <c r="J50" i="9"/>
  <c r="J62" i="9" s="1"/>
  <c r="J50" i="8"/>
  <c r="J62" i="8" s="1"/>
  <c r="N50" i="18"/>
  <c r="N62" i="18" s="1"/>
  <c r="N50" i="15"/>
  <c r="N62" i="15" s="1"/>
  <c r="N50" i="16"/>
  <c r="N62" i="16" s="1"/>
  <c r="N50" i="17"/>
  <c r="N62" i="17" s="1"/>
  <c r="N50" i="14"/>
  <c r="N62" i="14" s="1"/>
  <c r="N50" i="11"/>
  <c r="N62" i="11" s="1"/>
  <c r="N50" i="10"/>
  <c r="N62" i="10" s="1"/>
  <c r="N50" i="12"/>
  <c r="N62" i="12" s="1"/>
  <c r="N50" i="9"/>
  <c r="N62" i="9" s="1"/>
  <c r="R50" i="18"/>
  <c r="R62" i="18" s="1"/>
  <c r="R50" i="15"/>
  <c r="R62" i="15" s="1"/>
  <c r="R50" i="17"/>
  <c r="R62" i="17" s="1"/>
  <c r="R50" i="16"/>
  <c r="R62" i="16" s="1"/>
  <c r="R50" i="14"/>
  <c r="R62" i="14" s="1"/>
  <c r="R50" i="12"/>
  <c r="R62" i="12" s="1"/>
  <c r="R50" i="11"/>
  <c r="R62" i="11" s="1"/>
  <c r="R50" i="10"/>
  <c r="R62" i="10" s="1"/>
  <c r="R50" i="9"/>
  <c r="R62" i="9" s="1"/>
  <c r="R50" i="8"/>
  <c r="R62" i="8" s="1"/>
  <c r="V50" i="18"/>
  <c r="V62" i="18" s="1"/>
  <c r="V50" i="16"/>
  <c r="V62" i="16" s="1"/>
  <c r="V50" i="17"/>
  <c r="V62" i="17" s="1"/>
  <c r="V50" i="15"/>
  <c r="V62" i="15" s="1"/>
  <c r="V50" i="14"/>
  <c r="V62" i="14" s="1"/>
  <c r="V50" i="10"/>
  <c r="V62" i="10" s="1"/>
  <c r="V50" i="12"/>
  <c r="V62" i="12" s="1"/>
  <c r="V50" i="9"/>
  <c r="V62" i="9" s="1"/>
  <c r="V50" i="8"/>
  <c r="V62" i="8" s="1"/>
  <c r="Z50" i="18"/>
  <c r="Z62" i="18" s="1"/>
  <c r="Z50" i="17"/>
  <c r="Z62" i="17" s="1"/>
  <c r="Z50" i="16"/>
  <c r="Z62" i="16" s="1"/>
  <c r="Z50" i="15"/>
  <c r="Z62" i="15" s="1"/>
  <c r="Z50" i="14"/>
  <c r="Z62" i="14" s="1"/>
  <c r="Z50" i="12"/>
  <c r="Z62" i="12" s="1"/>
  <c r="Z50" i="11"/>
  <c r="Z62" i="11" s="1"/>
  <c r="Z50" i="10"/>
  <c r="Z62" i="10" s="1"/>
  <c r="Z50" i="9"/>
  <c r="Z62" i="9" s="1"/>
  <c r="Z50" i="8"/>
  <c r="Z62" i="8" s="1"/>
  <c r="G50" i="4"/>
  <c r="G62" i="4" s="1"/>
  <c r="O50" i="4"/>
  <c r="O62" i="4" s="1"/>
  <c r="S50" i="4"/>
  <c r="S62" i="4" s="1"/>
  <c r="W50" i="4"/>
  <c r="W62" i="4" s="1"/>
  <c r="AA50" i="4"/>
  <c r="AA62" i="4" s="1"/>
  <c r="U50" i="4"/>
  <c r="U62" i="4" s="1"/>
  <c r="Q50" i="5"/>
  <c r="Q62" i="5" s="1"/>
  <c r="U50" i="5"/>
  <c r="U62" i="5" s="1"/>
  <c r="Y50" i="5"/>
  <c r="Y62" i="5" s="1"/>
  <c r="AC50" i="5"/>
  <c r="AC62" i="5" s="1"/>
  <c r="K50" i="5"/>
  <c r="K62" i="5" s="1"/>
  <c r="O50" i="5"/>
  <c r="O62" i="5" s="1"/>
  <c r="S50" i="5"/>
  <c r="S62" i="5" s="1"/>
  <c r="W50" i="5"/>
  <c r="W62" i="5" s="1"/>
  <c r="AA50" i="5"/>
  <c r="AA62" i="5" s="1"/>
  <c r="O50" i="6"/>
  <c r="O62" i="6" s="1"/>
  <c r="P50" i="6"/>
  <c r="P62" i="6" s="1"/>
  <c r="U50" i="6"/>
  <c r="U62" i="6" s="1"/>
  <c r="J49" i="6"/>
  <c r="J50" i="6" s="1"/>
  <c r="J62" i="6" s="1"/>
  <c r="N49" i="6"/>
  <c r="R49" i="6"/>
  <c r="V49" i="6"/>
  <c r="V50" i="6" s="1"/>
  <c r="V62" i="6" s="1"/>
  <c r="Z49" i="6"/>
  <c r="Z50" i="6" s="1"/>
  <c r="Z62" i="6" s="1"/>
  <c r="Z50" i="7"/>
  <c r="Z62" i="7" s="1"/>
  <c r="P50" i="7"/>
  <c r="P62" i="7" s="1"/>
  <c r="J49" i="7"/>
  <c r="N49" i="7"/>
  <c r="N50" i="7" s="1"/>
  <c r="N62" i="7" s="1"/>
  <c r="R49" i="7"/>
  <c r="V49" i="7"/>
  <c r="Z49" i="7"/>
  <c r="I49" i="8"/>
  <c r="N49" i="8"/>
  <c r="N50" i="8" s="1"/>
  <c r="N62" i="8" s="1"/>
  <c r="Q50" i="9"/>
  <c r="Q62" i="9" s="1"/>
  <c r="W50" i="9"/>
  <c r="W62" i="9" s="1"/>
  <c r="G50" i="10"/>
  <c r="G62" i="10" s="1"/>
  <c r="V50" i="11"/>
  <c r="V62" i="11" s="1"/>
  <c r="F50" i="12"/>
  <c r="F62" i="12" s="1"/>
  <c r="M49" i="9"/>
  <c r="I49" i="9"/>
  <c r="I50" i="9" s="1"/>
  <c r="I62" i="9" s="1"/>
  <c r="K49" i="9"/>
  <c r="J49" i="13"/>
  <c r="N49" i="13"/>
  <c r="R49" i="13"/>
  <c r="V49" i="13"/>
  <c r="V50" i="13" s="1"/>
  <c r="V62" i="13" s="1"/>
  <c r="Z49" i="13"/>
  <c r="H49" i="12"/>
  <c r="P49" i="12"/>
  <c r="X49" i="12"/>
  <c r="T49" i="14"/>
  <c r="AC49" i="11"/>
  <c r="AC50" i="11" s="1"/>
  <c r="AC62" i="11" s="1"/>
  <c r="E49" i="12"/>
  <c r="I49" i="12"/>
  <c r="M49" i="12"/>
  <c r="M50" i="12" s="1"/>
  <c r="M62" i="12" s="1"/>
  <c r="Q49" i="12"/>
  <c r="Q50" i="12" s="1"/>
  <c r="Q62" i="12" s="1"/>
  <c r="U49" i="12"/>
  <c r="Y49" i="12"/>
  <c r="AC49" i="12"/>
  <c r="I49" i="14"/>
  <c r="I50" i="14" s="1"/>
  <c r="I62" i="14" s="1"/>
  <c r="D49" i="15"/>
  <c r="H49" i="15"/>
  <c r="L49" i="15"/>
  <c r="P49" i="15"/>
  <c r="P50" i="15" s="1"/>
  <c r="P62" i="15" s="1"/>
  <c r="T49" i="15"/>
  <c r="X49" i="15"/>
  <c r="AB49" i="15"/>
  <c r="D49" i="16"/>
  <c r="H49" i="16"/>
  <c r="W49" i="16"/>
  <c r="O49" i="16"/>
  <c r="E49" i="16"/>
  <c r="I49" i="16"/>
  <c r="T49" i="16"/>
  <c r="X49" i="16"/>
  <c r="AB49" i="16"/>
  <c r="E49" i="17"/>
  <c r="M49" i="16"/>
  <c r="L49" i="16"/>
  <c r="Q49" i="16"/>
  <c r="U49" i="16"/>
  <c r="Y49" i="16"/>
  <c r="AC49" i="16"/>
  <c r="H49" i="17"/>
  <c r="L49" i="17"/>
  <c r="P49" i="17"/>
  <c r="T49" i="17"/>
  <c r="X49" i="17"/>
  <c r="AB49" i="17"/>
  <c r="AB50" i="17" s="1"/>
  <c r="AB62" i="17" s="1"/>
  <c r="H49" i="18"/>
  <c r="H50" i="18" s="1"/>
  <c r="H62" i="18" s="1"/>
  <c r="L49" i="18"/>
  <c r="P49" i="18"/>
  <c r="T49" i="18"/>
  <c r="X49" i="18"/>
  <c r="AB49" i="18"/>
  <c r="E49" i="18"/>
  <c r="I49" i="18"/>
  <c r="M49" i="18"/>
  <c r="Q49" i="18"/>
  <c r="U49" i="18"/>
  <c r="Y49" i="18"/>
  <c r="AC49" i="18"/>
  <c r="H26" i="1" l="1"/>
  <c r="G26" i="1"/>
  <c r="F26" i="1"/>
  <c r="I49" i="10"/>
  <c r="I50" i="10" s="1"/>
  <c r="I62" i="10" s="1"/>
  <c r="T50" i="21"/>
  <c r="T62" i="21" s="1"/>
  <c r="R50" i="23"/>
  <c r="R62" i="23" s="1"/>
  <c r="Q16" i="1"/>
  <c r="Q27" i="1" s="1"/>
  <c r="U50" i="24"/>
  <c r="U62" i="24" s="1"/>
  <c r="P44" i="35"/>
  <c r="Q18" i="1" s="1"/>
  <c r="H50" i="24"/>
  <c r="H62" i="24" s="1"/>
  <c r="AB50" i="25"/>
  <c r="AB62" i="25" s="1"/>
  <c r="Q50" i="25"/>
  <c r="Q62" i="25" s="1"/>
  <c r="Y50" i="28"/>
  <c r="Y62" i="28" s="1"/>
  <c r="E50" i="28"/>
  <c r="E62" i="28" s="1"/>
  <c r="K50" i="28"/>
  <c r="K62" i="28" s="1"/>
  <c r="H50" i="28"/>
  <c r="H62" i="28" s="1"/>
  <c r="G50" i="29"/>
  <c r="G62" i="29" s="1"/>
  <c r="S50" i="29"/>
  <c r="S62" i="29" s="1"/>
  <c r="M44" i="35"/>
  <c r="N18" i="1" s="1"/>
  <c r="N16" i="1"/>
  <c r="N27" i="1" s="1"/>
  <c r="L48" i="30" a="1"/>
  <c r="L48" i="30" s="1"/>
  <c r="L49" i="30" s="1"/>
  <c r="L50" i="30" s="1"/>
  <c r="L62" i="30" s="1"/>
  <c r="I44" i="35"/>
  <c r="J18" i="1" s="1"/>
  <c r="L37" i="35"/>
  <c r="M20" i="1" s="1"/>
  <c r="M28" i="1" s="1"/>
  <c r="P27" i="1"/>
  <c r="O27" i="1"/>
  <c r="G27" i="1"/>
  <c r="L48" i="31" a="1"/>
  <c r="L48" i="31" s="1"/>
  <c r="L46" i="35" s="1"/>
  <c r="M21" i="1" s="1"/>
  <c r="J16" i="1"/>
  <c r="J27" i="1" s="1"/>
  <c r="N28" i="1"/>
  <c r="Z50" i="32"/>
  <c r="Z62" i="32" s="1"/>
  <c r="W50" i="33"/>
  <c r="W62" i="33" s="1"/>
  <c r="P49" i="34"/>
  <c r="V50" i="34"/>
  <c r="V62" i="34" s="1"/>
  <c r="F50" i="34"/>
  <c r="F62" i="34" s="1"/>
  <c r="Q28" i="1"/>
  <c r="M27" i="1"/>
  <c r="O28" i="1"/>
  <c r="H27" i="1"/>
  <c r="J28" i="1"/>
  <c r="P28" i="1"/>
  <c r="L27" i="1"/>
  <c r="I27" i="1"/>
  <c r="L28" i="1"/>
  <c r="E27" i="1"/>
  <c r="Q26" i="1"/>
  <c r="K28" i="1"/>
  <c r="F27" i="1"/>
  <c r="K27" i="1"/>
  <c r="O47" i="35"/>
  <c r="K47" i="35"/>
  <c r="F50" i="26"/>
  <c r="F62" i="26" s="1"/>
  <c r="I50" i="5"/>
  <c r="I62" i="5" s="1"/>
  <c r="J50" i="13"/>
  <c r="J62" i="13" s="1"/>
  <c r="O50" i="16"/>
  <c r="O62" i="16" s="1"/>
  <c r="J50" i="7"/>
  <c r="J62" i="7" s="1"/>
  <c r="AB50" i="15"/>
  <c r="AB62" i="15" s="1"/>
  <c r="X50" i="17"/>
  <c r="X62" i="17" s="1"/>
  <c r="T50" i="14"/>
  <c r="T62" i="14" s="1"/>
  <c r="T50" i="15"/>
  <c r="T62" i="15" s="1"/>
  <c r="T50" i="17"/>
  <c r="T62" i="17" s="1"/>
  <c r="P50" i="12"/>
  <c r="P62" i="12" s="1"/>
  <c r="P50" i="18"/>
  <c r="P62" i="18" s="1"/>
  <c r="L50" i="18"/>
  <c r="L62" i="18" s="1"/>
  <c r="Q50" i="8"/>
  <c r="Q62" i="8" s="1"/>
  <c r="Z50" i="13"/>
  <c r="Z62" i="13" s="1"/>
  <c r="AC50" i="18"/>
  <c r="AC62" i="18" s="1"/>
  <c r="O50" i="13"/>
  <c r="O62" i="13" s="1"/>
  <c r="N50" i="13"/>
  <c r="N62" i="13" s="1"/>
  <c r="J50" i="14"/>
  <c r="J62" i="14" s="1"/>
  <c r="V50" i="7"/>
  <c r="V62" i="7" s="1"/>
  <c r="N47" i="35"/>
  <c r="R50" i="7"/>
  <c r="R62" i="7" s="1"/>
  <c r="R50" i="13"/>
  <c r="R62" i="13" s="1"/>
  <c r="I50" i="8"/>
  <c r="I62" i="8" s="1"/>
  <c r="E50" i="16"/>
  <c r="E62" i="16" s="1"/>
  <c r="W50" i="16"/>
  <c r="W62" i="16" s="1"/>
  <c r="M50" i="9"/>
  <c r="M62" i="9" s="1"/>
  <c r="Y50" i="12"/>
  <c r="Y62" i="12" s="1"/>
  <c r="U50" i="18"/>
  <c r="U62" i="18" s="1"/>
  <c r="I50" i="16"/>
  <c r="I62" i="16" s="1"/>
  <c r="I50" i="18"/>
  <c r="I62" i="18" s="1"/>
  <c r="X50" i="15"/>
  <c r="X62" i="15" s="1"/>
  <c r="J47" i="35"/>
  <c r="X50" i="27"/>
  <c r="X62" i="27" s="1"/>
  <c r="Y50" i="22"/>
  <c r="Y62" i="22" s="1"/>
  <c r="AA50" i="31"/>
  <c r="AA62" i="31" s="1"/>
  <c r="K50" i="29"/>
  <c r="K62" i="29" s="1"/>
  <c r="K50" i="20"/>
  <c r="K62" i="20" s="1"/>
  <c r="R50" i="31"/>
  <c r="R62" i="31" s="1"/>
  <c r="AC50" i="21"/>
  <c r="AC62" i="21" s="1"/>
  <c r="U50" i="21"/>
  <c r="U62" i="21" s="1"/>
  <c r="Y50" i="31"/>
  <c r="Y62" i="31" s="1"/>
  <c r="F50" i="24"/>
  <c r="F62" i="24" s="1"/>
  <c r="Z50" i="25"/>
  <c r="Z62" i="25" s="1"/>
  <c r="J50" i="25"/>
  <c r="J62" i="25" s="1"/>
  <c r="N50" i="34"/>
  <c r="N62" i="34" s="1"/>
  <c r="J50" i="20"/>
  <c r="J62" i="20" s="1"/>
  <c r="V50" i="32"/>
  <c r="V62" i="32" s="1"/>
  <c r="J50" i="27"/>
  <c r="J62" i="27" s="1"/>
  <c r="S50" i="25"/>
  <c r="S62" i="25" s="1"/>
  <c r="AC50" i="20"/>
  <c r="AC62" i="20" s="1"/>
  <c r="Z50" i="30"/>
  <c r="Z62" i="30" s="1"/>
  <c r="V50" i="31"/>
  <c r="V62" i="31" s="1"/>
  <c r="G50" i="30"/>
  <c r="G62" i="30" s="1"/>
  <c r="S50" i="27"/>
  <c r="S62" i="27" s="1"/>
  <c r="F50" i="28"/>
  <c r="F62" i="28" s="1"/>
  <c r="O50" i="26"/>
  <c r="O62" i="26" s="1"/>
  <c r="U50" i="23"/>
  <c r="U62" i="23" s="1"/>
  <c r="M50" i="32"/>
  <c r="M62" i="32" s="1"/>
  <c r="AA50" i="30"/>
  <c r="AA62" i="30" s="1"/>
  <c r="W50" i="31"/>
  <c r="W62" i="31" s="1"/>
  <c r="S50" i="24"/>
  <c r="S62" i="24" s="1"/>
  <c r="AC50" i="26"/>
  <c r="AC62" i="26" s="1"/>
  <c r="M50" i="25"/>
  <c r="M62" i="25" s="1"/>
  <c r="F50" i="29"/>
  <c r="F62" i="29" s="1"/>
  <c r="W50" i="28"/>
  <c r="W62" i="28" s="1"/>
  <c r="G50" i="23"/>
  <c r="G62" i="23" s="1"/>
  <c r="D50" i="22"/>
  <c r="D62" i="22" s="1"/>
  <c r="M50" i="24"/>
  <c r="M62" i="24" s="1"/>
  <c r="AC50" i="27"/>
  <c r="AC62" i="27" s="1"/>
  <c r="I50" i="29"/>
  <c r="I62" i="29" s="1"/>
  <c r="H50" i="27"/>
  <c r="H62" i="27" s="1"/>
  <c r="X50" i="29"/>
  <c r="X62" i="29" s="1"/>
  <c r="X50" i="34"/>
  <c r="X62" i="34" s="1"/>
  <c r="W50" i="27"/>
  <c r="W62" i="27" s="1"/>
  <c r="W50" i="30"/>
  <c r="W62" i="30" s="1"/>
  <c r="O50" i="32"/>
  <c r="O62" i="32" s="1"/>
  <c r="Z50" i="24"/>
  <c r="Z62" i="24" s="1"/>
  <c r="Z50" i="29"/>
  <c r="Z62" i="29" s="1"/>
  <c r="V50" i="33"/>
  <c r="V62" i="33" s="1"/>
  <c r="J50" i="29"/>
  <c r="J62" i="29" s="1"/>
  <c r="P50" i="31"/>
  <c r="P62" i="31" s="1"/>
  <c r="Y50" i="25"/>
  <c r="Y62" i="25" s="1"/>
  <c r="T50" i="29"/>
  <c r="T62" i="29" s="1"/>
  <c r="I50" i="30"/>
  <c r="I62" i="30" s="1"/>
  <c r="AB50" i="23"/>
  <c r="AB62" i="23" s="1"/>
  <c r="L50" i="26"/>
  <c r="L62" i="26" s="1"/>
  <c r="O50" i="28"/>
  <c r="O62" i="28" s="1"/>
  <c r="K50" i="31"/>
  <c r="K62" i="31" s="1"/>
  <c r="N50" i="26"/>
  <c r="N62" i="26" s="1"/>
  <c r="S50" i="32"/>
  <c r="S62" i="32" s="1"/>
  <c r="AB50" i="21"/>
  <c r="AB62" i="21" s="1"/>
  <c r="T50" i="23"/>
  <c r="T62" i="23" s="1"/>
  <c r="L50" i="29"/>
  <c r="L62" i="29" s="1"/>
  <c r="AC50" i="28"/>
  <c r="AC62" i="28" s="1"/>
  <c r="Y50" i="27"/>
  <c r="Y62" i="27" s="1"/>
  <c r="L50" i="27"/>
  <c r="L62" i="27" s="1"/>
  <c r="T50" i="31"/>
  <c r="T62" i="31" s="1"/>
  <c r="L50" i="25"/>
  <c r="L62" i="25" s="1"/>
  <c r="AA50" i="23"/>
  <c r="AA62" i="23" s="1"/>
  <c r="K50" i="34"/>
  <c r="K62" i="34" s="1"/>
  <c r="Z50" i="34"/>
  <c r="Z62" i="34" s="1"/>
  <c r="Z50" i="22"/>
  <c r="Z62" i="22" s="1"/>
  <c r="F50" i="22"/>
  <c r="F62" i="22" s="1"/>
  <c r="U50" i="32"/>
  <c r="U62" i="32" s="1"/>
  <c r="U50" i="22"/>
  <c r="U62" i="22" s="1"/>
  <c r="F50" i="30"/>
  <c r="F62" i="30" s="1"/>
  <c r="J50" i="24"/>
  <c r="J62" i="24" s="1"/>
  <c r="O50" i="34"/>
  <c r="O62" i="34" s="1"/>
  <c r="R50" i="30"/>
  <c r="R62" i="30" s="1"/>
  <c r="AA50" i="24"/>
  <c r="AA62" i="24" s="1"/>
  <c r="AB50" i="29"/>
  <c r="AB62" i="29" s="1"/>
  <c r="Y50" i="32"/>
  <c r="Y62" i="32" s="1"/>
  <c r="P50" i="27"/>
  <c r="P62" i="27" s="1"/>
  <c r="D50" i="34"/>
  <c r="D62" i="34" s="1"/>
  <c r="K50" i="32"/>
  <c r="K62" i="32" s="1"/>
  <c r="M50" i="26"/>
  <c r="M62" i="26" s="1"/>
  <c r="V50" i="27"/>
  <c r="V62" i="27" s="1"/>
  <c r="N50" i="29"/>
  <c r="N62" i="29" s="1"/>
  <c r="J50" i="23"/>
  <c r="J62" i="23" s="1"/>
  <c r="I50" i="23"/>
  <c r="I62" i="23" s="1"/>
  <c r="AB50" i="34"/>
  <c r="AB62" i="34" s="1"/>
  <c r="P50" i="23"/>
  <c r="P62" i="23" s="1"/>
  <c r="AB50" i="30"/>
  <c r="AB62" i="30" s="1"/>
  <c r="X50" i="33"/>
  <c r="X62" i="33" s="1"/>
  <c r="S50" i="31"/>
  <c r="S62" i="31" s="1"/>
  <c r="O50" i="30"/>
  <c r="O62" i="30" s="1"/>
  <c r="R50" i="20"/>
  <c r="R62" i="20" s="1"/>
  <c r="H50" i="29"/>
  <c r="H62" i="29" s="1"/>
  <c r="N50" i="22"/>
  <c r="N62" i="22" s="1"/>
  <c r="U50" i="26"/>
  <c r="U62" i="26" s="1"/>
  <c r="N50" i="32"/>
  <c r="N62" i="32" s="1"/>
  <c r="AC50" i="24"/>
  <c r="AC62" i="24" s="1"/>
  <c r="K50" i="24"/>
  <c r="K62" i="24" s="1"/>
  <c r="X50" i="24"/>
  <c r="X62" i="24" s="1"/>
  <c r="AC50" i="34"/>
  <c r="AC62" i="34" s="1"/>
  <c r="AC50" i="31"/>
  <c r="AC62" i="31" s="1"/>
  <c r="T50" i="26"/>
  <c r="T62" i="26" s="1"/>
  <c r="D50" i="30"/>
  <c r="D62" i="30" s="1"/>
  <c r="O50" i="20"/>
  <c r="O62" i="20" s="1"/>
  <c r="Z50" i="33"/>
  <c r="Z62" i="33" s="1"/>
  <c r="J50" i="33"/>
  <c r="J62" i="33" s="1"/>
  <c r="J50" i="22"/>
  <c r="J62" i="22" s="1"/>
  <c r="P50" i="29"/>
  <c r="P62" i="29" s="1"/>
  <c r="X50" i="28"/>
  <c r="X62" i="28" s="1"/>
  <c r="X50" i="26"/>
  <c r="X62" i="26" s="1"/>
  <c r="R50" i="32"/>
  <c r="R62" i="32" s="1"/>
  <c r="T50" i="30"/>
  <c r="T62" i="30" s="1"/>
  <c r="R50" i="33"/>
  <c r="R62" i="33" s="1"/>
  <c r="M50" i="21"/>
  <c r="M62" i="21" s="1"/>
  <c r="M50" i="33"/>
  <c r="M62" i="33" s="1"/>
  <c r="E50" i="31"/>
  <c r="E62" i="31" s="1"/>
  <c r="O50" i="25"/>
  <c r="O62" i="25" s="1"/>
  <c r="O50" i="24"/>
  <c r="O62" i="24" s="1"/>
  <c r="E50" i="23"/>
  <c r="E62" i="23" s="1"/>
  <c r="AB50" i="26"/>
  <c r="AB62" i="26" s="1"/>
  <c r="Y50" i="23"/>
  <c r="Y62" i="23" s="1"/>
  <c r="U50" i="28"/>
  <c r="U62" i="28" s="1"/>
  <c r="Q50" i="28"/>
  <c r="Q62" i="28" s="1"/>
  <c r="E50" i="32"/>
  <c r="E62" i="32" s="1"/>
  <c r="T50" i="34"/>
  <c r="T62" i="34" s="1"/>
  <c r="Y50" i="21"/>
  <c r="Y62" i="21" s="1"/>
  <c r="E50" i="30"/>
  <c r="E62" i="30" s="1"/>
  <c r="N50" i="25"/>
  <c r="N62" i="25" s="1"/>
  <c r="I50" i="26"/>
  <c r="I62" i="26" s="1"/>
  <c r="N50" i="31"/>
  <c r="N62" i="31" s="1"/>
  <c r="Q50" i="32"/>
  <c r="Q62" i="32" s="1"/>
  <c r="O50" i="27"/>
  <c r="O62" i="27" s="1"/>
  <c r="Q50" i="34"/>
  <c r="Q62" i="34" s="1"/>
  <c r="E50" i="34"/>
  <c r="E62" i="34" s="1"/>
  <c r="P50" i="33"/>
  <c r="P62" i="33" s="1"/>
  <c r="F50" i="31"/>
  <c r="F62" i="31" s="1"/>
  <c r="M50" i="30"/>
  <c r="M62" i="30" s="1"/>
  <c r="N50" i="20"/>
  <c r="N62" i="20" s="1"/>
  <c r="AA50" i="22"/>
  <c r="AA62" i="22" s="1"/>
  <c r="K50" i="22"/>
  <c r="K62" i="22" s="1"/>
  <c r="V50" i="22"/>
  <c r="V62" i="22" s="1"/>
  <c r="L50" i="20"/>
  <c r="L62" i="20" s="1"/>
  <c r="V50" i="25"/>
  <c r="V62" i="25" s="1"/>
  <c r="Y50" i="24"/>
  <c r="Y62" i="24" s="1"/>
  <c r="F50" i="27"/>
  <c r="F62" i="27" s="1"/>
  <c r="K50" i="26"/>
  <c r="K62" i="26" s="1"/>
  <c r="N50" i="21"/>
  <c r="N62" i="21" s="1"/>
  <c r="P50" i="20"/>
  <c r="P62" i="20" s="1"/>
  <c r="V50" i="21"/>
  <c r="V62" i="21" s="1"/>
  <c r="R50" i="24"/>
  <c r="R62" i="24" s="1"/>
  <c r="N50" i="24"/>
  <c r="N62" i="24" s="1"/>
  <c r="N50" i="33"/>
  <c r="N62" i="33" s="1"/>
  <c r="N50" i="23"/>
  <c r="N62" i="23" s="1"/>
  <c r="J50" i="21"/>
  <c r="J62" i="21" s="1"/>
  <c r="Z50" i="27"/>
  <c r="Z62" i="27" s="1"/>
  <c r="Q50" i="22"/>
  <c r="Q62" i="22" s="1"/>
  <c r="X50" i="32"/>
  <c r="X62" i="32" s="1"/>
  <c r="P50" i="30"/>
  <c r="P62" i="30" s="1"/>
  <c r="M50" i="22"/>
  <c r="M62" i="22" s="1"/>
  <c r="F50" i="23"/>
  <c r="F62" i="23" s="1"/>
  <c r="O50" i="31"/>
  <c r="O62" i="31" s="1"/>
  <c r="I50" i="20"/>
  <c r="I62" i="20" s="1"/>
  <c r="G50" i="27"/>
  <c r="G62" i="27" s="1"/>
  <c r="L50" i="22"/>
  <c r="L62" i="22" s="1"/>
  <c r="S50" i="22"/>
  <c r="S62" i="22" s="1"/>
  <c r="M50" i="23"/>
  <c r="M62" i="23" s="1"/>
  <c r="X50" i="31"/>
  <c r="X62" i="31" s="1"/>
  <c r="U50" i="25"/>
  <c r="U62" i="25" s="1"/>
  <c r="U50" i="34"/>
  <c r="U62" i="34" s="1"/>
  <c r="E50" i="29"/>
  <c r="E62" i="29" s="1"/>
  <c r="H50" i="23"/>
  <c r="H62" i="23" s="1"/>
  <c r="T50" i="20"/>
  <c r="T62" i="20" s="1"/>
  <c r="T50" i="32"/>
  <c r="T62" i="32" s="1"/>
  <c r="V50" i="24"/>
  <c r="V62" i="24" s="1"/>
  <c r="V50" i="23"/>
  <c r="V62" i="23" s="1"/>
  <c r="R50" i="34"/>
  <c r="R62" i="34" s="1"/>
  <c r="F50" i="32"/>
  <c r="F62" i="32" s="1"/>
  <c r="P50" i="26"/>
  <c r="P62" i="26" s="1"/>
  <c r="L50" i="23"/>
  <c r="L62" i="23" s="1"/>
  <c r="Y50" i="33"/>
  <c r="Y62" i="33" s="1"/>
  <c r="S50" i="33"/>
  <c r="S62" i="33" s="1"/>
  <c r="W50" i="26"/>
  <c r="W62" i="26" s="1"/>
  <c r="W50" i="24"/>
  <c r="W62" i="24" s="1"/>
  <c r="O50" i="22"/>
  <c r="O62" i="22" s="1"/>
  <c r="H50" i="34"/>
  <c r="H62" i="34" s="1"/>
  <c r="I50" i="33"/>
  <c r="I62" i="33" s="1"/>
  <c r="AA50" i="33"/>
  <c r="AA62" i="33" s="1"/>
  <c r="O50" i="23"/>
  <c r="O62" i="23" s="1"/>
  <c r="O50" i="33"/>
  <c r="O62" i="33" s="1"/>
  <c r="K50" i="23"/>
  <c r="K62" i="23" s="1"/>
  <c r="K50" i="33"/>
  <c r="K62" i="33" s="1"/>
  <c r="V50" i="30"/>
  <c r="V62" i="30" s="1"/>
  <c r="R50" i="22"/>
  <c r="R62" i="22" s="1"/>
  <c r="X50" i="20"/>
  <c r="X62" i="20" s="1"/>
  <c r="P50" i="28"/>
  <c r="P62" i="28" s="1"/>
  <c r="T50" i="25"/>
  <c r="T62" i="25" s="1"/>
  <c r="Y50" i="26"/>
  <c r="Y62" i="26" s="1"/>
  <c r="I50" i="25"/>
  <c r="I62" i="25" s="1"/>
  <c r="I50" i="31"/>
  <c r="I62" i="31" s="1"/>
  <c r="W50" i="25"/>
  <c r="W62" i="25" s="1"/>
  <c r="D50" i="23"/>
  <c r="D62" i="23" s="1"/>
  <c r="Q50" i="27"/>
  <c r="Q62" i="27" s="1"/>
  <c r="AB50" i="27"/>
  <c r="AB62" i="27" s="1"/>
  <c r="D50" i="27"/>
  <c r="D62" i="27" s="1"/>
  <c r="D50" i="31"/>
  <c r="D62" i="31" s="1"/>
  <c r="G50" i="28"/>
  <c r="G62" i="28" s="1"/>
  <c r="K50" i="27"/>
  <c r="K62" i="27" s="1"/>
  <c r="Z50" i="21"/>
  <c r="Z62" i="21" s="1"/>
  <c r="R50" i="21"/>
  <c r="R62" i="21" s="1"/>
  <c r="G50" i="24"/>
  <c r="G62" i="24" s="1"/>
  <c r="U50" i="33"/>
  <c r="U62" i="33" s="1"/>
  <c r="Y50" i="30"/>
  <c r="Y62" i="30" s="1"/>
  <c r="X50" i="21"/>
  <c r="X62" i="21" s="1"/>
  <c r="X50" i="23"/>
  <c r="X62" i="23" s="1"/>
  <c r="M50" i="27"/>
  <c r="M62" i="27" s="1"/>
  <c r="Z50" i="23"/>
  <c r="Z62" i="23" s="1"/>
  <c r="T50" i="24"/>
  <c r="T62" i="24" s="1"/>
  <c r="U50" i="20"/>
  <c r="U62" i="20" s="1"/>
  <c r="O50" i="21"/>
  <c r="O62" i="21" s="1"/>
  <c r="H50" i="31"/>
  <c r="H62" i="31" s="1"/>
  <c r="M50" i="20"/>
  <c r="M62" i="20" s="1"/>
  <c r="Q50" i="29"/>
  <c r="Q62" i="29" s="1"/>
  <c r="X50" i="25"/>
  <c r="X62" i="25" s="1"/>
  <c r="AA50" i="25"/>
  <c r="AA62" i="25" s="1"/>
  <c r="V50" i="28"/>
  <c r="V62" i="28" s="1"/>
  <c r="Y50" i="20"/>
  <c r="Y62" i="20" s="1"/>
  <c r="I50" i="32"/>
  <c r="I62" i="32" s="1"/>
  <c r="M50" i="34"/>
  <c r="M62" i="34" s="1"/>
  <c r="Q50" i="33"/>
  <c r="Q62" i="33" s="1"/>
  <c r="AB50" i="32"/>
  <c r="AB62" i="32" s="1"/>
  <c r="Q50" i="31"/>
  <c r="Q62" i="31" s="1"/>
  <c r="U50" i="30"/>
  <c r="U62" i="30" s="1"/>
  <c r="L50" i="33"/>
  <c r="L62" i="33" s="1"/>
  <c r="N50" i="28"/>
  <c r="N62" i="28" s="1"/>
  <c r="AB50" i="33"/>
  <c r="AB62" i="33" s="1"/>
  <c r="M50" i="31"/>
  <c r="M62" i="31" s="1"/>
  <c r="K50" i="30"/>
  <c r="K62" i="30" s="1"/>
  <c r="AA50" i="28"/>
  <c r="AA62" i="28" s="1"/>
  <c r="J50" i="28"/>
  <c r="J62" i="28" s="1"/>
  <c r="R50" i="27"/>
  <c r="R62" i="27" s="1"/>
  <c r="S50" i="26"/>
  <c r="S62" i="26" s="1"/>
  <c r="P50" i="24"/>
  <c r="P62" i="24" s="1"/>
  <c r="X50" i="22"/>
  <c r="X62" i="22" s="1"/>
  <c r="H50" i="22"/>
  <c r="H62" i="22" s="1"/>
  <c r="P50" i="21"/>
  <c r="P62" i="21" s="1"/>
  <c r="R50" i="25"/>
  <c r="R62" i="25" s="1"/>
  <c r="W50" i="22"/>
  <c r="W62" i="22" s="1"/>
  <c r="G50" i="22"/>
  <c r="G62" i="22" s="1"/>
  <c r="AA50" i="21"/>
  <c r="AA62" i="21" s="1"/>
  <c r="K50" i="21"/>
  <c r="K62" i="21" s="1"/>
  <c r="AB50" i="20"/>
  <c r="AB62" i="20" s="1"/>
  <c r="T50" i="28"/>
  <c r="T62" i="28" s="1"/>
  <c r="E50" i="22"/>
  <c r="E62" i="22" s="1"/>
  <c r="P50" i="22"/>
  <c r="P62" i="22" s="1"/>
  <c r="H50" i="30"/>
  <c r="H62" i="30" s="1"/>
  <c r="E50" i="26"/>
  <c r="E62" i="26" s="1"/>
  <c r="AA50" i="32"/>
  <c r="AA62" i="32" s="1"/>
  <c r="Z50" i="26"/>
  <c r="Z62" i="26" s="1"/>
  <c r="V45" i="19"/>
  <c r="H45" i="19"/>
  <c r="H42" i="35" s="1"/>
  <c r="I13" i="1" s="1"/>
  <c r="I25" i="1" s="1"/>
  <c r="H41" i="35"/>
  <c r="U45" i="19"/>
  <c r="X45" i="19"/>
  <c r="K45" i="19"/>
  <c r="K42" i="35" s="1"/>
  <c r="K41" i="35"/>
  <c r="Z45" i="19"/>
  <c r="J45" i="19"/>
  <c r="J42" i="35" s="1"/>
  <c r="J41" i="35"/>
  <c r="P50" i="34"/>
  <c r="P62" i="34" s="1"/>
  <c r="AC50" i="33"/>
  <c r="AC62" i="33" s="1"/>
  <c r="I50" i="34"/>
  <c r="I62" i="34" s="1"/>
  <c r="AA50" i="34"/>
  <c r="AA62" i="34" s="1"/>
  <c r="M50" i="29"/>
  <c r="M62" i="29" s="1"/>
  <c r="E50" i="27"/>
  <c r="E62" i="27" s="1"/>
  <c r="V50" i="20"/>
  <c r="V62" i="20" s="1"/>
  <c r="T50" i="22"/>
  <c r="T62" i="22" s="1"/>
  <c r="Q50" i="20"/>
  <c r="Q62" i="20" s="1"/>
  <c r="J50" i="30"/>
  <c r="J62" i="30" s="1"/>
  <c r="S50" i="21"/>
  <c r="S62" i="21" s="1"/>
  <c r="AC45" i="19"/>
  <c r="P45" i="19"/>
  <c r="P42" i="35" s="1"/>
  <c r="P41" i="35"/>
  <c r="AC50" i="23"/>
  <c r="AC62" i="23" s="1"/>
  <c r="E45" i="19"/>
  <c r="E42" i="35" s="1"/>
  <c r="F13" i="1" s="1"/>
  <c r="F25" i="1" s="1"/>
  <c r="E41" i="35"/>
  <c r="Q50" i="26"/>
  <c r="Q62" i="26" s="1"/>
  <c r="G45" i="19"/>
  <c r="G42" i="35" s="1"/>
  <c r="H13" i="1" s="1"/>
  <c r="H25" i="1" s="1"/>
  <c r="G41" i="35"/>
  <c r="D41" i="35"/>
  <c r="S45" i="19"/>
  <c r="N45" i="19"/>
  <c r="N42" i="35" s="1"/>
  <c r="N41" i="35"/>
  <c r="L50" i="34"/>
  <c r="L62" i="34" s="1"/>
  <c r="Q50" i="23"/>
  <c r="Q62" i="23" s="1"/>
  <c r="Q50" i="30"/>
  <c r="Q62" i="30" s="1"/>
  <c r="I50" i="27"/>
  <c r="I62" i="27" s="1"/>
  <c r="K50" i="25"/>
  <c r="K62" i="25" s="1"/>
  <c r="L50" i="24"/>
  <c r="L62" i="24" s="1"/>
  <c r="AB45" i="19"/>
  <c r="Q45" i="19"/>
  <c r="D42" i="35"/>
  <c r="E13" i="1" s="1"/>
  <c r="E25" i="1" s="1"/>
  <c r="W45" i="19"/>
  <c r="I41" i="35"/>
  <c r="Y45" i="19"/>
  <c r="O41" i="35"/>
  <c r="R50" i="28"/>
  <c r="R62" i="28" s="1"/>
  <c r="T45" i="19"/>
  <c r="S50" i="28"/>
  <c r="S62" i="28" s="1"/>
  <c r="AC50" i="29"/>
  <c r="AC62" i="29" s="1"/>
  <c r="Z50" i="28"/>
  <c r="Z62" i="28" s="1"/>
  <c r="L50" i="32"/>
  <c r="L62" i="32" s="1"/>
  <c r="AB50" i="24"/>
  <c r="AB62" i="24" s="1"/>
  <c r="H50" i="21"/>
  <c r="H62" i="21" s="1"/>
  <c r="U50" i="31"/>
  <c r="U62" i="31" s="1"/>
  <c r="AC50" i="30"/>
  <c r="AC62" i="30" s="1"/>
  <c r="U50" i="29"/>
  <c r="U62" i="29" s="1"/>
  <c r="O50" i="29"/>
  <c r="O62" i="29" s="1"/>
  <c r="AA50" i="26"/>
  <c r="AA62" i="26" s="1"/>
  <c r="AB50" i="22"/>
  <c r="AB62" i="22" s="1"/>
  <c r="Y50" i="19"/>
  <c r="M45" i="19"/>
  <c r="M42" i="35" s="1"/>
  <c r="M41" i="35"/>
  <c r="L45" i="19"/>
  <c r="L42" i="35" s="1"/>
  <c r="L41" i="35"/>
  <c r="H50" i="32"/>
  <c r="H62" i="32" s="1"/>
  <c r="AA45" i="19"/>
  <c r="R45" i="19"/>
  <c r="I42" i="35"/>
  <c r="J50" i="32"/>
  <c r="J62" i="32" s="1"/>
  <c r="F45" i="19"/>
  <c r="F42" i="35" s="1"/>
  <c r="G13" i="1" s="1"/>
  <c r="G25" i="1" s="1"/>
  <c r="F41" i="35"/>
  <c r="O42" i="35"/>
  <c r="M49" i="28"/>
  <c r="M50" i="28" s="1"/>
  <c r="M62" i="28" s="1"/>
  <c r="I50" i="19"/>
  <c r="O50" i="19"/>
  <c r="M49" i="19"/>
  <c r="AC50" i="19"/>
  <c r="E50" i="8"/>
  <c r="E62" i="8" s="1"/>
  <c r="X50" i="12"/>
  <c r="X62" i="12" s="1"/>
  <c r="T50" i="18"/>
  <c r="T62" i="18" s="1"/>
  <c r="Y50" i="4"/>
  <c r="Y62" i="4" s="1"/>
  <c r="I50" i="4"/>
  <c r="I62" i="4" s="1"/>
  <c r="U50" i="12"/>
  <c r="U62" i="12" s="1"/>
  <c r="M50" i="16"/>
  <c r="M62" i="16" s="1"/>
  <c r="I50" i="12"/>
  <c r="I62" i="12" s="1"/>
  <c r="E50" i="18"/>
  <c r="E62" i="18" s="1"/>
  <c r="N50" i="6"/>
  <c r="N62" i="6" s="1"/>
  <c r="AB50" i="16"/>
  <c r="AB62" i="16" s="1"/>
  <c r="X50" i="16"/>
  <c r="X62" i="16" s="1"/>
  <c r="X50" i="18"/>
  <c r="X62" i="18" s="1"/>
  <c r="H50" i="16"/>
  <c r="H62" i="16" s="1"/>
  <c r="D50" i="16"/>
  <c r="D62" i="16" s="1"/>
  <c r="AC50" i="12"/>
  <c r="AC62" i="12" s="1"/>
  <c r="U50" i="8"/>
  <c r="U62" i="8" s="1"/>
  <c r="U50" i="16"/>
  <c r="U62" i="16" s="1"/>
  <c r="Q50" i="16"/>
  <c r="Q62" i="16" s="1"/>
  <c r="M50" i="18"/>
  <c r="M62" i="18" s="1"/>
  <c r="Z50" i="5"/>
  <c r="Z62" i="5" s="1"/>
  <c r="AB50" i="18"/>
  <c r="AB62" i="18" s="1"/>
  <c r="T50" i="16"/>
  <c r="T62" i="16" s="1"/>
  <c r="P50" i="17"/>
  <c r="P62" i="17" s="1"/>
  <c r="L50" i="15"/>
  <c r="L62" i="15" s="1"/>
  <c r="H50" i="12"/>
  <c r="H62" i="12" s="1"/>
  <c r="H50" i="17"/>
  <c r="H62" i="17" s="1"/>
  <c r="D50" i="15"/>
  <c r="D62" i="15" s="1"/>
  <c r="K50" i="9"/>
  <c r="K62" i="9" s="1"/>
  <c r="F50" i="4"/>
  <c r="F62" i="4" s="1"/>
  <c r="Y50" i="18"/>
  <c r="Y62" i="18" s="1"/>
  <c r="L50" i="16"/>
  <c r="L62" i="16" s="1"/>
  <c r="AC50" i="16"/>
  <c r="AC62" i="16" s="1"/>
  <c r="Y50" i="16"/>
  <c r="Y62" i="16" s="1"/>
  <c r="Q50" i="18"/>
  <c r="Q62" i="18" s="1"/>
  <c r="E50" i="12"/>
  <c r="E62" i="12" s="1"/>
  <c r="E50" i="17"/>
  <c r="E62" i="17" s="1"/>
  <c r="P50" i="5"/>
  <c r="P62" i="5" s="1"/>
  <c r="L50" i="17"/>
  <c r="L62" i="17" s="1"/>
  <c r="H50" i="15"/>
  <c r="H62" i="15" s="1"/>
  <c r="Z50" i="4"/>
  <c r="Z62" i="4" s="1"/>
  <c r="R50" i="6"/>
  <c r="R62" i="6" s="1"/>
  <c r="J50" i="4"/>
  <c r="J62" i="4" s="1"/>
  <c r="P47" i="35" l="1"/>
  <c r="M47" i="35"/>
  <c r="I47" i="35"/>
  <c r="L47" i="35"/>
  <c r="L49" i="31"/>
  <c r="L50" i="31" s="1"/>
  <c r="L62" i="31" s="1"/>
  <c r="L48" i="35"/>
  <c r="M22" i="1" s="1"/>
  <c r="M13" i="1"/>
  <c r="M25" i="1" s="1"/>
  <c r="N48" i="35"/>
  <c r="O22" i="1" s="1"/>
  <c r="O13" i="1"/>
  <c r="O25" i="1" s="1"/>
  <c r="J48" i="35"/>
  <c r="K22" i="1" s="1"/>
  <c r="K13" i="1"/>
  <c r="K25" i="1" s="1"/>
  <c r="M48" i="35"/>
  <c r="N22" i="1" s="1"/>
  <c r="N13" i="1"/>
  <c r="N25" i="1" s="1"/>
  <c r="P48" i="35"/>
  <c r="Q22" i="1" s="1"/>
  <c r="Q13" i="1"/>
  <c r="Q25" i="1" s="1"/>
  <c r="O48" i="35"/>
  <c r="P22" i="1" s="1"/>
  <c r="P13" i="1"/>
  <c r="P25" i="1" s="1"/>
  <c r="I48" i="35"/>
  <c r="J22" i="1" s="1"/>
  <c r="J13" i="1"/>
  <c r="J25" i="1" s="1"/>
  <c r="K48" i="35"/>
  <c r="L22" i="1" s="1"/>
  <c r="L13" i="1"/>
  <c r="L25" i="1" s="1"/>
  <c r="Q50" i="19"/>
  <c r="W50" i="19"/>
  <c r="T50" i="19"/>
  <c r="T62" i="19" s="1"/>
  <c r="AA50" i="19"/>
  <c r="S50" i="19"/>
  <c r="N50" i="19"/>
  <c r="X50" i="19"/>
  <c r="X62" i="19" s="1"/>
  <c r="Z50" i="19"/>
  <c r="V50" i="19"/>
  <c r="U50" i="19"/>
  <c r="J50" i="19"/>
  <c r="J61" i="35" s="1"/>
  <c r="Y62" i="19"/>
  <c r="L50" i="19"/>
  <c r="P50" i="19"/>
  <c r="R50" i="19"/>
  <c r="K50" i="19"/>
  <c r="AB50" i="19"/>
  <c r="AA62" i="19"/>
  <c r="Z62" i="19"/>
  <c r="O62" i="19"/>
  <c r="I62" i="19"/>
  <c r="Q62" i="19"/>
  <c r="AC62" i="19"/>
  <c r="W62" i="19"/>
  <c r="L49" i="28"/>
  <c r="M50" i="19"/>
  <c r="S62" i="19"/>
  <c r="V62" i="19"/>
  <c r="N61" i="35" l="1"/>
  <c r="O61" i="35"/>
  <c r="K61" i="35"/>
  <c r="I61" i="35"/>
  <c r="R62" i="19"/>
  <c r="N62" i="19"/>
  <c r="U62" i="19"/>
  <c r="K62" i="19"/>
  <c r="J62" i="19"/>
  <c r="AB62" i="19"/>
  <c r="P61" i="35"/>
  <c r="P62" i="19"/>
  <c r="L62" i="19"/>
  <c r="M61" i="35"/>
  <c r="M62" i="19"/>
  <c r="L50" i="28"/>
  <c r="L62" i="28" l="1"/>
  <c r="L61" i="35"/>
  <c r="E49" i="5" l="1"/>
  <c r="E50" i="5" s="1"/>
  <c r="E62" i="5" s="1"/>
  <c r="D49" i="17" l="1"/>
  <c r="D50" i="17" s="1"/>
  <c r="D62" i="17" s="1"/>
  <c r="D49" i="6"/>
  <c r="D50" i="6" s="1"/>
  <c r="D62" i="6" s="1"/>
  <c r="D49" i="5"/>
  <c r="D50" i="5" s="1"/>
  <c r="D62" i="5" s="1"/>
  <c r="D49" i="18"/>
  <c r="D50" i="18" s="1"/>
  <c r="D62" i="18" s="1"/>
  <c r="D49" i="8"/>
  <c r="D50" i="8" s="1"/>
  <c r="D62" i="8" s="1"/>
  <c r="E49" i="6"/>
  <c r="E50" i="6" s="1"/>
  <c r="E62" i="6" s="1"/>
  <c r="H30" i="35"/>
  <c r="I19" i="1" s="1"/>
  <c r="G49" i="8"/>
  <c r="G50" i="8" s="1"/>
  <c r="G62" i="8" s="1"/>
  <c r="G30" i="35" l="1"/>
  <c r="H19" i="1" s="1"/>
  <c r="D30" i="35"/>
  <c r="E19" i="1" s="1"/>
  <c r="D49" i="4"/>
  <c r="F30" i="35"/>
  <c r="G19" i="1" s="1"/>
  <c r="E30" i="35"/>
  <c r="F19" i="1" s="1"/>
  <c r="E49" i="4"/>
  <c r="E48" i="24" a="1"/>
  <c r="E48" i="24" s="1"/>
  <c r="E49" i="24" s="1"/>
  <c r="E50" i="24" s="1"/>
  <c r="E62" i="24" s="1"/>
  <c r="D48" i="33" a="1"/>
  <c r="D48" i="33" s="1"/>
  <c r="D49" i="33" s="1"/>
  <c r="D50" i="33" s="1"/>
  <c r="D62" i="33" s="1"/>
  <c r="D48" i="26" a="1"/>
  <c r="D48" i="26" s="1"/>
  <c r="D49" i="26" s="1"/>
  <c r="D50" i="26" s="1"/>
  <c r="D62" i="26" s="1"/>
  <c r="D48" i="24" a="1"/>
  <c r="D48" i="24" s="1"/>
  <c r="D49" i="24" s="1"/>
  <c r="D50" i="24" s="1"/>
  <c r="D62" i="24" s="1"/>
  <c r="D48" i="21" a="1"/>
  <c r="D48" i="21" s="1"/>
  <c r="D48" i="19" a="1"/>
  <c r="G49" i="11"/>
  <c r="G50" i="11" s="1"/>
  <c r="G62" i="11" s="1"/>
  <c r="F49" i="13"/>
  <c r="F50" i="13" s="1"/>
  <c r="F62" i="13" s="1"/>
  <c r="D49" i="14"/>
  <c r="D50" i="14" s="1"/>
  <c r="D62" i="14" s="1"/>
  <c r="F49" i="11"/>
  <c r="F50" i="11" s="1"/>
  <c r="F62" i="11" s="1"/>
  <c r="E49" i="9"/>
  <c r="E50" i="9" s="1"/>
  <c r="E62" i="9" s="1"/>
  <c r="E49" i="14"/>
  <c r="E50" i="14" s="1"/>
  <c r="E62" i="14" s="1"/>
  <c r="D49" i="9"/>
  <c r="D50" i="9" s="1"/>
  <c r="D62" i="9" s="1"/>
  <c r="H49" i="8"/>
  <c r="H50" i="8" s="1"/>
  <c r="H62" i="8" s="1"/>
  <c r="H49" i="9"/>
  <c r="H50" i="9" s="1"/>
  <c r="H62" i="9" s="1"/>
  <c r="F49" i="9"/>
  <c r="F50" i="9" s="1"/>
  <c r="F62" i="9" s="1"/>
  <c r="F49" i="8"/>
  <c r="F50" i="8" s="1"/>
  <c r="F62" i="8" s="1"/>
  <c r="H49" i="11"/>
  <c r="H50" i="11" s="1"/>
  <c r="H62" i="11" s="1"/>
  <c r="G49" i="9"/>
  <c r="G50" i="9" s="1"/>
  <c r="G62" i="9" s="1"/>
  <c r="D48" i="19" l="1"/>
  <c r="D49" i="19" s="1"/>
  <c r="D50" i="19" s="1"/>
  <c r="D62" i="19" s="1"/>
  <c r="H38" i="35"/>
  <c r="G49" i="7"/>
  <c r="G50" i="7" s="1"/>
  <c r="G62" i="7" s="1"/>
  <c r="G34" i="35"/>
  <c r="H49" i="6"/>
  <c r="E34" i="35"/>
  <c r="H49" i="7"/>
  <c r="H50" i="7" s="1"/>
  <c r="H62" i="7" s="1"/>
  <c r="H34" i="35"/>
  <c r="F49" i="7"/>
  <c r="F50" i="7" s="1"/>
  <c r="F62" i="7" s="1"/>
  <c r="F34" i="35"/>
  <c r="G38" i="35"/>
  <c r="F49" i="6"/>
  <c r="D38" i="35"/>
  <c r="E50" i="4"/>
  <c r="D34" i="35"/>
  <c r="E20" i="1" s="1"/>
  <c r="E28" i="1" s="1"/>
  <c r="D50" i="4"/>
  <c r="G49" i="6"/>
  <c r="E38" i="35"/>
  <c r="F48" i="19" a="1"/>
  <c r="F48" i="19" s="1"/>
  <c r="F49" i="19" s="1"/>
  <c r="F50" i="19" s="1"/>
  <c r="F62" i="19" s="1"/>
  <c r="F38" i="35"/>
  <c r="G48" i="25" a="1"/>
  <c r="G48" i="25" s="1"/>
  <c r="G49" i="25" s="1"/>
  <c r="G50" i="25" s="1"/>
  <c r="G62" i="25" s="1"/>
  <c r="F48" i="20" a="1"/>
  <c r="F48" i="20" s="1"/>
  <c r="F49" i="20" s="1"/>
  <c r="F50" i="20" s="1"/>
  <c r="F62" i="20" s="1"/>
  <c r="H48" i="26" a="1"/>
  <c r="H48" i="26" s="1"/>
  <c r="H49" i="26" s="1"/>
  <c r="H50" i="26" s="1"/>
  <c r="H62" i="26" s="1"/>
  <c r="E48" i="20" a="1"/>
  <c r="E48" i="20" s="1"/>
  <c r="E49" i="20" s="1"/>
  <c r="E50" i="20" s="1"/>
  <c r="E62" i="20" s="1"/>
  <c r="D48" i="20" a="1"/>
  <c r="D48" i="20" s="1"/>
  <c r="D49" i="20" s="1"/>
  <c r="D50" i="20" s="1"/>
  <c r="D62" i="20" s="1"/>
  <c r="E48" i="21" a="1"/>
  <c r="E48" i="21" s="1"/>
  <c r="E49" i="21" s="1"/>
  <c r="E50" i="21" s="1"/>
  <c r="E62" i="21" s="1"/>
  <c r="G48" i="33" a="1"/>
  <c r="G48" i="33" s="1"/>
  <c r="G49" i="33" s="1"/>
  <c r="G50" i="33" s="1"/>
  <c r="G62" i="33" s="1"/>
  <c r="F48" i="33" a="1"/>
  <c r="F48" i="33" s="1"/>
  <c r="F49" i="33" s="1"/>
  <c r="F50" i="33" s="1"/>
  <c r="F62" i="33" s="1"/>
  <c r="E48" i="33" a="1"/>
  <c r="E48" i="33" s="1"/>
  <c r="E49" i="33" s="1"/>
  <c r="E50" i="33" s="1"/>
  <c r="E62" i="33" s="1"/>
  <c r="H48" i="25" a="1"/>
  <c r="H48" i="25" s="1"/>
  <c r="H49" i="25" s="1"/>
  <c r="H50" i="25" s="1"/>
  <c r="H62" i="25" s="1"/>
  <c r="E48" i="25" a="1"/>
  <c r="E48" i="25" s="1"/>
  <c r="E49" i="25" s="1"/>
  <c r="E50" i="25" s="1"/>
  <c r="E62" i="25" s="1"/>
  <c r="F48" i="21" a="1"/>
  <c r="F48" i="21" s="1"/>
  <c r="F49" i="21" s="1"/>
  <c r="F50" i="21" s="1"/>
  <c r="F62" i="21" s="1"/>
  <c r="H48" i="20" a="1"/>
  <c r="H48" i="20" s="1"/>
  <c r="H49" i="20" s="1"/>
  <c r="H50" i="20" s="1"/>
  <c r="H62" i="20" s="1"/>
  <c r="G48" i="26" a="1"/>
  <c r="G48" i="26" s="1"/>
  <c r="G49" i="26" s="1"/>
  <c r="G50" i="26" s="1"/>
  <c r="G62" i="26" s="1"/>
  <c r="H48" i="33" a="1"/>
  <c r="H48" i="33" s="1"/>
  <c r="H49" i="33" s="1"/>
  <c r="H50" i="33" s="1"/>
  <c r="H62" i="33" s="1"/>
  <c r="D49" i="21"/>
  <c r="D50" i="21" s="1"/>
  <c r="D62" i="21" s="1"/>
  <c r="F48" i="25" a="1"/>
  <c r="F48" i="25" s="1"/>
  <c r="F49" i="25" s="1"/>
  <c r="F50" i="25" s="1"/>
  <c r="F62" i="25" s="1"/>
  <c r="G48" i="20" a="1"/>
  <c r="G48" i="20" s="1"/>
  <c r="G49" i="20" s="1"/>
  <c r="G50" i="20" s="1"/>
  <c r="G62" i="20" s="1"/>
  <c r="E48" i="19" a="1"/>
  <c r="E48" i="19" s="1"/>
  <c r="E49" i="19" s="1"/>
  <c r="E50" i="19" s="1"/>
  <c r="E62" i="19" s="1"/>
  <c r="D48" i="25" a="1"/>
  <c r="D48" i="25" s="1"/>
  <c r="D49" i="25" s="1"/>
  <c r="D50" i="25" s="1"/>
  <c r="D62" i="25" s="1"/>
  <c r="D48" i="32" a="1"/>
  <c r="D48" i="32" s="1"/>
  <c r="D49" i="32" s="1"/>
  <c r="D50" i="32" s="1"/>
  <c r="D62" i="32" s="1"/>
  <c r="H48" i="19" a="1"/>
  <c r="H48" i="19" s="1"/>
  <c r="H49" i="19" s="1"/>
  <c r="H50" i="19" s="1"/>
  <c r="H62" i="19" s="1"/>
  <c r="G48" i="19" a="1"/>
  <c r="G48" i="19" s="1"/>
  <c r="G49" i="19" s="1"/>
  <c r="G50" i="19" s="1"/>
  <c r="G62" i="19" s="1"/>
  <c r="G49" i="13"/>
  <c r="G50" i="13" s="1"/>
  <c r="G62" i="13" s="1"/>
  <c r="E49" i="11"/>
  <c r="E50" i="11" s="1"/>
  <c r="E62" i="11" s="1"/>
  <c r="D49" i="11"/>
  <c r="D50" i="11" s="1"/>
  <c r="D62" i="11" s="1"/>
  <c r="D49" i="13"/>
  <c r="D50" i="13" s="1"/>
  <c r="D62" i="13" s="1"/>
  <c r="E49" i="13"/>
  <c r="E50" i="13" s="1"/>
  <c r="E62" i="13" s="1"/>
  <c r="I20" i="1" l="1"/>
  <c r="I28" i="1" s="1"/>
  <c r="H20" i="1"/>
  <c r="H28" i="1" s="1"/>
  <c r="F20" i="1"/>
  <c r="F28" i="1" s="1"/>
  <c r="G20" i="1"/>
  <c r="G28" i="1" s="1"/>
  <c r="F46" i="35"/>
  <c r="G21" i="1" s="1"/>
  <c r="E49" i="7"/>
  <c r="E46" i="35"/>
  <c r="F21" i="1" s="1"/>
  <c r="G50" i="6"/>
  <c r="F50" i="6"/>
  <c r="H50" i="6"/>
  <c r="G46" i="35"/>
  <c r="H21" i="1" s="1"/>
  <c r="E62" i="4"/>
  <c r="H46" i="35"/>
  <c r="I21" i="1" s="1"/>
  <c r="D49" i="7"/>
  <c r="D46" i="35"/>
  <c r="E21" i="1" s="1"/>
  <c r="D62" i="4"/>
  <c r="H48" i="35" l="1"/>
  <c r="I22" i="1" s="1"/>
  <c r="H47" i="35"/>
  <c r="F48" i="35"/>
  <c r="G22" i="1" s="1"/>
  <c r="F47" i="35"/>
  <c r="G48" i="35"/>
  <c r="G47" i="35"/>
  <c r="E48" i="35"/>
  <c r="F22" i="1" s="1"/>
  <c r="E47" i="35"/>
  <c r="D48" i="35"/>
  <c r="E22" i="1" s="1"/>
  <c r="D47" i="35"/>
  <c r="H62" i="6"/>
  <c r="G62" i="6"/>
  <c r="D50" i="7"/>
  <c r="F62" i="6"/>
  <c r="E50" i="7"/>
  <c r="G61" i="35" l="1"/>
  <c r="H22" i="1"/>
  <c r="E62" i="7"/>
  <c r="E61" i="35"/>
  <c r="D62" i="7"/>
  <c r="D61" i="35"/>
  <c r="H61" i="35"/>
  <c r="F6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D8" authorId="0" shapeId="0" xr:uid="{21B2BFB0-C1A5-4DCE-AEE7-5F66C3D73D0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Angabe. Annahme aufgrund Daten 2011-2013</t>
        </r>
      </text>
    </comment>
    <comment ref="D14" authorId="0" shapeId="0" xr:uid="{F762E129-5ED6-41C1-B43D-F1853181A09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2010 NOCH KEIN Wert in der Rytec-Erhebung. Darum wie 2011</t>
        </r>
      </text>
    </comment>
    <comment ref="N15" authorId="0" shapeId="0" xr:uid="{953E4DD1-9F77-4AF3-9BFD-1E01FA9EA90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Dampflieferung nach Mittelland Molkerei, 29'600 MWh, Pressemitteilung GEKAL 22.11.2018</t>
        </r>
      </text>
    </comment>
    <comment ref="O15" authorId="0" shapeId="0" xr:uid="{74D3F867-3D5A-4116-8591-6AF8D168B54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Ziel ist, die Fernwärmelieferung zu verdreifachen (https://www.fewag.ch/) Ausbauprojekt läuft.</t>
        </r>
      </text>
    </comment>
    <comment ref="D33" authorId="0" shapeId="0" xr:uid="{0BC2D4D5-C561-425C-9DE9-0D324BCA614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33" authorId="0" shapeId="0" xr:uid="{8B8F2C35-365A-4028-81D1-130BCAB1C61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Annahme. Keine Daten verfügbar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K15" authorId="0" shapeId="0" xr:uid="{784F89B9-494A-49B2-AA5A-2371EC2D82F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Inbetriebnahme Fernwärme nach Eternit-Werk, http://www.suedostschweiz.ch/wirtschaft/2015-10-21/kva-linth-plant-ausbau-der-fernwarme. Verdreifachung der abgegebene Wärme</t>
        </r>
      </text>
    </comment>
    <comment ref="L15" authorId="0" shapeId="0" xr:uid="{DEBF0D4A-E7AA-411D-AE02-90DD5F73D1C3}">
      <text>
        <r>
          <rPr>
            <b/>
            <sz val="9"/>
            <color indexed="81"/>
            <rFont val="Segoe UI"/>
            <family val="2"/>
          </rPr>
          <t>Robin Quartier:
Erweiterung Fernwärmenetz erfolgt.</t>
        </r>
        <r>
          <rPr>
            <sz val="9"/>
            <color indexed="81"/>
            <rFont val="Segoe UI"/>
            <family val="2"/>
          </rPr>
          <t xml:space="preserve">
https://www.suedostschweiz.ch/wirtschaft/2018-05-04/die-kva-in-niederurnen-hat-ihr-fernwaermenetz-erweitert</t>
        </r>
      </text>
    </comment>
    <comment ref="N15" authorId="0" shapeId="0" xr:uid="{91ADDCDC-9BF7-4940-99AA-4B8F1974400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Ausbau Fernwärmenetz kommt voran</t>
        </r>
      </text>
    </comment>
    <comment ref="D37" authorId="0" shapeId="0" xr:uid="{95D8B333-9AF3-4AA9-B849-F382553EABD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37" authorId="0" shapeId="0" xr:uid="{4FD7BA19-59CE-43D0-BE70-7C1581D96C3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F37" authorId="0" shapeId="0" xr:uid="{94CFF608-4758-4C16-BABE-17FAB4AA2E4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G37" authorId="0" shapeId="0" xr:uid="{77BE1434-774E-4D7E-AA78-6FC4755FCEDD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D41" authorId="0" shapeId="0" xr:uid="{84510E8D-F7AB-46E1-9179-61B73BE774E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41" authorId="0" shapeId="0" xr:uid="{E4C035D5-5F18-4082-BFB1-24948BC27C1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F41" authorId="0" shapeId="0" xr:uid="{388657D8-E4A9-463C-9CEC-040B1C1EC72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G41" authorId="0" shapeId="0" xr:uid="{0B862A57-53D1-460D-BBEC-91AF1AB94C0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O56" authorId="0" shapeId="0" xr:uid="{4F0AF91C-08D2-4C09-80F8-EFFB33A7676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Noch kein MB eingegangen. Annahme: wie 2021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B5" authorId="0" shapeId="0" xr:uid="{BCCDA735-3EB4-422A-B57D-BCAC0B7EFFF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tech. Kapazität liegt bei 122'288t</t>
        </r>
      </text>
    </comment>
    <comment ref="D37" authorId="0" shapeId="0" xr:uid="{351DFBCF-45B3-4F95-B9CE-BCB64D3FC45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37" authorId="0" shapeId="0" xr:uid="{32952752-EBF9-463B-8940-C80D95E705D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F37" authorId="0" shapeId="0" xr:uid="{0E725675-0374-46BB-8B10-B915E9EBB38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D6" authorId="0" shapeId="0" xr:uid="{B9201FA6-0811-449D-9EDE-8C6D2CAA4AF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aus Jahresbericht REAL 2012 S. 19</t>
        </r>
      </text>
    </comment>
    <comment ref="E6" authorId="0" shapeId="0" xr:uid="{60DC77D8-A30E-4F0C-A69B-6B77E10A59D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aus Jahresbericht REAL 2012 S. 19</t>
        </r>
      </text>
    </comment>
    <comment ref="F6" authorId="0" shapeId="0" xr:uid="{B5CA1EB3-5868-4BC6-929F-5C1C3409202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aus Jahresbericht REAL 2012 S. 19</t>
        </r>
      </text>
    </comment>
    <comment ref="I6" authorId="0" shapeId="0" xr:uid="{C3D22CB7-4675-4F2B-977E-1BC7A15DC6C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Prognose. Abschaltung Januar 2015</t>
        </r>
      </text>
    </comment>
    <comment ref="D14" authorId="0" shapeId="0" xr:uid="{ED3AA5A6-6C05-44A5-A45C-3B6DD02E0CAD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Daten. Gleicher Wert wie 2010 (erster Datenpunkt)</t>
        </r>
      </text>
    </comment>
    <comment ref="E14" authorId="0" shapeId="0" xr:uid="{853871D6-C69C-4C56-AAD7-D27129EA91C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Daten. Gleicher Wert wie 2010 (erster Datenpunkt)</t>
        </r>
      </text>
    </comment>
    <comment ref="F14" authorId="0" shapeId="0" xr:uid="{FC16B579-9E78-4D82-BE95-05001235C2E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Daten. Gleicher Wert wie 2010 (erster Datenpunkt)</t>
        </r>
      </text>
    </comment>
    <comment ref="G14" authorId="0" shapeId="0" xr:uid="{836B970A-862E-407E-AA1D-9F1387F8E2B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Daten. Gleicher Wert wie 2010 (erster Datenpunkt)</t>
        </r>
      </text>
    </comment>
    <comment ref="D15" authorId="0" shapeId="0" xr:uid="{DEB8543D-9F10-46BF-B8FD-4322EFE62D7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aus Jahresbericht REAL 2012 S. 19</t>
        </r>
      </text>
    </comment>
    <comment ref="E15" authorId="0" shapeId="0" xr:uid="{41766468-C8BE-4440-AAD0-53429ABC754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aus Jahresbericht REAL 2012 S. 19</t>
        </r>
      </text>
    </comment>
    <comment ref="F15" authorId="0" shapeId="0" xr:uid="{197287E6-09D3-4A5C-A1EC-5C3475DD46A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aus Jahresbericht REAL 2012 S. 19</t>
        </r>
      </text>
    </comment>
    <comment ref="D16" authorId="0" shapeId="0" xr:uid="{1A9F7E68-FFD0-4FC0-BF95-BDBD9B411A1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aus Jahresbericht REAL 2012 S. 19</t>
        </r>
      </text>
    </comment>
    <comment ref="E16" authorId="0" shapeId="0" xr:uid="{3E78B778-AFCF-45D9-94E0-24985542F0E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aus Jahresbericht REAL 2012 S. 19</t>
        </r>
      </text>
    </comment>
    <comment ref="F16" authorId="0" shapeId="0" xr:uid="{146C5977-2A70-4F30-AC01-EAAEF3A841CD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aus Jahresbericht REAL 2012 S. 19</t>
        </r>
      </text>
    </comment>
    <comment ref="E37" authorId="0" shapeId="0" xr:uid="{DE0EBFB8-6003-46A8-9693-BCD80BC817B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Aschen extern gewaschen. Wo ist aber leider nicht bekannt.</t>
        </r>
      </text>
    </comment>
    <comment ref="H37" authorId="0" shapeId="0" xr:uid="{FF90331B-4B58-4BDA-848F-2C884E22ECE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Aschen extern gewaschen. Wo ist aber leider nicht bekannt.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J15" authorId="0" shapeId="0" xr:uid="{177DF989-A16A-4C9C-A003-4D8C94982B2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Ettapenweise Ausbau Fernwärmenetz Rontal. Mail Ruedi Kummer vom 05.07.2016</t>
        </r>
      </text>
    </comment>
    <comment ref="L15" authorId="0" shapeId="0" xr:uid="{727C1E8A-3D09-44E4-926E-23C5259053E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Erste Fernwärmelieferung Richtung Luzern ab Okt. 2018 (JB S. 13)
</t>
        </r>
      </text>
    </comment>
    <comment ref="O56" authorId="0" shapeId="0" xr:uid="{63EB3322-D096-40C7-80F8-1E0D7B81221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Noch kein MB 2021 eingereicht. Annahme: wie 2020.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J6" authorId="0" shapeId="0" xr:uid="{7A6CC018-8810-4001-B5AC-936BD0B0276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Ofenlinie 1 per Ende September 2016 eingestellt</t>
        </r>
      </text>
    </comment>
    <comment ref="D33" authorId="0" shapeId="0" xr:uid="{BA4EB45A-9736-41ED-8FAD-7884F67D046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Annahme. Keine Daten verfügbar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D33" authorId="0" shapeId="0" xr:uid="{213277D6-BF1C-418F-B2EB-9EE17D61BBD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Annahme. Keine Daten verfügbar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D6" authorId="0" shapeId="0" xr:uid="{A2FD81C0-CBC6-4625-84F8-74861373E64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Annahme. Vor Stillegung der ersten Linie</t>
        </r>
      </text>
    </comment>
    <comment ref="E6" authorId="0" shapeId="0" xr:uid="{71339CC8-712D-47A7-9ABF-F95E4BB2376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aus Rytec 2011, ohne Wirbelschichtofen, Nur Rostofen</t>
        </r>
      </text>
    </comment>
    <comment ref="D9" authorId="0" shapeId="0" xr:uid="{5D2AAAAB-6DA8-47DB-8332-9B06C1DD1F9D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QR</t>
        </r>
      </text>
    </comment>
    <comment ref="D10" authorId="0" shapeId="0" xr:uid="{C20F04B6-A4D1-4B70-A7E0-A4A77E0AC49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QR</t>
        </r>
      </text>
    </comment>
    <comment ref="D14" authorId="0" shapeId="0" xr:uid="{B451F1C3-411D-4F34-9F16-39E580C5E79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RoQ. Wert wie Rytec 2011</t>
        </r>
      </text>
    </comment>
    <comment ref="D15" authorId="0" shapeId="0" xr:uid="{A0C21CCF-0D76-42E9-87DF-6C22BD57493D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Daten. Annahme RoQ</t>
        </r>
      </text>
    </comment>
    <comment ref="L15" authorId="0" shapeId="0" xr:uid="{48B7AA6B-F668-49EB-81CE-C83FC444F10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Inbetriebnahme zweite Fernwärmeetappe (JB S. 10)</t>
        </r>
      </text>
    </comment>
    <comment ref="D16" authorId="0" shapeId="0" xr:uid="{5A25D72A-699D-43C0-950D-5391483AFC5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Daten. Annahme RoQ</t>
        </r>
      </text>
    </comment>
    <comment ref="D18" authorId="0" shapeId="0" xr:uid="{6097BB0C-3F36-45E7-8EF5-35026EE5E8E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Daten. Faktor 0.210 * verbrannte Menge</t>
        </r>
      </text>
    </comment>
    <comment ref="E18" authorId="0" shapeId="0" xr:uid="{6CFAF64C-0DAC-4349-9A04-4CF219125A4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Daten. Faktor 0.210 * verbrannte Menge</t>
        </r>
      </text>
    </comment>
    <comment ref="F18" authorId="0" shapeId="0" xr:uid="{1AC0D49A-A5BB-482C-8869-E012902A0FA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Daten. Faktor 0.210 * verbrannte Menge</t>
        </r>
      </text>
    </comment>
    <comment ref="D19" authorId="0" shapeId="0" xr:uid="{4995DC9F-1727-43B6-B203-21E820CC3D3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Daten. Faktor 0.0210 * verbrannte Menge</t>
        </r>
      </text>
    </comment>
    <comment ref="E19" authorId="0" shapeId="0" xr:uid="{2E4D789A-F562-4F5E-A662-5DF6EF402D9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Daten. Faktor 0.0210 * verbrannte Menge</t>
        </r>
      </text>
    </comment>
    <comment ref="F19" authorId="0" shapeId="0" xr:uid="{9766EF41-1D1E-44E9-91FE-701DFCFF8A2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Daten. Faktor 0.0210 * verbrannte Menge</t>
        </r>
      </text>
    </comment>
    <comment ref="D33" authorId="0" shapeId="0" xr:uid="{149D0632-0917-403E-8FF8-D5FD75737DA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33" authorId="0" shapeId="0" xr:uid="{6E4693A9-660F-4EEB-B122-3A144E7669E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F33" authorId="0" shapeId="0" xr:uid="{5142E83E-09E2-4B80-810A-693835556CE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D37" authorId="0" shapeId="0" xr:uid="{C5974394-5749-41FB-8CCA-FE63E8A1EF6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37" authorId="0" shapeId="0" xr:uid="{A22E4477-F93F-4E35-80F7-F805F40EF45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F37" authorId="0" shapeId="0" xr:uid="{D4193A45-B9E4-495E-9A2A-4D4B9838423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G37" authorId="0" shapeId="0" xr:uid="{1FC4A810-02F7-41B5-8E68-BE1AEABEABC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H37" authorId="0" shapeId="0" xr:uid="{132DC761-892C-4A77-9664-E6F6577C2EB9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D41" authorId="0" shapeId="0" xr:uid="{715B6227-F134-4D23-8B1E-F466464A0915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41" authorId="0" shapeId="0" xr:uid="{3069D786-E36B-4E39-B4B7-4AEF0EA7AC0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F41" authorId="0" shapeId="0" xr:uid="{4B5345E6-A64B-4466-A30C-D22DCC51999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L56" authorId="0" shapeId="0" xr:uid="{ADC0FD2E-C84A-4B0C-80F5-8D6721F86969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gemäss "Nicht anrechenbare Emissionsreduktion (sdP und KOP) für Monitoringbericht 2020 / R. Ramer</t>
        </r>
      </text>
    </comment>
    <comment ref="O56" authorId="0" shapeId="0" xr:uid="{A64EDFDD-C237-4377-9976-1E2BB5330969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Noch kein MB eingegangen: Annahme: wie 2020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D9" authorId="0" shapeId="0" xr:uid="{9FC4CB7D-FD8F-4B69-9096-97BEB5D41E2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QR</t>
        </r>
      </text>
    </comment>
    <comment ref="D10" authorId="0" shapeId="0" xr:uid="{628FAF1B-34BE-454E-93E7-14DDFE18413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Annhme QR</t>
        </r>
      </text>
    </comment>
    <comment ref="H15" authorId="0" shapeId="0" xr:uid="{532AC381-262E-4C1F-A238-C3CFFD66CB3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Ausbau Fernwäremnetz Grabs</t>
        </r>
      </text>
    </comment>
    <comment ref="L15" authorId="0" shapeId="0" xr:uid="{9FDD3A0E-4EF1-4F8D-92D9-65D320FD041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Zunahme Gesamtanschlusswert um 4.3% (JB 2018 S. 18
)</t>
        </r>
      </text>
    </comment>
    <comment ref="D37" authorId="0" shapeId="0" xr:uid="{DD460E35-07CF-4BDC-9423-1A702CB5EAF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37" authorId="0" shapeId="0" xr:uid="{653DA48A-741D-4A72-95F6-960E1E369F6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F37" authorId="0" shapeId="0" xr:uid="{55831074-688B-4723-B40C-57676AC992D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G37" authorId="0" shapeId="0" xr:uid="{A62ACA17-DC43-472A-A4FC-A25E0E23C78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K15" authorId="0" shapeId="0" xr:uid="{85904A5B-8893-437F-8AF6-C4648F2C5A7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26.11.2017. Annahme des Projektes "Ausbau des städtischen Fernwärmenetzes, 2. Ausbauphase". Wird zu einer Verdoppelung des ausgekoppelte Wärme aus der KVA bis 2022 führen.</t>
        </r>
      </text>
    </comment>
    <comment ref="D33" authorId="0" shapeId="0" xr:uid="{88A8E8E5-2B55-4ECA-B454-29778AD591A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B37" authorId="0" shapeId="0" xr:uid="{8F61D536-4CDC-414C-A472-12CB01EFFB2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Flugaschen werdenextern gewaschen</t>
        </r>
      </text>
    </comment>
    <comment ref="D37" authorId="0" shapeId="0" xr:uid="{44AAEDB0-48B9-4CA3-9C1C-689DE91F321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37" authorId="0" shapeId="0" xr:uid="{6D97B14E-6F34-4A85-8FE6-4E7E1FF29B1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Aschen extern gewaschen. Wo ist aber leider nicht bekannt.</t>
        </r>
      </text>
    </comment>
    <comment ref="F37" authorId="0" shapeId="0" xr:uid="{02CABF38-937B-4275-A95C-9C45E8A0843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G37" authorId="0" shapeId="0" xr:uid="{BCDE8955-3D08-474D-AE76-03AEF28E0CF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H37" authorId="0" shapeId="0" xr:uid="{A49C9D8B-E308-4321-8FA0-346DB05D218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D41" authorId="0" shapeId="0" xr:uid="{72411740-BFD7-4FCE-B359-FC4079C030D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41" authorId="0" shapeId="0" xr:uid="{58683BB4-1A81-455B-BF55-07548889FF9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F41" authorId="0" shapeId="0" xr:uid="{A65C3847-5B2C-44B2-AD2D-8317575BE3E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  <author>tc={ED62B341-EF22-4AF7-B4CC-E2254F333D05}</author>
  </authors>
  <commentList>
    <comment ref="B6" authorId="0" shapeId="0" xr:uid="{55A7F585-7532-47C1-A7ED-2C8351E35DC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Im Jahresbericht KEBAG wird Klärschlamm in t TS angegeben. Hier in t. FS. Dies erklärt die Abweichung zwischen diese Zahlen (höher) und dem Jahresbericht</t>
        </r>
      </text>
    </comment>
    <comment ref="L15" authorId="0" shapeId="0" xr:uid="{749E04D6-944F-4DFE-918C-4B38D05FEC7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Ausbau Fernwärmenetz</t>
        </r>
      </text>
    </comment>
    <comment ref="H37" authorId="0" shapeId="0" xr:uid="{24C09896-3C16-4A57-89FB-10559C125A1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Upscaling Flurec, Aschen Hinwil inbegriffen</t>
        </r>
      </text>
    </comment>
    <comment ref="N37" authorId="1" shapeId="0" xr:uid="{ED62B341-EF22-4AF7-B4CC-E2254F333D05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Flurec hatte einen Ausfall einer Elektrolysezelle während mehreren Monaten.</t>
      </text>
    </comment>
    <comment ref="L41" authorId="0" shapeId="0" xr:uid="{BA1A2E11-EC77-4DC1-8076-0C0DF5E6B89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inkl. 33t Bleizementat.</t>
        </r>
      </text>
    </comment>
    <comment ref="N58" authorId="0" shapeId="0" xr:uid="{F130B984-7D3F-4D8D-B1D7-9DD2F6DC7BB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gemäss "Nicht anrechenbare Emissionsreduktion (sdP und KOP) für Monitoringbericht 2020 / R. Ramer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  <author>Famille Quartier</author>
  </authors>
  <commentList>
    <comment ref="H6" authorId="0" shapeId="0" xr:uid="{5021C6C4-4A6E-4FD0-BCA5-7D4DC21E90AC}">
      <text>
        <r>
          <rPr>
            <b/>
            <sz val="9"/>
            <color indexed="81"/>
            <rFont val="Segoe UI"/>
            <family val="2"/>
          </rPr>
          <t>Robin Quartier:
Ab 2014: Drehofen separat berechnet.</t>
        </r>
      </text>
    </comment>
    <comment ref="I6" authorId="0" shapeId="0" xr:uid="{7406AD69-8594-4488-A85E-0BF347284E1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Grossbrand. Stillstand über mehrere Monate</t>
        </r>
      </text>
    </comment>
    <comment ref="H7" authorId="0" shapeId="0" xr:uid="{064AED75-F7A5-492C-8BE7-7B1C66AD8F7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Ab 2014 Drehofen separat berechnet.</t>
        </r>
      </text>
    </comment>
    <comment ref="H14" authorId="0" shapeId="0" xr:uid="{137747A4-2562-46A0-BB41-F00F9814D30D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9.19 mit Klärschlamm</t>
        </r>
      </text>
    </comment>
    <comment ref="H15" authorId="0" shapeId="0" xr:uid="{1E85560F-0AFD-411E-813A-1E554DB97C0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15117 mit Klärschlamm
</t>
        </r>
      </text>
    </comment>
    <comment ref="J15" authorId="0" shapeId="0" xr:uid="{25CE0EF7-3E6D-45B9-B774-B8B163F38D1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Inbetriebnahme Gewächshaus Triosalat, 5'000MWh/Jar.
http://zofingertagblatt.ch/?rub=-8&amp;id=-246137</t>
        </r>
      </text>
    </comment>
    <comment ref="H16" authorId="0" shapeId="0" xr:uid="{4B0C030F-1B60-4D72-A244-6BB5417461E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46689 mit Klärschlamm</t>
        </r>
      </text>
    </comment>
    <comment ref="D33" authorId="0" shapeId="0" xr:uid="{8A658089-71CF-4A3B-A2F5-AEFE73AC170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33" authorId="0" shapeId="0" xr:uid="{815A5215-4912-4CC4-ADA6-505C4AF7D005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
</t>
        </r>
      </text>
    </comment>
    <comment ref="M34" authorId="0" shapeId="0" xr:uid="{B84AE33B-A73A-483E-A2E0-00BD644A7C0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Angabe in die Rytec-erhebung. Annahme: 100t. Dafür reduktion von 100t auf NE: 291-100=191
</t>
        </r>
      </text>
    </comment>
    <comment ref="N34" authorId="1" shapeId="0" xr:uid="{5FA810AE-8C9D-4C25-A300-C96E941FF4B9}">
      <text>
        <r>
          <rPr>
            <b/>
            <sz val="9"/>
            <color indexed="81"/>
            <rFont val="Tahoma"/>
            <family val="2"/>
          </rPr>
          <t>Famille Quartier:</t>
        </r>
        <r>
          <rPr>
            <sz val="9"/>
            <color indexed="81"/>
            <rFont val="Tahoma"/>
            <family val="2"/>
          </rPr>
          <t xml:space="preserve">
Keine Angabe in die Rytec-erhebung. Annahme: 100t. Dafür reduktion von 100t auf NE: 314-100=214</t>
        </r>
      </text>
    </comment>
    <comment ref="P34" authorId="0" shapeId="0" xr:uid="{7ADC89E6-D392-4C61-B539-60B0A430876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Angabe in Rytec-Erhebung, darum 100t Al, dafür Abzug bei Rest-NE</t>
        </r>
      </text>
    </comment>
    <comment ref="P37" authorId="0" shapeId="0" xr:uid="{248AF8D6-BB15-49B7-B9C5-031DF494D41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filterasche geht zu FLUWA-Chiresa. Darum gleiche Rückgewinnungsquote wie Buchs AG</t>
        </r>
      </text>
    </comment>
    <comment ref="H50" authorId="0" shapeId="0" xr:uid="{6599C2D0-7D7C-495E-AB65-B4696926E8B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36008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D8" authorId="0" shapeId="0" xr:uid="{0F995E84-D6A0-4C03-9E58-C578B3D69C8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QR</t>
        </r>
      </text>
    </comment>
    <comment ref="D9" authorId="0" shapeId="0" xr:uid="{DA0D9321-062E-4E73-80CE-132290D6352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QR</t>
        </r>
      </text>
    </comment>
    <comment ref="D10" authorId="0" shapeId="0" xr:uid="{16814C31-3D7D-4C80-8237-3034845945A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QR</t>
        </r>
      </text>
    </comment>
    <comment ref="D33" authorId="0" shapeId="0" xr:uid="{B37D9D76-7EFF-44CF-BC14-D952BCDBD24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belastbare Daten. Schätzung QR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L15" authorId="0" shapeId="0" xr:uid="{E8CA836A-2CD0-4EE0-946E-C8E37B05E74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Ausbau Ferwärmenetz. Wird nicht rückgängig gemacht.</t>
        </r>
      </text>
    </comment>
    <comment ref="D33" authorId="0" shapeId="0" xr:uid="{89A021F8-2973-4002-8B6A-8D805FD320E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D37" authorId="0" shapeId="0" xr:uid="{8A812D7F-EEA5-4D2C-A4D3-17F30FE264B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37" authorId="0" shapeId="0" xr:uid="{E4825EF3-FFAF-4B92-B04A-5DA9CF30D1B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F37" authorId="0" shapeId="0" xr:uid="{A21DC02F-2E4C-40CC-B415-ADA2D9393CB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G37" authorId="0" shapeId="0" xr:uid="{F096FE55-C959-4A06-81F0-789106FD676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D41" authorId="0" shapeId="0" xr:uid="{C7FCEE88-FD12-4DDE-AA9B-D3F70E1DC41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41" authorId="0" shapeId="0" xr:uid="{C2C8E810-119F-4471-81B5-0D9DA29D361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N58" authorId="0" shapeId="0" xr:uid="{4ECB7701-0E0B-4EFD-91FC-1A333C8C18D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gemäss "Nicht anrechenbare Emissionsreduktion (sdP und KOP) für Monitoringbericht 2020 / R. Ramer</t>
        </r>
      </text>
    </comment>
    <comment ref="O58" authorId="0" shapeId="0" xr:uid="{5FB39C42-C0C4-4F61-A5EC-39B28FEF692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Laufzeit sdP ging per Ende 2020 zur Ende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  <author>VBSA</author>
  </authors>
  <commentList>
    <comment ref="L8" authorId="0" shapeId="0" xr:uid="{0043675A-9D73-4439-B03C-449B3F1155C9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Ab 2018 keine Importe mehr (Mitteilung S. Zermatten)</t>
        </r>
      </text>
    </comment>
    <comment ref="D9" authorId="0" shapeId="0" xr:uid="{1A109FF5-90AE-456C-9031-03D5F49E2C7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QR</t>
        </r>
      </text>
    </comment>
    <comment ref="J34" authorId="1" shapeId="0" xr:uid="{0F567F33-CA32-4833-B59E-FDE0363E9BE6}">
      <text>
        <r>
          <rPr>
            <b/>
            <sz val="9"/>
            <color indexed="81"/>
            <rFont val="Segoe UI"/>
            <family val="2"/>
          </rPr>
          <t>VBSA:</t>
        </r>
        <r>
          <rPr>
            <sz val="9"/>
            <color indexed="81"/>
            <rFont val="Segoe UI"/>
            <family val="2"/>
          </rPr>
          <t xml:space="preserve">
Nach Aussage Deponiebetrieber: Keine Aufbereitung der Schlacke, weil nicht rentable und sowieso innerhalb Grenzwerte.
</t>
        </r>
      </text>
    </comment>
    <comment ref="D37" authorId="0" shapeId="0" xr:uid="{FEB4BF61-C65F-455E-98EF-F17ADE89720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37" authorId="0" shapeId="0" xr:uid="{C324DDC4-0864-4D69-9099-56F640CCD20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F37" authorId="0" shapeId="0" xr:uid="{C44C6C1A-A78E-41A1-8DA0-3F3C012714D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G37" authorId="0" shapeId="0" xr:uid="{69039CAB-0873-474F-A9D7-17692B776E0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H37" authorId="0" shapeId="0" xr:uid="{3920E369-8A92-49E2-B146-FB38A01D40F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I37" authorId="0" shapeId="0" xr:uid="{779C66FC-1831-4E9C-AFEA-76FA5600614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J37" authorId="1" shapeId="0" xr:uid="{2FBE0CA1-BAE0-4A87-9EE6-2678AA079BE6}">
      <text>
        <r>
          <rPr>
            <b/>
            <sz val="9"/>
            <color indexed="81"/>
            <rFont val="Segoe UI"/>
            <family val="2"/>
          </rPr>
          <t>VBSA:</t>
        </r>
        <r>
          <rPr>
            <sz val="9"/>
            <color indexed="81"/>
            <rFont val="Segoe UI"/>
            <family val="2"/>
          </rPr>
          <t xml:space="preserve">
keine Daten verfügbar. Annahme VBSA
</t>
        </r>
      </text>
    </comment>
    <comment ref="K37" authorId="0" shapeId="0" xr:uid="{95DB1CD0-DCFA-4E14-B93F-DA9210B13705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Angabe. Gerechnet nach Prognose-Methode</t>
        </r>
      </text>
    </comment>
    <comment ref="D41" authorId="0" shapeId="0" xr:uid="{C76BD845-F236-4006-B561-BE8941EF459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, ähnliche Verhältnisse wie 2014</t>
        </r>
      </text>
    </comment>
    <comment ref="E41" authorId="0" shapeId="0" xr:uid="{80B1A965-79DA-4E89-B880-5708A562CEB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, ähnliche Verhältnisse wie 2014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D6" authorId="0" shapeId="0" xr:uid="{5CDD49D3-C2AB-4275-B953-3E8D82580DE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Rytec-Daten. Dafür "BAFU-Daten "Verbrennungsrüchstände 2010"</t>
        </r>
      </text>
    </comment>
    <comment ref="D14" authorId="0" shapeId="0" xr:uid="{762666EE-07CC-4958-87E6-026DFA1ED39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Annahme: Heizwert wie 2012 (erster Datenpunkt)</t>
        </r>
      </text>
    </comment>
    <comment ref="E14" authorId="0" shapeId="0" xr:uid="{444A182C-0527-4C4E-A67E-692056C3C14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Annahme: Heizwert wie 2012 (erster Datenpunkt)</t>
        </r>
      </text>
    </comment>
    <comment ref="D15" authorId="0" shapeId="0" xr:uid="{6FBF90CB-E343-4190-9B49-CDC21107B47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nach Auskunft K. Rupen. Vor Inbetriebnahme Dampfleitung Lonza</t>
        </r>
      </text>
    </comment>
    <comment ref="E15" authorId="0" shapeId="0" xr:uid="{53CF5425-EE95-48C2-A0A8-0A88FFEC4D0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nach Auskunft K. Rupen. Inbetriebnahme Dampfleitung Lonza im Laufen des Jahres</t>
        </r>
      </text>
    </comment>
    <comment ref="D33" authorId="0" shapeId="0" xr:uid="{91093BFC-7BFF-452B-B7FB-E33BD9A1BB7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J37" authorId="0" shapeId="0" xr:uid="{A0DC3ED7-B8DB-4B6B-B78B-B523996ED15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Schätzung. Betriebt seit 2016 eine saure Wäsche</t>
        </r>
      </text>
    </comment>
    <comment ref="F41" authorId="0" shapeId="0" xr:uid="{5DB0826A-0821-4F5D-9A24-F28357A8CA7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G41" authorId="0" shapeId="0" xr:uid="{A4984D46-E975-4142-8A3D-CF10808259D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H41" authorId="0" shapeId="0" xr:uid="{BAC4A9D5-D880-468D-975F-A3E07DF1C1A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  <author>VBSA</author>
  </authors>
  <commentList>
    <comment ref="H7" authorId="0" shapeId="0" xr:uid="{8D4F9436-1D52-408C-BFDB-325418E5E26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 2014 Drehofen separat gerechnet. Ca. 9'000t</t>
        </r>
      </text>
    </comment>
    <comment ref="H14" authorId="0" shapeId="0" xr:uid="{E9942737-3821-495A-9071-0208341D780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Startker Anstieg weil KS separat gerechnet</t>
        </r>
      </text>
    </comment>
    <comment ref="L15" authorId="0" shapeId="0" xr:uid="{C689276C-F290-4D36-88FC-FA7C2C71F6C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Début de la construction du réseau de chauffage à distance, Rapport annuel 2017 p 3</t>
        </r>
      </text>
    </comment>
    <comment ref="O16" authorId="0" shapeId="0" xr:uid="{F7A94A30-0A44-4C90-A9CC-1A860FF6CE9D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Ausfall Dampfturbine</t>
        </r>
      </text>
    </comment>
    <comment ref="H41" authorId="0" shapeId="0" xr:uid="{9F1063C4-AED7-43A4-9864-648FC883C855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Schlacke in Carriere du Lessus verarbeitet, nach Stand der technik aber ohne Datenlieferung an betreiber. Folglich Schätzung aufgrund Prognose.</t>
        </r>
      </text>
    </comment>
    <comment ref="J41" authorId="1" shapeId="0" xr:uid="{2515C797-495F-487A-86C6-52EA8B92329D}">
      <text>
        <r>
          <rPr>
            <b/>
            <sz val="9"/>
            <color indexed="81"/>
            <rFont val="Segoe UI"/>
            <family val="2"/>
          </rPr>
          <t>VBSA:</t>
        </r>
        <r>
          <rPr>
            <sz val="9"/>
            <color indexed="81"/>
            <rFont val="Segoe UI"/>
            <family val="2"/>
          </rPr>
          <t xml:space="preserve">
keine Angabe. Auch nicht verarbeitet?
</t>
        </r>
      </text>
    </comment>
    <comment ref="L41" authorId="0" shapeId="0" xr:uid="{CD5B2B73-3A99-4D74-BD88-477C02A0CBD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weiterhin keine Angabe. Nachfragen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D9" authorId="0" shapeId="0" xr:uid="{1C625911-8181-4193-9C5C-B740C4FA044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QR</t>
        </r>
      </text>
    </comment>
    <comment ref="D11" authorId="0" shapeId="0" xr:uid="{E3D07614-0E26-4A09-A3C9-051BAB7D0B5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QR</t>
        </r>
      </text>
    </comment>
    <comment ref="N15" authorId="0" shapeId="0" xr:uid="{CF22CCE8-09C3-4B57-853E-87C1213C517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Inbetriebnahme "ecotube" erst ab 2021 (JB 2018 S. 42)</t>
        </r>
      </text>
    </comment>
    <comment ref="J28" authorId="0" shapeId="0" xr:uid="{1CAAB870-687B-4CF0-9053-109DC4E94DD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Aufbereitung der Schlacke in Hinwil / ZAV</t>
        </r>
      </text>
    </comment>
    <comment ref="L30" authorId="0" shapeId="0" xr:uid="{A867700B-DAE6-4DF3-8F95-BEED56C2315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Sauere Wäsche in Betrieb</t>
        </r>
      </text>
    </comment>
    <comment ref="J33" authorId="0" shapeId="0" xr:uid="{55AD6523-7B1A-439E-89B6-BF48FE132C1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Korrigiert am 06.05.2019
</t>
        </r>
      </text>
    </comment>
    <comment ref="K33" authorId="0" shapeId="0" xr:uid="{A249E089-0AE6-4775-8166-1EF7A0D7733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gemäss JB S. 39</t>
        </r>
      </text>
    </comment>
    <comment ref="L33" authorId="0" shapeId="0" xr:uid="{D5838A91-AB9D-4118-8601-53775CE4D1A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erstaunliche Abnahme. Daten gemäss JB 2018 S. 33</t>
        </r>
      </text>
    </comment>
    <comment ref="M33" authorId="0" shapeId="0" xr:uid="{0FF44E05-43A2-4AF8-A7B7-DF96FDC838A9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Robin Quartier:
Aufteilung gemäss JaBe ZAVRe 2019 S. 24</t>
        </r>
      </text>
    </comment>
    <comment ref="L34" authorId="0" shapeId="0" xr:uid="{F253BD30-8D95-4E43-8D1D-5B817448620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Gerechnet aufgrund ZAV-Zahlen</t>
        </r>
      </text>
    </comment>
    <comment ref="K41" authorId="0" shapeId="0" xr:uid="{DC5075ED-DC66-49CA-8465-BDC7FAF514E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Starke Steigerung durch Behandlung der Schlacke bei ZAV-Recycling in Hinwil seit 2016</t>
        </r>
      </text>
    </comment>
    <comment ref="B49" authorId="0" shapeId="0" xr:uid="{94D19E8B-C71E-4E7E-A615-611E06B52DD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Nach "Ausgestellte Bescheinigungen", https://www.emissionsregistry.admin.ch</t>
        </r>
      </text>
    </comment>
    <comment ref="I49" authorId="0" shapeId="0" xr:uid="{5E0360F6-CCDB-4429-B392-1E6B9770020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Annahme. Ab 2015: soll-Wert gemäss Tabelle auf http://www.bafu.admin.ch/klima/13879/13880/15742/index.html?lang=de noch nicht publiziert.</t>
        </r>
      </text>
    </comment>
    <comment ref="N56" authorId="0" shapeId="0" xr:uid="{73A37D92-05C6-4371-9268-36D5BF7ACCE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gemäss "Nicht anrechenbare Emissionsreduktion (sdP und KOP) für Monitoringbericht 2020 / R. Ramer.
Projekt ecotube (52'000t) nicht berücksichtigt.</t>
        </r>
      </text>
    </comment>
    <comment ref="O56" authorId="0" shapeId="0" xr:uid="{66D4DE01-3560-4079-AEF7-FA1A10A5044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Ecotube 2021 noch nicht in Betrieb. Annahme: wie 2020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K15" authorId="0" shapeId="0" xr:uid="{33310A7D-484B-497B-BD38-5C65E281B927}">
      <text>
        <r>
          <rPr>
            <b/>
            <sz val="9"/>
            <color indexed="81"/>
            <rFont val="Segoe UI"/>
            <family val="2"/>
          </rPr>
          <t>Jahresbericht 2016:
Die Wärmeabgabe wird sich in den nächsten Jahren versechsfachen"</t>
        </r>
      </text>
    </comment>
    <comment ref="L15" authorId="0" shapeId="0" xr:uid="{DCBF3754-7FA9-42B9-A71C-6060D877835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Zunahme Anschlussleistung um 10MW, 15km Meter neue Leitung</t>
        </r>
      </text>
    </comment>
    <comment ref="N15" authorId="0" shapeId="0" xr:uid="{3C8B68B4-7443-47D6-ADF4-3E1F0EFC9EC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Fernwärmenetz ist 2020 um 50% gewachsen (von 20 auf 30km). https://www.limeco.ch/geschaeftsbericht/2020/leiter-erneuerbare-energien-rw</t>
        </r>
      </text>
    </comment>
    <comment ref="K26" authorId="0" shapeId="0" xr:uid="{944E4A2D-CE7A-4BEB-B61D-DD061FC0C08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Saure Wäsche in KVA Linth</t>
        </r>
      </text>
    </comment>
    <comment ref="L37" authorId="0" shapeId="0" xr:uid="{771B2BC3-D9C7-4B34-AD3E-B21EDD196BE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Schätzung: Saure Wäsche in KVA Linth, dann Export Wälzrohr
</t>
        </r>
      </text>
    </comment>
    <comment ref="N56" authorId="0" shapeId="0" xr:uid="{E3D910AF-457E-4A88-8FCC-FBA5190C91E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gemäss "Nicht anrechenbare Emissionsreduktion (sdP und KOP) für Monitoringbericht 2020 / R. Ramer
Projekt "Rechte Limmattalseite" nicht berücksichtigt.</t>
        </r>
      </text>
    </comment>
    <comment ref="O56" authorId="0" shapeId="0" xr:uid="{6837F45D-784B-4D05-BE52-F222C5CEE55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MB noch nicht eingegangen. Annahme: wie 2020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I15" authorId="0" shapeId="0" xr:uid="{2E446E82-095F-485F-9E4A-13F53354F18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Neues Gewächshaus Beerstecher AG</t>
        </r>
      </text>
    </comment>
    <comment ref="K33" authorId="0" shapeId="0" xr:uid="{EB57D301-7C1D-4754-9652-74993760914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nach Jahresbericht 2017 S. 10</t>
        </r>
      </text>
    </comment>
    <comment ref="L33" authorId="0" shapeId="0" xr:uid="{2A83BB42-BCAC-486D-8C75-A5C1BDFFC9B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gemäss JB 2018 S. 10</t>
        </r>
      </text>
    </comment>
    <comment ref="M33" authorId="0" shapeId="0" xr:uid="{F13ADDAD-5888-4B54-8B66-CAE8D400B03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Aufteilung gemäss JaBe ZAVRe 2019 S. 24</t>
        </r>
      </text>
    </comment>
    <comment ref="L34" authorId="0" shapeId="0" xr:uid="{C9A45B20-8CA3-47F4-9326-CCB40BE79CB9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Gerechnet aufgrund ZAV-Zahlen</t>
        </r>
      </text>
    </comment>
    <comment ref="G37" authorId="0" shapeId="0" xr:uid="{8CB006F5-B490-4336-A7CF-9A875077391D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Zn Rückgewinnung aus Aschen erfolgt in Zuchwil</t>
        </r>
      </text>
    </comment>
    <comment ref="H37" authorId="0" shapeId="0" xr:uid="{B95A0599-BD18-4768-8911-6E3B2273DA0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Filteraschen werden in Zuchwil verarbeitet</t>
        </r>
      </text>
    </comment>
    <comment ref="I37" authorId="0" shapeId="0" xr:uid="{19B37A5D-A87A-4D51-81A4-6EF765807F2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Nicht mehr in Zuchwil angerechnet, aber immer noch dort verarbeitet</t>
        </r>
      </text>
    </comment>
    <comment ref="M37" authorId="0" shapeId="0" xr:uid="{9E787FFF-FDFA-4EE0-B630-50CDBF62874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Jahresbericht KEZO s. 10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I6" authorId="0" shapeId="0" xr:uid="{EEB5917D-A0B3-4FC9-835A-A948581E8C6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Ab 2015 nur noch eine Linie. Ab 2016 Trockenaustrag</t>
        </r>
      </text>
    </comment>
    <comment ref="J30" authorId="0" shapeId="0" xr:uid="{2B15DE41-2A03-48ED-9180-4DCAF75CFD9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Aufbereitung der Schlacke in Hinwil / ZAR</t>
        </r>
      </text>
    </comment>
    <comment ref="M33" authorId="0" shapeId="0" xr:uid="{7557515F-2FE8-4E38-A7DA-C8A3EE31A77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Robin Quartier:
Aufteilung gemäss JaBe ZAVRe 2019 S. 24</t>
        </r>
      </text>
    </comment>
    <comment ref="L34" authorId="0" shapeId="0" xr:uid="{5D4B3BC4-DAB0-4AE4-A95F-FCC40DD95A5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Gerechnet aufgrund ZAV-Zahlen</t>
        </r>
      </text>
    </comment>
    <comment ref="L37" authorId="0" shapeId="0" xr:uid="{FD2C6CCA-F54C-4963-8BB9-5D95F563FCE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Schätzung. FLUWA in Hagenholz, dann Export Wälzrohr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D18" authorId="0" shapeId="0" xr:uid="{1E5E89E6-C44A-44BA-B6DE-E6931CA34B5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Schlackenanfall unrealistisch hoch (urpsrünglich 78957). Korrigiert , 0.210 x Verbrannte Menge</t>
        </r>
      </text>
    </comment>
    <comment ref="D19" authorId="0" shapeId="0" xr:uid="{09E62A20-7957-4D63-8A41-0805E300A3E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Robin Quartier:
Aschenanfall unrealistisch hoch. Korrigiert , 0.0210 x Verbrannte Menge</t>
        </r>
      </text>
    </comment>
    <comment ref="J30" authorId="0" shapeId="0" xr:uid="{41AB943A-D731-4311-8CED-481E906083C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Aufbereitung der Schlacke in Hinwil / ZAR</t>
        </r>
      </text>
    </comment>
    <comment ref="D33" authorId="0" shapeId="0" xr:uid="{B59BE962-94E1-4FC0-8DA1-3B068628448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Nach Korrektur Schlackenanfall. Gerechnet nach Prognosemethode</t>
        </r>
      </text>
    </comment>
    <comment ref="M33" authorId="0" shapeId="0" xr:uid="{6F1F87B9-D470-4A85-BE21-33FFD9CD265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Aufteilung gemäss JaBe ZAVRe 2019 S. 24</t>
        </r>
      </text>
    </comment>
    <comment ref="L34" authorId="0" shapeId="0" xr:uid="{D07BDD38-6E9A-46F5-9A1E-221FFA0D425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Gerechnet aufgrund ZAV-Zahlen</t>
        </r>
      </text>
    </comment>
    <comment ref="P34" authorId="0" shapeId="0" xr:uid="{4AC9B140-49DF-4CDB-8D0F-92459E655D6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Kann nicht sein</t>
        </r>
      </text>
    </comment>
    <comment ref="H37" authorId="0" shapeId="0" xr:uid="{82598CDE-E1FE-4823-B59A-2DB119DB66ED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Schätzung aufgrund der Daten 2015 und 2016</t>
        </r>
      </text>
    </comment>
    <comment ref="D41" authorId="0" shapeId="0" xr:uid="{187D8B3A-EA00-4D40-A228-B8CCFD9A8D9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Nach Korrektur Schlackenanfall. Gerechnet nach Prognosemethode</t>
        </r>
      </text>
    </comment>
    <comment ref="J41" authorId="0" shapeId="0" xr:uid="{4C6D5F88-EBF1-41DC-9EE2-2493279D899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vorheriger Wert (440) unplausibel tief und nicht erklärbar.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D8" authorId="0" shapeId="0" xr:uid="{4E1482FF-CF60-4C83-92E7-2058DB8C8C8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RoQ</t>
        </r>
      </text>
    </comment>
    <comment ref="I15" authorId="0" shapeId="0" xr:uid="{7E4A4D8A-0583-4CE1-8381-C4E734FEB65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Anschluss ans REFUNA- Netz wegen Unterbrechung Beznau 1. Wahrscheinlich langfristig. http://www.aargauerzeitung.ch/aargau/zurzach/mit-dem-akw-beznau-ausfall-hat-auch-die-refuna-ihre-unschuld-verloren-129555008</t>
        </r>
      </text>
    </comment>
    <comment ref="D33" authorId="0" shapeId="0" xr:uid="{C51467C1-1E19-43F9-987D-BD54B3C0D74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33" authorId="0" shapeId="0" xr:uid="{922A2CBF-7537-4B7B-A71A-5861DB772CD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F33" authorId="0" shapeId="0" xr:uid="{63771558-9237-45A8-9EAE-6127D6842605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G33" authorId="0" shapeId="0" xr:uid="{C1F1014E-A217-4D5F-B938-E23D6D9B1F8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H33" authorId="0" shapeId="0" xr:uid="{BF91DEF0-F30C-4345-B59B-162A2F4CC54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I33" authorId="0" shapeId="0" xr:uid="{B1A80E94-EF05-48E1-A6D5-30CBEDA021D5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H41" authorId="0" shapeId="0" xr:uid="{871E9E58-7619-48E7-8DD5-D91776602C8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Annahme. Keine Daten verfügbar</t>
        </r>
      </text>
    </comment>
    <comment ref="I41" authorId="0" shapeId="0" xr:uid="{E341790B-604E-4043-A8DD-4420845BE1F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D5" authorId="0" shapeId="0" xr:uid="{1411E879-7C1C-4612-8AA0-9095149BB9F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Rytec-Angabe</t>
        </r>
      </text>
    </comment>
    <comment ref="N5" authorId="0" shapeId="0" xr:uid="{9BC2DA59-9D84-4B98-835B-A163AFA734B9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Anlage wird per Ende März 2021
 abgestellt.</t>
        </r>
      </text>
    </comment>
    <comment ref="O6" authorId="0" shapeId="0" xr:uid="{E6CD10A2-287F-4D6B-B297-8D116B6EE73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In März 2021 endgültig abgestellt.</t>
        </r>
      </text>
    </comment>
    <comment ref="D8" authorId="0" shapeId="0" xr:uid="{2C71E8E2-921D-42DF-8CB6-ED813509934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QR</t>
        </r>
      </text>
    </comment>
    <comment ref="G8" authorId="0" shapeId="0" xr:uid="{921581CF-1EAE-4F6E-9E1B-97FE99EE164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Angaben B. Dettwiller</t>
        </r>
      </text>
    </comment>
    <comment ref="H8" authorId="0" shapeId="0" xr:uid="{BBB7E568-614B-47D7-9FD1-374A6E9ECBB9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Total ERZ nach Mail C. Kenter: 114848. Davon Hagenholz mit 11'247. Differenz in Josefstrasse</t>
        </r>
      </text>
    </comment>
    <comment ref="D18" authorId="0" shapeId="0" xr:uid="{7A962A24-146E-4701-8C60-5AEA66F7247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Gerechnet: 0.221t pro Tonne Abfall</t>
        </r>
      </text>
    </comment>
    <comment ref="H18" authorId="0" shapeId="0" xr:uid="{5650D94B-99B8-4E41-8AB8-829B27B8808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Nach Mail B. Dettwiller für PRTR-Eintrag vom 11.09.2015</t>
        </r>
      </text>
    </comment>
    <comment ref="D19" authorId="0" shapeId="0" xr:uid="{82DE4BFC-503D-4C0F-A024-A5F288F98835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Gerechnet: 0.022t pro Tonne Abfall</t>
        </r>
      </text>
    </comment>
    <comment ref="D33" authorId="0" shapeId="0" xr:uid="{A1F171E8-919D-471B-8DD1-2B2EC1C610E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Annahme. Keine Daten verfügbar</t>
        </r>
      </text>
    </comment>
    <comment ref="G33" authorId="0" shapeId="0" xr:uid="{68DBF459-88CE-4A8B-8776-24BA5370205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Angaben B. Dettwiller für PRTR</t>
        </r>
      </text>
    </comment>
    <comment ref="H33" authorId="0" shapeId="0" xr:uid="{9A15A5D9-CD7A-4C28-9432-B6EA22D09B4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Summe alle Metalle: 3545.</t>
        </r>
      </text>
    </comment>
    <comment ref="F37" authorId="0" shapeId="0" xr:uid="{F0C42428-B731-43FC-86B2-C61EA8204B0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Angabe. Gerechnet nach Prognose-Methode</t>
        </r>
      </text>
    </comment>
    <comment ref="G37" authorId="0" shapeId="0" xr:uid="{A0F322C8-1483-4A39-AD1F-84FD57EC5A1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Angabe. Gerechnet nach Prognose-Methode</t>
        </r>
      </text>
    </comment>
    <comment ref="H37" authorId="0" shapeId="0" xr:uid="{1AAA3994-AD9A-471A-919E-00D08B742129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Angabe. Gerechnet nach Prognose-Methode</t>
        </r>
      </text>
    </comment>
    <comment ref="I37" authorId="0" shapeId="0" xr:uid="{FBC2B490-0D59-4E9B-97DB-86F55749880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Angabe. Gerechnet nach Prognose-Methode</t>
        </r>
      </text>
    </comment>
    <comment ref="J37" authorId="0" shapeId="0" xr:uid="{6375989D-F4B2-4F29-A7E1-AE1535C5B28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Angabe. Gerechnet nach Prognose-Methode</t>
        </r>
      </text>
    </comment>
    <comment ref="K37" authorId="0" shapeId="0" xr:uid="{4D49FFA6-7131-46A6-BEE7-E59588606D1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Angabe. Gerechnet nach Prognose-Methode</t>
        </r>
      </text>
    </comment>
    <comment ref="E41" authorId="0" shapeId="0" xr:uid="{9CA70665-792F-44D1-A944-D253B0C1E82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Angabe. Gerechnet nach Prognose-Methode</t>
        </r>
      </text>
    </comment>
    <comment ref="H41" authorId="0" shapeId="0" xr:uid="{882021E6-7783-4760-9C86-760595EFBBB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R. Quartier.
Muss noch von B. Dettwiller bestätigt werden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E5" authorId="0" shapeId="0" xr:uid="{FC517EF0-BD9C-4A6B-BBB7-C76D2F6999C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vor Umbau nicht verifiziert</t>
        </r>
      </text>
    </comment>
    <comment ref="J15" authorId="0" shapeId="0" xr:uid="{D1CCBD01-DABA-47D5-96A3-93E7AE9B891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Erschliessung Sulzerareal Stadtmitte.
7'500t CO2 Emissione aus Erdgas werden dadurch vermieden. Darum 37'500MWh Wärme ersetzt. Konservative Rundung
http://stadtwerk.winterthur.ch/angebot/fernwaerme/projekte/heiligbergstollen/</t>
        </r>
      </text>
    </comment>
    <comment ref="G33" authorId="0" shapeId="0" xr:uid="{FCC6A01A-DC01-4365-A618-E30355A26D4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Geschäftsbericht S.11</t>
        </r>
      </text>
    </comment>
    <comment ref="G41" authorId="0" shapeId="0" xr:uid="{E7F19A8F-4D64-4AAF-A101-2955D42EE6E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Geschäftsbericht S.11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B5" authorId="0" shapeId="0" xr:uid="{D0E6F33A-E50F-4B1A-8E81-D80B3414D33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Datenquelle: Annahme R. Quartier. Standardwert, aufgerundet nach den jährlichen Mitelwert der  Rytec-Zahlen. </t>
        </r>
      </text>
    </comment>
    <comment ref="B6" authorId="0" shapeId="0" xr:uid="{E4D0AD74-0741-4FB8-90F8-219372340299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Datenquelle: Annahme R. Quartier. Standardwert, aufgerundet nach den jährlichen Mitelwert der  Rytec-Zahlen. </t>
        </r>
      </text>
    </comment>
    <comment ref="A8" authorId="0" shapeId="0" xr:uid="{BA1E4485-F6A6-4F70-9146-320A71F0645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Datenquelle:n:
Schlacke:
Chemische Zusammensetzung verbrannter Siedlungsabfälle, BAFU 2006, mittelwert aus Tabelle 35 und Tabelle 36.
Gesamtmengenwert, mg pro kg FS
Filterasche:
Daten aus BAFU 2006 wie oben, Mittelwert aus Tabelle 21 und 22  (4 Werte) und Tabelle 29 und 30
Legierungen und  Summenparameter:
Daten aus BAFU 2006 wie oben, Mittelwert aus Tabelle 35 und Tabelle 36.
Gesamtmengenwert, mg pro kg FS</t>
        </r>
      </text>
    </comment>
    <comment ref="B14" authorId="0" shapeId="0" xr:uid="{091F5231-553F-407C-A975-44C3ADEDDF9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Au-Gehalt in Siedlungsabfall: 0.4 +/- 0.2 mg/kg.
Source: Morf et al.: Precious metals and rare earth elements in municipal solid waste – Sources and fate in a Swiss incineration
plant. Waste Management, Volume 33, Issue 3, Pages 634-644, March 2013
Annahme: Aufkonzentrierung um faktor 5 in der Schlacke.  Ergibt also 2g/t Schlacke</t>
        </r>
      </text>
    </comment>
    <comment ref="B15" authorId="0" shapeId="0" xr:uid="{E65070C7-C1D7-44D4-B3FE-C31669DA9D6D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Robin Quartier:
Ag-Gehalt in Siedlungsabfall: 5.3 +/- 0.7 mg/kg.
Source: Morf et al.: Precious metals and rare earth elements in municipal solid waste – Sources and fate in a Swiss incineration
plant. Waste Management, Volume 33, Issue 3, Pages 634-644, March 2013
Annahme: Aufkonzentrierung um faktor 5 in der Schlacke.  Ergibt also 25g/t Schlacke</t>
        </r>
      </text>
    </comment>
    <comment ref="B16" authorId="0" shapeId="0" xr:uid="{6FED8A6C-2E2F-4C59-BBA5-CA851374CC0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R. Quartier</t>
        </r>
      </text>
    </comment>
    <comment ref="A19" authorId="0" shapeId="0" xr:uid="{731D7A85-76FB-416C-8833-88119822BAF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Datenquelle:n:
Schlacke:
Chemische Zusammensetzung verbrannter Siedlungsabfälle, BAFU 2006, mittelwert aus Tabelle 35 und Tabelle 36.
Gesamtmengenwert, mg pro kg FS
Filterasche:
Daten aus BAFU 2006 wie oben, Mittelwert aus Tabelle 21 und 22  (4 Werte) und Tabelle 29 und 30 (auch 4 Werte) =((20200+28200+20200+21900)/4+(45800+47550+53700+51700)/4)/(2*10^6)
Legierungen und  Summenparameter:
Daten aus BAFU 2006 wie oben, Mittelwert aus Tabelle 35 und Tabelle 36.
Gesamtmengenwert, mg pro kg FS</t>
        </r>
      </text>
    </comment>
    <comment ref="B24" authorId="0" shapeId="0" xr:uid="{087251B3-5790-4FD6-8108-DF502CFE1C74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Faktor 2 Unterschied zwischen Siedlungsabfälle und Industrieabfälle!!</t>
        </r>
      </text>
    </comment>
    <comment ref="B95" authorId="0" shapeId="0" xr:uid="{8CB1FFB0-4A77-46CC-A872-9C67A118F8C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475: Detailhandel mit sonstigen Haushaltsgeräten, Textilien, Heimwerker- und Einrichtungsbedarf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F14" authorId="0" shapeId="0" xr:uid="{B5745A00-66BF-48E9-A662-4CF6D28BA08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Rytec-Daten, da Übergang zur neuen Anlagen Forsthaus. Annahme R. Quartier: wie 2011 (keine Änderung des Abfalls)</t>
        </r>
      </text>
    </comment>
    <comment ref="F15" authorId="0" shapeId="0" xr:uid="{CC18718B-D98D-421A-914B-C0E024E7133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Robin Quartier:
Keine Rytec-Daten, da Übergang zur neuen Anlagen Forsthaus. Annahme R. Quartier auf Basis 2010 und 2011</t>
        </r>
      </text>
    </comment>
    <comment ref="O15" authorId="0" shapeId="0" xr:uid="{CF5B4ADD-D347-4B4A-AA33-FBC1310A172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massiver Ausbau des Fernwärmenetzes.</t>
        </r>
      </text>
    </comment>
    <comment ref="F16" authorId="0" shapeId="0" xr:uid="{B4D93110-BCEB-476C-B881-DC4491C3B32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Rytec-Daten, da Übergang zur neuen Anlagen Forsthaus. Annahme R. Quartier auf Basis 2010 und 2011</t>
        </r>
      </text>
    </comment>
    <comment ref="D33" authorId="0" shapeId="0" xr:uid="{E94CB496-77F3-4410-B667-E8AB795317B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P33" authorId="0" shapeId="0" xr:uid="{07530E4D-067F-4A13-A5C7-41E767CB3DE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…kann irgendwie nicht stimmen. Bei Rytec nachfragen</t>
        </r>
      </text>
    </comment>
    <comment ref="N34" authorId="0" shapeId="0" xr:uid="{D274348B-C611-410A-987C-D5C12E89239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Angabe. Die Schlacke wird aber wie die aus Biel in teuftal aufbereitet. Darum gleich Al-Ausbeute wie die von Biel.</t>
        </r>
      </text>
    </comment>
    <comment ref="O34" authorId="0" shapeId="0" xr:uid="{850716A6-8C93-4FAE-9DB2-79DE4C4D661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wie letztes Jahr</t>
        </r>
      </text>
    </comment>
    <comment ref="D37" authorId="0" shapeId="0" xr:uid="{8B6F461E-8B85-446F-85E6-07204D2C6CD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37" authorId="0" shapeId="0" xr:uid="{F89274CD-2B15-4F16-A12C-D59196113AA9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F37" authorId="0" shapeId="0" xr:uid="{B63BDD3B-3B3D-4565-801B-C319A0402DCD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G37" authorId="0" shapeId="0" xr:uid="{911C7663-AC69-4676-9106-A0BF4F15AD9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H37" authorId="0" shapeId="0" xr:uid="{850835FA-0D35-41A7-8985-16F6CF882CE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I37" authorId="0" shapeId="0" xr:uid="{E99C7AD2-147B-40BE-8378-AEF97B82B1C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Robin Quartier:
Keine Daten verfügbar. Rückwirkende Berechnung aufgrund von Rückgewinnungsmethode wie die Prognose</t>
        </r>
      </text>
    </comment>
    <comment ref="D41" authorId="0" shapeId="0" xr:uid="{6BA4AAFE-C4CA-43FA-91F3-7E096A1549A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41" authorId="0" shapeId="0" xr:uid="{C97B25E2-B6C3-4736-82E1-E13B540884D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F41" authorId="0" shapeId="0" xr:uid="{7CC85E15-DAC2-4C8F-BDCA-A2E4432DB93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G41" authorId="0" shapeId="0" xr:uid="{4905756D-D1FB-4A55-B33D-BD51180EFE1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H41" authorId="0" shapeId="0" xr:uid="{AC9DA98D-BF61-408B-84ED-6CCBCD0BA80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D6" authorId="0" shapeId="0" xr:uid="{728E7A87-C92F-45EB-A825-2CA7F77B827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 verfügbar. Annahme R. Quartier</t>
        </r>
      </text>
    </comment>
    <comment ref="E6" authorId="0" shapeId="0" xr:uid="{36FD45A1-FE25-48DC-9939-942F7218EA8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Rytec-Daten. Zahl aus Jahresbericht Müwe 2013</t>
        </r>
      </text>
    </comment>
    <comment ref="F6" authorId="0" shapeId="0" xr:uid="{61BAD92F-FC01-409D-9FAB-0996F488C48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Erste Zahl nach Rytec-Erhebung</t>
        </r>
      </text>
    </comment>
    <comment ref="D14" authorId="0" shapeId="0" xr:uid="{1B608AC2-D66C-4E5D-A726-59D2ED7CEC9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Rytec-Daten. Annahme R. Quartier: Gleicher Wert wie 2014 (erste Rytec-Erhebung)</t>
        </r>
      </text>
    </comment>
    <comment ref="E14" authorId="0" shapeId="0" xr:uid="{8018B2BB-1E07-4AE7-A199-0278C7366D9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Rytec-Daten. Annahme R. Quartier: Gleicher Wert wie 2014 (erste Rytec-Erhebung)</t>
        </r>
      </text>
    </comment>
    <comment ref="F14" authorId="0" shapeId="0" xr:uid="{F5E2706F-2823-4605-BD43-5706248E72B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Rytec-Daten. Annahme R. Quartier: Gleicher Wert wie 2014 (erste Rytec-Erhebung)</t>
        </r>
      </text>
    </comment>
    <comment ref="G14" authorId="0" shapeId="0" xr:uid="{F8D09D3D-569A-4308-9A72-595F8C4EFD6B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Rytec-Daten. Annahme R. Quartier: Gleicher Wert wie 2014 (erste Rytec-Erhebung)</t>
        </r>
      </text>
    </comment>
    <comment ref="D15" authorId="0" shapeId="0" xr:uid="{A5D775E1-797C-44F8-9043-05AEB548170D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Rytec-Daten. Annahme R. Quartier</t>
        </r>
      </text>
    </comment>
    <comment ref="E15" authorId="0" shapeId="0" xr:uid="{6CD68796-84B6-4056-8F2E-880F6A3E396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Rytec-Daten. Keine Rytec-Daten. Zahl aus Jahresbericht Müwe 2013</t>
        </r>
      </text>
    </comment>
    <comment ref="F15" authorId="0" shapeId="0" xr:uid="{3567582E-3340-4246-9916-87C2B024B77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Rytec-Daten. Keine Rytec-Daten. Zahl aus Jahresbericht Müwe 2013</t>
        </r>
      </text>
    </comment>
    <comment ref="G15" authorId="0" shapeId="0" xr:uid="{6517EA0D-3A9E-45CA-9E12-640CBF1A121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Rytec-Daten. Zahl aus Jahresbericht Müwe 2013</t>
        </r>
      </text>
    </comment>
    <comment ref="D16" authorId="0" shapeId="0" xr:uid="{9832FF0A-DC0C-4024-B034-57E05D25145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Rytec-Daten. Annahme R. Quartier</t>
        </r>
      </text>
    </comment>
    <comment ref="E16" authorId="0" shapeId="0" xr:uid="{849B6643-C75D-4AA5-99FF-FE28CA46AD4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Rytec-Daten. Keine Rytec-Daten. Zahl aus Jahresbericht Müwe 2013</t>
        </r>
      </text>
    </comment>
    <comment ref="F16" authorId="0" shapeId="0" xr:uid="{6A014D23-3FC1-4579-B9C4-D7CE602C355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Rytec-Daten. Keine Rytec-Daten. Zahl aus Jahresbericht Müwe 2013</t>
        </r>
      </text>
    </comment>
    <comment ref="G16" authorId="0" shapeId="0" xr:uid="{F2135683-12BF-4539-930B-0603222E4D7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Rytec-Daten. Zahl aus Jahresbericht Müwe 2013</t>
        </r>
      </text>
    </comment>
    <comment ref="D33" authorId="0" shapeId="0" xr:uid="{4CB091A0-5944-461E-A793-ACA0B3C9232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F41" authorId="0" shapeId="0" xr:uid="{2ECF3681-1EAD-4472-8867-5C1C41E02DF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G41" authorId="0" shapeId="0" xr:uid="{B7A16071-E301-4A01-8439-1806786918C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H41" authorId="0" shapeId="0" xr:uid="{152DF0D1-CB03-4E9F-B934-562D3059EE4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M6" authorId="0" shapeId="0" xr:uid="{C808F2A4-C0D6-41C0-8109-0A060297992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Revision 2018, dafür längere 2019</t>
        </r>
      </text>
    </comment>
    <comment ref="L15" authorId="0" shapeId="0" xr:uid="{67A9BCB3-DB27-4BF7-805F-83E3A8F6CCA6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Anschluss Anschluss an die ARA Thunersee (5'000MWh), das Sportzentrum CIS und die Schulhäuser in Heimberg sowie ans Armee Logistik Center Thun erfolgte im September 2017 (JB 2017, S. 7)</t>
        </r>
      </text>
    </comment>
    <comment ref="E33" authorId="0" shapeId="0" xr:uid="{4AA4D651-C561-4ED6-9D8E-F1EC844685FD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Vorhandene Angaben unplausibel. Korrigiert mit Modelwert wie Prognose.</t>
        </r>
      </text>
    </comment>
    <comment ref="D37" authorId="0" shapeId="0" xr:uid="{1C988DB6-EC77-4B9B-BAD6-F76D08E6F74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E37" authorId="0" shapeId="0" xr:uid="{9C0F7E8F-CB7D-4AE6-B270-A6FCAACEE8A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F37" authorId="0" shapeId="0" xr:uid="{D67DDA5F-CF09-4F2F-8C4C-6222FA24680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G37" authorId="0" shapeId="0" xr:uid="{D6C51336-127A-4394-ABF7-FB1FE8F37FF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H37" authorId="0" shapeId="0" xr:uid="{4A7269E0-3232-4E1E-871A-2CC38CD3D395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L56" authorId="0" shapeId="0" xr:uid="{B8ACA1C2-C4E7-408F-AA65-344C33B2E90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gemäss "Nicht anrechenbare Emissionsreduktion (sdP und KOP) für Monitoringbericht 2020 / R. Ramer</t>
        </r>
      </text>
    </comment>
    <comment ref="O56" authorId="0" shapeId="0" xr:uid="{918FCEAB-91B7-4202-BB2A-F6B51F9F42B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Noch kein MB eingegangen. Annahme: wie 2020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K6" authorId="0" shapeId="0" xr:uid="{10353DC7-B86F-403F-A9E7-E1255E3DEA7A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Sanierung Ofenlinie 2 5 Wochen</t>
        </r>
      </text>
    </comment>
    <comment ref="D8" authorId="0" shapeId="0" xr:uid="{F5942E15-4E13-427F-8FAB-17245A5A057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Daten. Darum gleich wie 2011</t>
        </r>
      </text>
    </comment>
    <comment ref="L15" authorId="0" shapeId="0" xr:uid="{E4344D0F-4A9E-4829-994A-39014BEABA51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Nach Sanierung OL2 wieder auf höheren Niveau</t>
        </r>
      </text>
    </comment>
    <comment ref="K33" authorId="0" shapeId="0" xr:uid="{E8997998-9C24-474B-BA4B-A3C84D20B10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Umleitung einer grossen Teil der Schlacke auf Deponie Elbisgraben, die zur Zeit keine Entschrottung betreibt. Schlacke wird zwischen gelagert und 2018 entschrottet.</t>
        </r>
      </text>
    </comment>
    <comment ref="M33" authorId="0" shapeId="0" xr:uid="{63926D3A-3A09-4A1D-82BD-220EA428B428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überprüfen! Wieder keine Sortierung auf Elbisgraben? IWB-JaBe zuwarten.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  <author>VBSA</author>
  </authors>
  <commentList>
    <comment ref="D6" authorId="0" shapeId="0" xr:uid="{20020D7F-CC59-4267-A094-A597BC86993D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Rytec nicht für das ganze Jahr. Annahme R. Quartier:</t>
        </r>
      </text>
    </comment>
    <comment ref="D14" authorId="0" shapeId="0" xr:uid="{3971C625-204B-47F3-82A7-41188DE28B7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Rytec nicht für das ganze Jahr. Annahme R. Quartier:</t>
        </r>
      </text>
    </comment>
    <comment ref="D15" authorId="0" shapeId="0" xr:uid="{B744FBC1-CF8D-4102-A7BD-189D15726405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Rytec nicht für das ganze Jahr. Annahme R. Quartier:</t>
        </r>
      </text>
    </comment>
    <comment ref="K15" authorId="0" shapeId="0" xr:uid="{D4A046D6-30E8-421C-AB61-4F39D129C37F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Ohne Energie aus Schlammverbrennungsanlage.
Erweiterung Fernwärmenetz wird bemerkbar.</t>
        </r>
      </text>
    </comment>
    <comment ref="D16" authorId="0" shapeId="0" xr:uid="{C82CEB79-A530-44B9-B0CB-AAAD47C50AEE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Daten Rytec nicht für das ganze Jahr. Annahme R. Quartier:</t>
        </r>
      </text>
    </comment>
    <comment ref="J25" authorId="1" shapeId="0" xr:uid="{DBCE4A4B-79BA-4B96-8A3F-BF146F15CE86}">
      <text>
        <r>
          <rPr>
            <b/>
            <sz val="9"/>
            <color indexed="81"/>
            <rFont val="Segoe UI"/>
            <family val="2"/>
          </rPr>
          <t>VBSA:</t>
        </r>
        <r>
          <rPr>
            <sz val="9"/>
            <color indexed="81"/>
            <rFont val="Segoe UI"/>
            <family val="2"/>
          </rPr>
          <t xml:space="preserve">
Inbetriebnahme Selfrag-verfahren.</t>
        </r>
      </text>
    </comment>
    <comment ref="D33" authorId="0" shapeId="0" xr:uid="{CC6DB3D9-6A40-4207-AA5C-07C4FCA544B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Annahme. Keine Daten verfügbar</t>
        </r>
      </text>
    </comment>
    <comment ref="E37" authorId="0" shapeId="0" xr:uid="{1EE73EA6-836E-46D1-A5FB-725D156F1665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F37" authorId="0" shapeId="0" xr:uid="{A670A671-D8F8-4C05-9B91-DB22D4C57DD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G37" authorId="0" shapeId="0" xr:uid="{6685604F-83C2-49F1-8C65-A47CAE70729C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H37" authorId="0" shapeId="0" xr:uid="{609A8CEF-675B-4E5D-AE0B-D3B7605EF6E9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I37" authorId="0" shapeId="0" xr:uid="{611D5320-9F7B-40D8-9F36-49B58242E3B9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  <comment ref="L37" authorId="0" shapeId="0" xr:uid="{923C62B1-BCC5-42F8-BBB0-729D9DA20AF3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Annahme (Saure Wäsche + Export in Wälzverfahren)</t>
        </r>
      </text>
    </comment>
    <comment ref="E41" authorId="0" shapeId="0" xr:uid="{E67D379E-F0C5-4476-B07F-65D7C04C27B7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Keine Daten verfügbar. Rückwirkende Berechnung aufgrund von Rückgewinnungsmethode wie die Prognose.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 Quartier</author>
  </authors>
  <commentList>
    <comment ref="K15" authorId="0" shapeId="0" xr:uid="{448254F7-1061-4751-B66E-88140EE7C76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Erweiterung Fernwärmenetz. Geht nicht zurück.</t>
        </r>
      </text>
    </comment>
    <comment ref="M41" authorId="0" shapeId="0" xr:uid="{DAB43085-4E14-4D7A-BA6C-B987FA090302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Angabe in Rytec Erhebung unplausibel tief (18t)</t>
        </r>
      </text>
    </comment>
    <comment ref="N41" authorId="0" shapeId="0" xr:uid="{DC1BF84C-A7A7-4107-97CF-722EE8C0CA10}">
      <text>
        <r>
          <rPr>
            <b/>
            <sz val="9"/>
            <color indexed="81"/>
            <rFont val="Segoe UI"/>
            <family val="2"/>
          </rPr>
          <t>Robin Quartier:</t>
        </r>
        <r>
          <rPr>
            <sz val="9"/>
            <color indexed="81"/>
            <rFont val="Segoe UI"/>
            <family val="2"/>
          </rPr>
          <t xml:space="preserve">
Angabe in Rytec-erhebung fehlt</t>
        </r>
      </text>
    </comment>
  </commentList>
</comments>
</file>

<file path=xl/sharedStrings.xml><?xml version="1.0" encoding="utf-8"?>
<sst xmlns="http://schemas.openxmlformats.org/spreadsheetml/2006/main" count="11175" uniqueCount="289">
  <si>
    <t>Technische Parameter mit Gültigkeit für alle Anlagen</t>
  </si>
  <si>
    <t>Einheit</t>
  </si>
  <si>
    <t>Rückstände</t>
  </si>
  <si>
    <t>Menge Schlacke pro Tonne Abfall</t>
  </si>
  <si>
    <t>t Schlacke pro t Abfall</t>
  </si>
  <si>
    <t>Menge Filterstaub pro Tonne Abfall</t>
  </si>
  <si>
    <t>t Staub pro t Abfall</t>
  </si>
  <si>
    <t>Metalle: Gehalt in der Schlacke</t>
  </si>
  <si>
    <t>Fe in der Schlacke</t>
  </si>
  <si>
    <t>t Fe pro t Schlacke (Feucht)</t>
  </si>
  <si>
    <t>Al in der Schlacke</t>
  </si>
  <si>
    <t>t Al pro t Schlacke (Feucht)</t>
  </si>
  <si>
    <t>Cu in der Schlacke</t>
  </si>
  <si>
    <t>t Cu pro t Schlacke (Feucht)</t>
  </si>
  <si>
    <t>Pb in der Schlacke</t>
  </si>
  <si>
    <t>t Pb pro t Schlacke (Feucht)</t>
  </si>
  <si>
    <t>Zn in der Schlacke</t>
  </si>
  <si>
    <t>t Zn pro t Schlacke (Feucht)</t>
  </si>
  <si>
    <t>Au in der Schlacke</t>
  </si>
  <si>
    <t>t Au pro t Schlacke (Feucht)</t>
  </si>
  <si>
    <t>Ag in der Schlacke</t>
  </si>
  <si>
    <t>t Ag pro t Schlacke (Feucht)</t>
  </si>
  <si>
    <t>Inox aus Schlacke</t>
  </si>
  <si>
    <t>t Inox pro t Schlacke</t>
  </si>
  <si>
    <t>NE-pauschal (Al+Cu+Zn+Inox) aus Schlacke</t>
  </si>
  <si>
    <t xml:space="preserve">t NE pro t Schlacke </t>
  </si>
  <si>
    <t>Metalle: Gehalt in der Filterasche (FA)</t>
  </si>
  <si>
    <t>Fe in der FA</t>
  </si>
  <si>
    <t>t Fe pro t FA</t>
  </si>
  <si>
    <t>Al in der FA</t>
  </si>
  <si>
    <t>t Al pro t FA</t>
  </si>
  <si>
    <t>Cu in der FA</t>
  </si>
  <si>
    <t>t Cu pro t FA</t>
  </si>
  <si>
    <t>Pb in der FA</t>
  </si>
  <si>
    <t>t Pb pro t FA</t>
  </si>
  <si>
    <t>Zn in der FA</t>
  </si>
  <si>
    <t>t Zn pro t FA</t>
  </si>
  <si>
    <t>Au in der FA</t>
  </si>
  <si>
    <t>t Au pro t FA</t>
  </si>
  <si>
    <t>Ag in der FA</t>
  </si>
  <si>
    <t>t Ag pro t FA</t>
  </si>
  <si>
    <t>Inox aus Filterasche</t>
  </si>
  <si>
    <t>t Inox pro t FA</t>
  </si>
  <si>
    <t>NE-pauschal aus FA</t>
  </si>
  <si>
    <t>t NE pro t FA</t>
  </si>
  <si>
    <r>
      <t>CO</t>
    </r>
    <r>
      <rPr>
        <b/>
        <vertAlign val="subscript"/>
        <sz val="11"/>
        <color theme="1"/>
        <rFont val="Arial"/>
        <family val="2"/>
      </rPr>
      <t>2</t>
    </r>
    <r>
      <rPr>
        <b/>
        <sz val="11"/>
        <color theme="1"/>
        <rFont val="Arial"/>
        <family val="2"/>
      </rPr>
      <t>-Fossil</t>
    </r>
  </si>
  <si>
    <r>
      <t>Anteil CO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-Fossil</t>
    </r>
  </si>
  <si>
    <t>Prozent</t>
  </si>
  <si>
    <r>
      <t>Faktor C → CO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: 44/12</t>
    </r>
  </si>
  <si>
    <t>[-]</t>
  </si>
  <si>
    <t>Emissionsfaktoren für</t>
  </si>
  <si>
    <t>Wärmeabgabe</t>
  </si>
  <si>
    <t>t CO2 pro MWh</t>
  </si>
  <si>
    <t>Stromabgabe</t>
  </si>
  <si>
    <t>Emissionsfaktoren für Rückgewinnung der Metalle</t>
  </si>
  <si>
    <t>Fe</t>
  </si>
  <si>
    <t>t CO2 pro t Fe</t>
  </si>
  <si>
    <t>Al</t>
  </si>
  <si>
    <t>t CO2 pro t Al</t>
  </si>
  <si>
    <t>Cu</t>
  </si>
  <si>
    <t>t CO2 pro t Cu</t>
  </si>
  <si>
    <t>Pb</t>
  </si>
  <si>
    <t>t CO2 pro t Pb</t>
  </si>
  <si>
    <t>Zn</t>
  </si>
  <si>
    <t>t CO2 pro t Zn</t>
  </si>
  <si>
    <t>Au</t>
  </si>
  <si>
    <t>t CO2 pro t Au</t>
  </si>
  <si>
    <t>Ag</t>
  </si>
  <si>
    <t>t CO2 pro t Ag</t>
  </si>
  <si>
    <t>Stahl Rostfrei</t>
  </si>
  <si>
    <t>t CO2 pro t Inox</t>
  </si>
  <si>
    <t>NE pauschal</t>
  </si>
  <si>
    <t>t CO2 pro t NE</t>
  </si>
  <si>
    <t>Parameter C-Gehalt (bzgl. Heizwert in GJ/t)</t>
  </si>
  <si>
    <t>Formel: (264'000 + (Heizwert Abfall inkl. KS [GJ/t] - 10) * 98'000/5) / 1'000'000</t>
  </si>
  <si>
    <t>Formel: (a + (Heizwert Abfall inkl. KS - b) * c) / d</t>
  </si>
  <si>
    <t>a</t>
  </si>
  <si>
    <t>g/t</t>
  </si>
  <si>
    <t>b</t>
  </si>
  <si>
    <t>GJ/t</t>
  </si>
  <si>
    <t>c</t>
  </si>
  <si>
    <t>g/GJ</t>
  </si>
  <si>
    <t>d</t>
  </si>
  <si>
    <t>-</t>
  </si>
  <si>
    <t>Anlage</t>
  </si>
  <si>
    <t>Buchs (AG)</t>
  </si>
  <si>
    <t>VBSA-ID</t>
  </si>
  <si>
    <t>AG_1</t>
  </si>
  <si>
    <t xml:space="preserve">Falls 'Zukunftswerte' bekannt sind, können sie in diesem Blatt angegeben werden. </t>
  </si>
  <si>
    <t>Ansprechsperson</t>
  </si>
  <si>
    <t>Tel</t>
  </si>
  <si>
    <t>Mail</t>
  </si>
  <si>
    <t>Daten</t>
  </si>
  <si>
    <t>Beschreibung</t>
  </si>
  <si>
    <t>Plankapazität</t>
  </si>
  <si>
    <t>t</t>
  </si>
  <si>
    <t>Verbrannte Menge</t>
  </si>
  <si>
    <t>davon Klärschlamm (Feucht)</t>
  </si>
  <si>
    <t>t FS</t>
  </si>
  <si>
    <t>Import D</t>
  </si>
  <si>
    <t>Import I</t>
  </si>
  <si>
    <t>Import Ö</t>
  </si>
  <si>
    <t>Import F</t>
  </si>
  <si>
    <t>Import Andere</t>
  </si>
  <si>
    <t>Heizwert Abfall inkl. KS</t>
  </si>
  <si>
    <t>MWh/a</t>
  </si>
  <si>
    <t>Anfall Schlacke</t>
  </si>
  <si>
    <t>Anfall Filterasche</t>
  </si>
  <si>
    <t>Rückgewinnungsmethoden der Metalle</t>
  </si>
  <si>
    <t>A1</t>
  </si>
  <si>
    <t>Einfache Entschrottung  der Schlacke</t>
  </si>
  <si>
    <t>Ja/Nein</t>
  </si>
  <si>
    <t>Ja</t>
  </si>
  <si>
    <t>Nein</t>
  </si>
  <si>
    <t>B1.1</t>
  </si>
  <si>
    <t>Einfache Entschrottung + NE-Abscheidung</t>
  </si>
  <si>
    <t>B1.2</t>
  </si>
  <si>
    <r>
      <t>Einfache Entschrottung + NE-Abscheidung+</t>
    </r>
    <r>
      <rPr>
        <b/>
        <sz val="10"/>
        <color theme="1"/>
        <rFont val="Arial"/>
        <family val="2"/>
      </rPr>
      <t>Sortierung</t>
    </r>
  </si>
  <si>
    <t>B2.1</t>
  </si>
  <si>
    <t>Einfache Entschrottung + NE-Abscheidung + Sauere Wäsche Filterasche</t>
  </si>
  <si>
    <t>B2.2</t>
  </si>
  <si>
    <r>
      <t>Einfache Entschrottung + NE-Abscheidung+</t>
    </r>
    <r>
      <rPr>
        <b/>
        <sz val="10"/>
        <color theme="1"/>
        <rFont val="Arial"/>
        <family val="2"/>
      </rPr>
      <t>Sortierung</t>
    </r>
    <r>
      <rPr>
        <sz val="10"/>
        <color theme="1"/>
        <rFont val="Arial"/>
        <family val="2"/>
      </rPr>
      <t xml:space="preserve"> + Sauere Wäsche Filterasche</t>
    </r>
  </si>
  <si>
    <t>C1.1</t>
  </si>
  <si>
    <t xml:space="preserve">Trockenaustrag + Entschrottung + NE-Abscheidung </t>
  </si>
  <si>
    <t>C1.2</t>
  </si>
  <si>
    <r>
      <t>Trockenaustrag + Entschrottung + NE-Abscheidung+</t>
    </r>
    <r>
      <rPr>
        <b/>
        <sz val="10"/>
        <color theme="1"/>
        <rFont val="Arial"/>
        <family val="2"/>
      </rPr>
      <t>Sortierung</t>
    </r>
  </si>
  <si>
    <t>C2.1</t>
  </si>
  <si>
    <t>Trockenaustrag + Entschrottung + NE-Abscheidung + Sauere Wäsche</t>
  </si>
  <si>
    <t>C2.2</t>
  </si>
  <si>
    <r>
      <t>Trockenaustrag + Entschrottung + NE-Abscheidung+</t>
    </r>
    <r>
      <rPr>
        <b/>
        <sz val="10"/>
        <color theme="1"/>
        <rFont val="Arial"/>
        <family val="2"/>
      </rPr>
      <t>Sortierung</t>
    </r>
    <r>
      <rPr>
        <sz val="10"/>
        <color theme="1"/>
        <rFont val="Arial"/>
        <family val="2"/>
      </rPr>
      <t xml:space="preserve"> + Sauere Wäsche</t>
    </r>
  </si>
  <si>
    <t>Kontrolle (es muss genau 1 mal 'Ja' pro Spalte sein)</t>
  </si>
  <si>
    <t>Rückgewinnung Metalle aus Schlacke und Filterasche</t>
  </si>
  <si>
    <t>t Fe</t>
  </si>
  <si>
    <t>t Al</t>
  </si>
  <si>
    <t>t Cu</t>
  </si>
  <si>
    <t>t Pb</t>
  </si>
  <si>
    <t>t Zn</t>
  </si>
  <si>
    <t>t Au</t>
  </si>
  <si>
    <t>t Ag</t>
  </si>
  <si>
    <t>Inox</t>
  </si>
  <si>
    <t>t Inox</t>
  </si>
  <si>
    <t>NE</t>
  </si>
  <si>
    <t>t NE</t>
  </si>
  <si>
    <t>C-Gehalt Abfall</t>
  </si>
  <si>
    <t>t/t</t>
  </si>
  <si>
    <t>Wird hier berechnet</t>
  </si>
  <si>
    <t>CO2-Emissionen Total</t>
  </si>
  <si>
    <t>CO2-Emissionen Fossil (brutto)</t>
  </si>
  <si>
    <t>Bonus CO2 Wärme</t>
  </si>
  <si>
    <t>Bonus CO2 Strom</t>
  </si>
  <si>
    <t>Bonus CO2 Metalle</t>
  </si>
  <si>
    <t>Summe Boni</t>
  </si>
  <si>
    <t>Netto-CO2 Emissionen</t>
  </si>
  <si>
    <t>Veräusserte CO2-Bescheinigungen</t>
  </si>
  <si>
    <t>Abzug HFM</t>
  </si>
  <si>
    <t>Weitere Abzüge</t>
  </si>
  <si>
    <t>Summe Abzüge</t>
  </si>
  <si>
    <t>Netto-CO2 Emissionen nach Abzügen</t>
  </si>
  <si>
    <t>Oftringen</t>
  </si>
  <si>
    <t>AG_2</t>
  </si>
  <si>
    <t>Weitere Abzüge (sdP)</t>
  </si>
  <si>
    <t>Turgi</t>
  </si>
  <si>
    <t>AG_3</t>
  </si>
  <si>
    <t>Bern</t>
  </si>
  <si>
    <t>BE_1</t>
  </si>
  <si>
    <t>Biel</t>
  </si>
  <si>
    <t>BE_2</t>
  </si>
  <si>
    <t>Thun</t>
  </si>
  <si>
    <t>BE_3</t>
  </si>
  <si>
    <t>Basel</t>
  </si>
  <si>
    <t>BS_1</t>
  </si>
  <si>
    <t>Posieux</t>
  </si>
  <si>
    <t>FR_1</t>
  </si>
  <si>
    <t>Genf</t>
  </si>
  <si>
    <t>GE_1</t>
  </si>
  <si>
    <t>Niederurnen</t>
  </si>
  <si>
    <t>GL_1</t>
  </si>
  <si>
    <t>Trimmis</t>
  </si>
  <si>
    <t>GR_1</t>
  </si>
  <si>
    <t>Luzern</t>
  </si>
  <si>
    <t>LU_1</t>
  </si>
  <si>
    <t>Perlen</t>
  </si>
  <si>
    <t>LU_2</t>
  </si>
  <si>
    <t xml:space="preserve">Colombier </t>
  </si>
  <si>
    <t>NE_1</t>
  </si>
  <si>
    <t xml:space="preserve">La Chaux-de-Fonds </t>
  </si>
  <si>
    <t>NE_2</t>
  </si>
  <si>
    <t>Bazenheid</t>
  </si>
  <si>
    <t>SG_1</t>
  </si>
  <si>
    <t>Buchs (SG)</t>
  </si>
  <si>
    <t>SG_2</t>
  </si>
  <si>
    <t>St. Gallen</t>
  </si>
  <si>
    <t>SG_3</t>
  </si>
  <si>
    <t>Zuchwil</t>
  </si>
  <si>
    <t>SO_1</t>
  </si>
  <si>
    <t>Weinfelden</t>
  </si>
  <si>
    <t>TG_1</t>
  </si>
  <si>
    <t>Giubiasco</t>
  </si>
  <si>
    <t>TI_1</t>
  </si>
  <si>
    <t>Lausanne</t>
  </si>
  <si>
    <t>VD_2</t>
  </si>
  <si>
    <t>Gamsen</t>
  </si>
  <si>
    <t>VS_1</t>
  </si>
  <si>
    <t>Sion</t>
  </si>
  <si>
    <t>VS_2</t>
  </si>
  <si>
    <t>Monthey</t>
  </si>
  <si>
    <t>VS_3</t>
  </si>
  <si>
    <t>Dietikon</t>
  </si>
  <si>
    <t>ZH_1</t>
  </si>
  <si>
    <t>Hinwil</t>
  </si>
  <si>
    <t>ZH_2</t>
  </si>
  <si>
    <t>Horgen</t>
  </si>
  <si>
    <t>ZH_3</t>
  </si>
  <si>
    <t>ZH Hagenholz</t>
  </si>
  <si>
    <t>ZH_4</t>
  </si>
  <si>
    <t xml:space="preserve">ZH Josefstrasse </t>
  </si>
  <si>
    <t>ZH_5</t>
  </si>
  <si>
    <t>Seit März 2021 ausser Betrieb</t>
  </si>
  <si>
    <t>Winterthur</t>
  </si>
  <si>
    <t>ZH_6</t>
  </si>
  <si>
    <t>SCHWEIZ</t>
  </si>
  <si>
    <t>Die Summen aus den einzelnen Datenblätter bis zum aktuellen Jahr</t>
  </si>
  <si>
    <t>CH</t>
  </si>
  <si>
    <t>Robin Quartier</t>
  </si>
  <si>
    <t>031 721 61 61</t>
  </si>
  <si>
    <t>quartier@vbsa.ch</t>
  </si>
  <si>
    <t>Daten aller Anlagen der Schweiz</t>
  </si>
  <si>
    <t>Witterungskorrektur</t>
  </si>
  <si>
    <t>Korrekturfaktor gemäss BAFU / THG-Inventar</t>
  </si>
  <si>
    <t>Bonus CO2 Wärme Witterungskorrigiert</t>
  </si>
  <si>
    <t>Anteil witterungsabhängige Wärmelieferung</t>
  </si>
  <si>
    <t>Heizwert Hu von Abfällen in KVA</t>
  </si>
  <si>
    <t>MJ pro kg Abfall</t>
  </si>
  <si>
    <t>In den CH-KVA verbrannte Abfallmenge</t>
  </si>
  <si>
    <t>t Abfall</t>
  </si>
  <si>
    <t>Brutto CO2-Emissionen aller CH-KVA</t>
  </si>
  <si>
    <t>t fossiles CO2</t>
  </si>
  <si>
    <t>MWh</t>
  </si>
  <si>
    <t>t CO2-Equivalent</t>
  </si>
  <si>
    <t>Menge rückgewonnene Eisenschrott</t>
  </si>
  <si>
    <t>t pro Jahr</t>
  </si>
  <si>
    <t>Menge rückgewonnene Nicht-Eisenmetalle</t>
  </si>
  <si>
    <t>Abzug: Emissionsminderung dank Metall-Rückgewinnung</t>
  </si>
  <si>
    <t>FWB: Witterungskorrektur-Faktor gemäss BAFU</t>
  </si>
  <si>
    <t>(-)</t>
  </si>
  <si>
    <t>Netto CO2-Emission, witterungskorrigiert</t>
  </si>
  <si>
    <t>Spezifische Kennwerte pro Tonne Abfall</t>
  </si>
  <si>
    <t>Brutto-Emissionen pro Tonne Abfall</t>
  </si>
  <si>
    <t>t CO2 pro Tonne Abfall</t>
  </si>
  <si>
    <t>MWh pro Tonne Abfall</t>
  </si>
  <si>
    <t>Wärmeabsatz aller CH-KVA</t>
  </si>
  <si>
    <t>Stromabsatz aller CH-KVA</t>
  </si>
  <si>
    <t>Stromabsatz pro Tonne Abfall</t>
  </si>
  <si>
    <t>Wärmeabsatz pro Tonne Abfall</t>
  </si>
  <si>
    <t>Abzug: Emissionsminderung dank Stromabsatz</t>
  </si>
  <si>
    <t>Metalle-Rückgewinnung pro Tonne Abfall</t>
  </si>
  <si>
    <t xml:space="preserve">kg Metalle pro Tonne Abfall </t>
  </si>
  <si>
    <t>Zusammenstellung aller im Bericht dargestellten Daten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</si>
  <si>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</si>
  <si>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</si>
  <si>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</si>
  <si>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</si>
  <si>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</si>
  <si>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</si>
  <si>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</si>
  <si>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</si>
  <si>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</si>
  <si>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</si>
  <si>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</si>
  <si>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</si>
  <si>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</si>
  <si>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Bezeichnung</t>
  </si>
  <si>
    <t>Abzug: Emissionsminderung dank Wärmeabsatz</t>
  </si>
  <si>
    <t>Wärmeabgabe, Ohne Witterungskorrektur</t>
  </si>
  <si>
    <t>Wärmeabgabe, witterungskorrigiert</t>
  </si>
  <si>
    <t>Abfälle CH</t>
  </si>
  <si>
    <t>Verbrannte Menge (Total)</t>
  </si>
  <si>
    <t>Rückgewonnene Metalle</t>
  </si>
  <si>
    <t>CO2-Emissionen</t>
  </si>
  <si>
    <t>Bonus CO2 Wärme ohne Witterungskorrektur</t>
  </si>
  <si>
    <t>Davon Klärschlamm aus CH</t>
  </si>
  <si>
    <t>Davon Abfälle aus der Schweiz</t>
  </si>
  <si>
    <t>Davon Abfälle aus Deutschland</t>
  </si>
  <si>
    <t>Davon Abfälle aus Österreich</t>
  </si>
  <si>
    <t>Davon Abfälle aus Italien</t>
  </si>
  <si>
    <t>Davon Abfälle aus Frankreich</t>
  </si>
  <si>
    <t xml:space="preserve">Umsatz Detailhandel </t>
  </si>
  <si>
    <t>Index, Real, Unbereinigt, Warengruppe 475</t>
  </si>
  <si>
    <t>Index, Abfall 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</si>
</sst>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0.000"/>
    <numFmt numFmtId="165" formatCode="0.000000"/>
    <numFmt numFmtId="166" formatCode="0.0"/>
    <numFmt numFmtId="167" formatCode="_ * #,##0_ ;_ * \-#,##0_ ;_ * &quot;-&quot;??_ ;_ @_ "/>
    <numFmt numFmtId="168" formatCode="0.E+00"/>
    <numFmt numFmtId="169" formatCode="0.000%"/>
    <numFmt numFmtId="170" formatCode="dd/mm/yyyy;@"/>
    <numFmt numFmtId="171" formatCode="#,##0.000"/>
    <numFmt numFmtId="172" formatCode="0.0000"/>
    <numFmt numFmtId="173" formatCode="_ * #,##0.000_ ;_ * \-#,##0.000_ ;_ * &quot;-&quot;???_ ;_ @_ 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b/>
      <vertAlign val="subscript"/>
      <sz val="11"/>
      <color theme="1"/>
      <name val="Arial"/>
      <family val="2"/>
    </font>
    <font>
      <vertAlign val="subscript"/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0" tint="-0.34998626667073579"/>
      <name val="Arial"/>
      <family val="2"/>
    </font>
    <font>
      <b/>
      <i/>
      <sz val="11"/>
      <color theme="1"/>
      <name val="Arial"/>
      <family val="2"/>
    </font>
    <font>
      <sz val="9"/>
      <color theme="0" tint="-0.34998626667073579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u/>
      <sz val="11"/>
      <color theme="10"/>
      <name val="Calibri"/>
      <family val="2"/>
      <scheme val="minor"/>
    </font>
    <font>
      <sz val="10"/>
      <color theme="0" tint="-0.34998626667073579"/>
      <name val="Arial"/>
      <family val="2"/>
    </font>
    <font>
      <i/>
      <sz val="9"/>
      <color theme="1"/>
      <name val="Arial"/>
      <family val="2"/>
    </font>
    <font>
      <u/>
      <sz val="11"/>
      <color theme="10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sz val="10"/>
      <color theme="0" tint="-0.499984740745262"/>
      <name val="Arial"/>
      <family val="2"/>
    </font>
    <font>
      <b/>
      <sz val="10"/>
      <color theme="1"/>
      <name val="Arial"/>
      <family val="2"/>
    </font>
    <font>
      <i/>
      <sz val="10"/>
      <color theme="0" tint="-0.499984740745262"/>
      <name val="Arial"/>
      <family val="2"/>
    </font>
    <font>
      <i/>
      <sz val="9"/>
      <color theme="0" tint="-0.499984740745262"/>
      <name val="Arial"/>
      <family val="2"/>
    </font>
    <font>
      <i/>
      <sz val="9"/>
      <color theme="3" tint="0.39997558519241921"/>
      <name val="Arial"/>
      <family val="2"/>
    </font>
    <font>
      <b/>
      <sz val="8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rgb="FFFF0000"/>
      <name val="Arial"/>
      <family val="2"/>
    </font>
    <font>
      <i/>
      <sz val="16"/>
      <color rgb="FFFF0000"/>
      <name val="Arial"/>
      <family val="2"/>
    </font>
    <font>
      <sz val="11"/>
      <color theme="0" tint="-4.9989318521683403E-2"/>
      <name val="Calibri"/>
      <family val="2"/>
      <scheme val="minor"/>
    </font>
    <font>
      <sz val="10"/>
      <color theme="0" tint="-4.9989318521683403E-2"/>
      <name val="Arial"/>
      <family val="2"/>
    </font>
    <font>
      <sz val="8"/>
      <color theme="0" tint="-4.9989318521683403E-2"/>
      <name val="Arial"/>
      <family val="2"/>
    </font>
    <font>
      <sz val="8"/>
      <color theme="1" tint="0.34998626667073579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 tint="-0.3499862666707357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996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ECFC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3" fillId="0" borderId="0"/>
  </cellStyleXfs>
  <cellXfs count="126">
    <xf numFmtId="0" fontId="0" fillId="0" borderId="0" xfId="0"/>
    <xf numFmtId="0" fontId="2" fillId="0" borderId="0" xfId="2" applyFont="1"/>
    <xf numFmtId="0" fontId="3" fillId="0" borderId="0" xfId="2" applyFont="1"/>
    <xf numFmtId="0" fontId="4" fillId="0" borderId="0" xfId="2" applyFont="1"/>
    <xf numFmtId="0" fontId="3" fillId="0" borderId="1" xfId="2" applyFont="1" applyBorder="1"/>
    <xf numFmtId="0" fontId="4" fillId="0" borderId="1" xfId="2" applyFont="1" applyBorder="1"/>
    <xf numFmtId="0" fontId="5" fillId="2" borderId="1" xfId="2" applyFont="1" applyFill="1" applyBorder="1" applyAlignment="1">
      <alignment vertical="center"/>
    </xf>
    <xf numFmtId="0" fontId="6" fillId="0" borderId="0" xfId="2" applyFont="1"/>
    <xf numFmtId="164" fontId="4" fillId="0" borderId="0" xfId="2" applyNumberFormat="1" applyFont="1"/>
    <xf numFmtId="165" fontId="4" fillId="0" borderId="0" xfId="2" applyNumberFormat="1" applyFont="1"/>
    <xf numFmtId="0" fontId="3" fillId="0" borderId="0" xfId="2" applyFont="1" applyAlignment="1">
      <alignment horizontal="right"/>
    </xf>
    <xf numFmtId="166" fontId="4" fillId="0" borderId="0" xfId="2" applyNumberFormat="1" applyFont="1"/>
    <xf numFmtId="0" fontId="7" fillId="0" borderId="0" xfId="2" applyFont="1"/>
    <xf numFmtId="166" fontId="3" fillId="0" borderId="0" xfId="2" applyNumberFormat="1" applyFont="1"/>
    <xf numFmtId="0" fontId="0" fillId="0" borderId="0" xfId="2" applyFont="1"/>
    <xf numFmtId="2" fontId="4" fillId="0" borderId="0" xfId="2" applyNumberFormat="1" applyFont="1"/>
    <xf numFmtId="1" fontId="4" fillId="0" borderId="0" xfId="2" applyNumberFormat="1" applyFont="1"/>
    <xf numFmtId="0" fontId="10" fillId="0" borderId="0" xfId="2" applyFont="1"/>
    <xf numFmtId="0" fontId="3" fillId="0" borderId="0" xfId="2" applyFont="1" applyAlignment="1">
      <alignment horizontal="right" indent="1"/>
    </xf>
    <xf numFmtId="167" fontId="4" fillId="0" borderId="0" xfId="3" applyNumberFormat="1" applyFont="1"/>
    <xf numFmtId="0" fontId="4" fillId="0" borderId="0" xfId="2" quotePrefix="1" applyFont="1"/>
    <xf numFmtId="168" fontId="4" fillId="0" borderId="0" xfId="3" applyNumberFormat="1" applyFont="1"/>
    <xf numFmtId="0" fontId="11" fillId="0" borderId="0" xfId="2" applyFont="1"/>
    <xf numFmtId="0" fontId="12" fillId="0" borderId="0" xfId="2" applyFont="1"/>
    <xf numFmtId="0" fontId="13" fillId="0" borderId="0" xfId="2" applyFont="1"/>
    <xf numFmtId="43" fontId="4" fillId="0" borderId="0" xfId="4" applyFont="1"/>
    <xf numFmtId="0" fontId="5" fillId="0" borderId="0" xfId="2" applyFont="1"/>
    <xf numFmtId="169" fontId="4" fillId="0" borderId="0" xfId="5" applyNumberFormat="1" applyFont="1"/>
    <xf numFmtId="43" fontId="4" fillId="0" borderId="0" xfId="2" applyNumberFormat="1" applyFont="1"/>
    <xf numFmtId="10" fontId="4" fillId="0" borderId="0" xfId="5" applyNumberFormat="1" applyFont="1"/>
    <xf numFmtId="0" fontId="0" fillId="3" borderId="0" xfId="2" applyFont="1" applyFill="1"/>
    <xf numFmtId="0" fontId="17" fillId="4" borderId="0" xfId="2" applyFont="1" applyFill="1" applyAlignment="1">
      <alignment horizontal="right" indent="1"/>
    </xf>
    <xf numFmtId="0" fontId="6" fillId="4" borderId="0" xfId="2" applyFont="1" applyFill="1"/>
    <xf numFmtId="0" fontId="0" fillId="4" borderId="0" xfId="2" applyFont="1" applyFill="1"/>
    <xf numFmtId="0" fontId="18" fillId="4" borderId="0" xfId="2" applyFont="1" applyFill="1"/>
    <xf numFmtId="0" fontId="0" fillId="4" borderId="0" xfId="2" applyFont="1" applyFill="1" applyAlignment="1">
      <alignment horizontal="left"/>
    </xf>
    <xf numFmtId="0" fontId="20" fillId="3" borderId="0" xfId="2" applyFont="1" applyFill="1"/>
    <xf numFmtId="0" fontId="10" fillId="4" borderId="1" xfId="2" applyFont="1" applyFill="1" applyBorder="1"/>
    <xf numFmtId="0" fontId="10" fillId="4" borderId="1" xfId="2" applyFont="1" applyFill="1" applyBorder="1" applyAlignment="1">
      <alignment horizontal="center"/>
    </xf>
    <xf numFmtId="0" fontId="6" fillId="0" borderId="1" xfId="2" applyFont="1" applyBorder="1" applyAlignment="1">
      <alignment horizontal="left" indent="1"/>
    </xf>
    <xf numFmtId="0" fontId="0" fillId="4" borderId="2" xfId="2" applyFont="1" applyFill="1" applyBorder="1"/>
    <xf numFmtId="0" fontId="10" fillId="4" borderId="2" xfId="2" applyFont="1" applyFill="1" applyBorder="1"/>
    <xf numFmtId="3" fontId="21" fillId="0" borderId="0" xfId="7" applyNumberFormat="1" applyFont="1"/>
    <xf numFmtId="3" fontId="21" fillId="4" borderId="2" xfId="2" applyNumberFormat="1" applyFont="1" applyFill="1" applyBorder="1"/>
    <xf numFmtId="0" fontId="4" fillId="0" borderId="0" xfId="2" applyFont="1" applyAlignment="1">
      <alignment horizontal="left" indent="1"/>
    </xf>
    <xf numFmtId="0" fontId="6" fillId="4" borderId="3" xfId="2" applyFont="1" applyFill="1" applyBorder="1"/>
    <xf numFmtId="0" fontId="10" fillId="4" borderId="3" xfId="2" applyFont="1" applyFill="1" applyBorder="1"/>
    <xf numFmtId="3" fontId="21" fillId="4" borderId="3" xfId="2" applyNumberFormat="1" applyFont="1" applyFill="1" applyBorder="1"/>
    <xf numFmtId="0" fontId="0" fillId="4" borderId="3" xfId="2" applyFont="1" applyFill="1" applyBorder="1" applyAlignment="1">
      <alignment horizontal="left" indent="1"/>
    </xf>
    <xf numFmtId="0" fontId="10" fillId="4" borderId="0" xfId="2" applyFont="1" applyFill="1"/>
    <xf numFmtId="0" fontId="21" fillId="4" borderId="0" xfId="2" applyFont="1" applyFill="1"/>
    <xf numFmtId="4" fontId="21" fillId="0" borderId="0" xfId="7" applyNumberFormat="1" applyFont="1"/>
    <xf numFmtId="0" fontId="0" fillId="4" borderId="4" xfId="2" applyFont="1" applyFill="1" applyBorder="1"/>
    <xf numFmtId="0" fontId="10" fillId="4" borderId="4" xfId="2" applyFont="1" applyFill="1" applyBorder="1"/>
    <xf numFmtId="0" fontId="21" fillId="4" borderId="4" xfId="2" applyFont="1" applyFill="1" applyBorder="1"/>
    <xf numFmtId="0" fontId="0" fillId="4" borderId="3" xfId="2" applyFont="1" applyFill="1" applyBorder="1"/>
    <xf numFmtId="3" fontId="21" fillId="4" borderId="0" xfId="2" applyNumberFormat="1" applyFont="1" applyFill="1"/>
    <xf numFmtId="0" fontId="4" fillId="4" borderId="0" xfId="2" applyFont="1" applyFill="1" applyAlignment="1">
      <alignment horizontal="center"/>
    </xf>
    <xf numFmtId="0" fontId="22" fillId="4" borderId="0" xfId="2" applyFont="1" applyFill="1"/>
    <xf numFmtId="0" fontId="4" fillId="0" borderId="0" xfId="2" applyFont="1" applyAlignment="1">
      <alignment horizontal="center"/>
    </xf>
    <xf numFmtId="0" fontId="24" fillId="4" borderId="0" xfId="2" applyFont="1" applyFill="1"/>
    <xf numFmtId="0" fontId="25" fillId="5" borderId="0" xfId="2" applyFont="1" applyFill="1" applyAlignment="1">
      <alignment horizontal="center"/>
    </xf>
    <xf numFmtId="0" fontId="4" fillId="4" borderId="0" xfId="2" applyFont="1" applyFill="1"/>
    <xf numFmtId="0" fontId="21" fillId="4" borderId="2" xfId="2" applyFont="1" applyFill="1" applyBorder="1"/>
    <xf numFmtId="0" fontId="21" fillId="4" borderId="3" xfId="2" applyFont="1" applyFill="1" applyBorder="1"/>
    <xf numFmtId="0" fontId="26" fillId="4" borderId="0" xfId="2" applyFont="1" applyFill="1"/>
    <xf numFmtId="171" fontId="21" fillId="4" borderId="2" xfId="2" applyNumberFormat="1" applyFont="1" applyFill="1" applyBorder="1"/>
    <xf numFmtId="3" fontId="21" fillId="4" borderId="1" xfId="2" applyNumberFormat="1" applyFont="1" applyFill="1" applyBorder="1"/>
    <xf numFmtId="0" fontId="6" fillId="4" borderId="2" xfId="2" applyFont="1" applyFill="1" applyBorder="1"/>
    <xf numFmtId="0" fontId="23" fillId="4" borderId="2" xfId="2" applyFont="1" applyFill="1" applyBorder="1"/>
    <xf numFmtId="3" fontId="27" fillId="4" borderId="1" xfId="2" applyNumberFormat="1" applyFont="1" applyFill="1" applyBorder="1"/>
    <xf numFmtId="172" fontId="21" fillId="4" borderId="0" xfId="2" applyNumberFormat="1" applyFont="1" applyFill="1"/>
    <xf numFmtId="0" fontId="0" fillId="4" borderId="5" xfId="2" applyFont="1" applyFill="1" applyBorder="1"/>
    <xf numFmtId="0" fontId="10" fillId="4" borderId="5" xfId="2" applyFont="1" applyFill="1" applyBorder="1"/>
    <xf numFmtId="3" fontId="21" fillId="4" borderId="5" xfId="2" applyNumberFormat="1" applyFont="1" applyFill="1" applyBorder="1"/>
    <xf numFmtId="0" fontId="21" fillId="4" borderId="5" xfId="2" applyFont="1" applyFill="1" applyBorder="1"/>
    <xf numFmtId="3" fontId="21" fillId="4" borderId="6" xfId="2" applyNumberFormat="1" applyFont="1" applyFill="1" applyBorder="1"/>
    <xf numFmtId="0" fontId="6" fillId="4" borderId="7" xfId="2" applyFont="1" applyFill="1" applyBorder="1" applyAlignment="1">
      <alignment vertical="center"/>
    </xf>
    <xf numFmtId="0" fontId="0" fillId="4" borderId="6" xfId="2" applyFont="1" applyFill="1" applyBorder="1" applyAlignment="1">
      <alignment vertical="center"/>
    </xf>
    <xf numFmtId="3" fontId="4" fillId="4" borderId="6" xfId="2" applyNumberFormat="1" applyFont="1" applyFill="1" applyBorder="1" applyAlignment="1">
      <alignment vertical="center"/>
    </xf>
    <xf numFmtId="0" fontId="4" fillId="4" borderId="0" xfId="2" applyFont="1" applyFill="1" applyAlignment="1">
      <alignment vertical="center"/>
    </xf>
    <xf numFmtId="0" fontId="0" fillId="4" borderId="0" xfId="2" applyFont="1" applyFill="1" applyAlignment="1">
      <alignment vertical="center"/>
    </xf>
    <xf numFmtId="167" fontId="21" fillId="4" borderId="2" xfId="4" applyNumberFormat="1" applyFont="1" applyFill="1" applyBorder="1"/>
    <xf numFmtId="167" fontId="21" fillId="4" borderId="3" xfId="4" applyNumberFormat="1" applyFont="1" applyFill="1" applyBorder="1"/>
    <xf numFmtId="4" fontId="21" fillId="4" borderId="2" xfId="2" applyNumberFormat="1" applyFont="1" applyFill="1" applyBorder="1"/>
    <xf numFmtId="0" fontId="21" fillId="6" borderId="3" xfId="2" applyFont="1" applyFill="1" applyBorder="1"/>
    <xf numFmtId="0" fontId="30" fillId="0" borderId="0" xfId="2" applyFont="1"/>
    <xf numFmtId="0" fontId="31" fillId="0" borderId="0" xfId="2" applyFont="1"/>
    <xf numFmtId="0" fontId="18" fillId="0" borderId="0" xfId="2" applyFont="1"/>
    <xf numFmtId="3" fontId="21" fillId="4" borderId="2" xfId="4" applyNumberFormat="1" applyFont="1" applyFill="1" applyBorder="1"/>
    <xf numFmtId="3" fontId="0" fillId="4" borderId="0" xfId="2" applyNumberFormat="1" applyFont="1" applyFill="1"/>
    <xf numFmtId="3" fontId="4" fillId="4" borderId="0" xfId="2" applyNumberFormat="1" applyFont="1" applyFill="1"/>
    <xf numFmtId="0" fontId="6" fillId="0" borderId="1" xfId="2" applyFont="1" applyBorder="1"/>
    <xf numFmtId="0" fontId="32" fillId="4" borderId="2" xfId="2" applyFont="1" applyFill="1" applyBorder="1"/>
    <xf numFmtId="0" fontId="33" fillId="4" borderId="2" xfId="2" applyFont="1" applyFill="1" applyBorder="1"/>
    <xf numFmtId="0" fontId="34" fillId="4" borderId="2" xfId="2" applyFont="1" applyFill="1" applyBorder="1"/>
    <xf numFmtId="173" fontId="21" fillId="4" borderId="2" xfId="2" applyNumberFormat="1" applyFont="1" applyFill="1" applyBorder="1"/>
    <xf numFmtId="3" fontId="21" fillId="7" borderId="3" xfId="2" applyNumberFormat="1" applyFont="1" applyFill="1" applyBorder="1"/>
    <xf numFmtId="3" fontId="21" fillId="7" borderId="2" xfId="2" applyNumberFormat="1" applyFont="1" applyFill="1" applyBorder="1"/>
    <xf numFmtId="167" fontId="21" fillId="7" borderId="2" xfId="4" applyNumberFormat="1" applyFont="1" applyFill="1" applyBorder="1"/>
    <xf numFmtId="167" fontId="21" fillId="7" borderId="3" xfId="4" applyNumberFormat="1" applyFont="1" applyFill="1" applyBorder="1"/>
    <xf numFmtId="167" fontId="21" fillId="7" borderId="2" xfId="1" applyNumberFormat="1" applyFont="1" applyFill="1" applyBorder="1"/>
    <xf numFmtId="167" fontId="21" fillId="7" borderId="1" xfId="1" applyNumberFormat="1" applyFont="1" applyFill="1" applyBorder="1"/>
    <xf numFmtId="167" fontId="27" fillId="7" borderId="1" xfId="1" applyNumberFormat="1" applyFont="1" applyFill="1" applyBorder="1"/>
    <xf numFmtId="167" fontId="35" fillId="8" borderId="2" xfId="1" applyNumberFormat="1" applyFont="1" applyFill="1" applyBorder="1"/>
    <xf numFmtId="0" fontId="6" fillId="4" borderId="4" xfId="2" applyFont="1" applyFill="1" applyBorder="1"/>
    <xf numFmtId="3" fontId="21" fillId="4" borderId="4" xfId="2" applyNumberFormat="1" applyFont="1" applyFill="1" applyBorder="1"/>
    <xf numFmtId="0" fontId="37" fillId="0" borderId="0" xfId="0" applyFont="1"/>
    <xf numFmtId="0" fontId="36" fillId="4" borderId="0" xfId="2" applyFont="1" applyFill="1"/>
    <xf numFmtId="0" fontId="36" fillId="4" borderId="2" xfId="2" applyFont="1" applyFill="1" applyBorder="1"/>
    <xf numFmtId="0" fontId="10" fillId="0" borderId="0" xfId="2" applyFont="1" applyAlignment="1">
      <alignment horizontal="left"/>
    </xf>
    <xf numFmtId="0" fontId="19" fillId="4" borderId="0" xfId="6" applyFont="1" applyFill="1" applyAlignment="1">
      <alignment horizontal="left"/>
    </xf>
    <xf numFmtId="170" fontId="10" fillId="0" borderId="0" xfId="2" applyNumberFormat="1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9" fillId="0" borderId="0" xfId="0" applyFont="1"/>
    <xf numFmtId="4" fontId="39" fillId="0" borderId="0" xfId="0" applyNumberFormat="1" applyFont="1"/>
    <xf numFmtId="3" fontId="39" fillId="0" borderId="0" xfId="0" applyNumberFormat="1" applyFont="1"/>
    <xf numFmtId="0" fontId="39" fillId="0" borderId="0" xfId="0" applyFont="1" applyAlignment="1">
      <alignment horizontal="left" indent="1"/>
    </xf>
    <xf numFmtId="167" fontId="39" fillId="0" borderId="0" xfId="1" applyNumberFormat="1" applyFont="1"/>
    <xf numFmtId="171" fontId="39" fillId="0" borderId="0" xfId="0" applyNumberFormat="1" applyFont="1"/>
    <xf numFmtId="167" fontId="39" fillId="0" borderId="0" xfId="1" applyNumberFormat="1" applyFont="1" applyBorder="1"/>
    <xf numFmtId="164" fontId="39" fillId="0" borderId="0" xfId="0" applyNumberFormat="1" applyFont="1"/>
    <xf numFmtId="2" fontId="39" fillId="0" borderId="0" xfId="0" applyNumberFormat="1" applyFont="1"/>
    <xf numFmtId="166" fontId="0" fillId="0" borderId="0" xfId="0" applyNumberFormat="1"/>
    <xf numFmtId="0" fontId="41" fillId="0" borderId="0" xfId="2" applyFont="1"/>
  </cellXfs>
  <cellStyles count="8">
    <cellStyle name="Komma" xfId="1" builtinId="3"/>
    <cellStyle name="Komma 2" xfId="3" xr:uid="{8B90E884-7878-49F3-A670-F6BED0DC532D}"/>
    <cellStyle name="Komma 3" xfId="4" xr:uid="{3668BC64-CD32-4DF9-A0B2-8F44E0B18AD2}"/>
    <cellStyle name="Link" xfId="6" builtinId="8"/>
    <cellStyle name="Prozent 2" xfId="5" xr:uid="{7AE02C49-D907-4BF8-8899-194D3DFE7AA9}"/>
    <cellStyle name="Standard" xfId="0" builtinId="0"/>
    <cellStyle name="Standard 2" xfId="2" xr:uid="{5C550461-5D8E-470F-B2FB-8E10829745FB}"/>
    <cellStyle name="Standard 3" xfId="7" xr:uid="{EC7BB416-1FCF-4EC5-8849-5A78A6E1B520}"/>
  </cellStyles>
  <dxfs count="231">
    <dxf>
      <fill>
        <patternFill>
          <fgColor rgb="FFFF9966"/>
          <bgColor theme="2" tint="-0.24994659260841701"/>
        </patternFill>
      </fill>
    </dxf>
    <dxf>
      <fill>
        <patternFill>
          <fgColor rgb="FFFF9966"/>
          <bgColor theme="2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fgColor rgb="FFFF9966"/>
          <bgColor theme="2" tint="-0.2499465926084170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D2FE8A"/>
        </patternFill>
      </fill>
    </dxf>
    <dxf>
      <font>
        <color theme="0" tint="-0.3499862666707357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7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7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7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7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7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7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7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7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7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7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7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7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7" formatCode="_ * #,##0_ ;_ * \-#,##0_ ;_ * &quot;-&quot;??_ ;_ @_ 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0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0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0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0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0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0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0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0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0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0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0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0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0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dxfs>
  <tableStyles count="0" defaultTableStyle="TableStyleMedium2" defaultPivotStyle="PivotStyleLight16"/>
  <colors>
    <mruColors>
      <color rgb="FFF3F90F"/>
      <color rgb="FF07E4E9"/>
      <color rgb="FFFF33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D_FR_1!$D$4:$J$4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xVal>
          <c:yVal>
            <c:numRef>
              <c:f>D_FR_1!$D$14:$J$14</c:f>
              <c:numCache>
                <c:formatCode>#,##0.00</c:formatCode>
                <c:ptCount val="7"/>
                <c:pt idx="0">
                  <c:v>13.2</c:v>
                </c:pt>
                <c:pt idx="1">
                  <c:v>13.493</c:v>
                </c:pt>
                <c:pt idx="2">
                  <c:v>13.262</c:v>
                </c:pt>
                <c:pt idx="3">
                  <c:v>13.02</c:v>
                </c:pt>
                <c:pt idx="4" formatCode="#,##0">
                  <c:v>13.42</c:v>
                </c:pt>
                <c:pt idx="5" formatCode="#,##0">
                  <c:v>13.93</c:v>
                </c:pt>
                <c:pt idx="6" formatCode="#,##0">
                  <c:v>13.08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24-4D5A-B873-E0DF6BBD7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106104"/>
        <c:axId val="162106496"/>
      </c:scatterChart>
      <c:valAx>
        <c:axId val="162106104"/>
        <c:scaling>
          <c:orientation val="minMax"/>
          <c:max val="2016"/>
          <c:min val="20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2106496"/>
        <c:crosses val="autoZero"/>
        <c:crossBetween val="midCat"/>
      </c:valAx>
      <c:valAx>
        <c:axId val="162106496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2106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1750" cap="rnd" cmpd="sng" algn="ctr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D_CH!$D$8:$P$8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D_CH!$D$19:$P$19</c:f>
              <c:numCache>
                <c:formatCode>#,##0.00</c:formatCode>
                <c:ptCount val="13"/>
                <c:pt idx="0">
                  <c:v>11.694022170225731</c:v>
                </c:pt>
                <c:pt idx="1">
                  <c:v>11.751161221548463</c:v>
                </c:pt>
                <c:pt idx="2">
                  <c:v>11.591369336769869</c:v>
                </c:pt>
                <c:pt idx="3">
                  <c:v>11.468021545280111</c:v>
                </c:pt>
                <c:pt idx="4">
                  <c:v>11.601029084145608</c:v>
                </c:pt>
                <c:pt idx="5">
                  <c:v>11.75897928370669</c:v>
                </c:pt>
                <c:pt idx="6">
                  <c:v>11.83093751480671</c:v>
                </c:pt>
                <c:pt idx="7">
                  <c:v>11.885093496124686</c:v>
                </c:pt>
                <c:pt idx="8">
                  <c:v>11.897166587697951</c:v>
                </c:pt>
                <c:pt idx="9">
                  <c:v>11.924741972657865</c:v>
                </c:pt>
                <c:pt idx="10">
                  <c:v>11.917956209089006</c:v>
                </c:pt>
                <c:pt idx="11">
                  <c:v>11.816138333643069</c:v>
                </c:pt>
                <c:pt idx="12">
                  <c:v>11.859011332227388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B-4719-BA7F-E3DF1D929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286505167"/>
        <c:axId val="286506127"/>
      </c:lineChart>
      <c:catAx>
        <c:axId val="28650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6506127"/>
        <c:crosses val="autoZero"/>
        <c:auto val="1"/>
        <c:lblAlgn val="ctr"/>
        <c:lblOffset val="100"/>
        <c:noMultiLvlLbl val="0"/>
      </c:catAx>
      <c:valAx>
        <c:axId val="286506127"/>
        <c:scaling>
          <c:orientation val="minMax"/>
          <c:max val="14"/>
          <c:min val="8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6505167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1926877102381"/>
          <c:y val="3.8235179328488092E-2"/>
          <c:w val="0.85808432405019264"/>
          <c:h val="0.84813421506453235"/>
        </c:manualLayout>
      </c:layout>
      <c:lineChart>
        <c:grouping val="standard"/>
        <c:varyColors val="0"/>
        <c:ser>
          <c:idx val="0"/>
          <c:order val="0"/>
          <c:tx>
            <c:v>Wärmeabsatz OHNE Witterungskorrektur</c:v>
          </c:tx>
          <c:spPr>
            <a:ln w="28575" cap="rnd">
              <a:solidFill>
                <a:srgbClr val="FF330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FF3300"/>
              </a:solidFill>
              <a:ln w="9525">
                <a:solidFill>
                  <a:srgbClr val="FF3300"/>
                </a:solidFill>
              </a:ln>
              <a:effectLst/>
            </c:spPr>
          </c:marker>
          <c:cat>
            <c:numRef>
              <c:f>D_CH!$D$8:$P$8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D_CH!$D$21:$P$21</c:f>
              <c:numCache>
                <c:formatCode>#,##0</c:formatCode>
                <c:ptCount val="13"/>
                <c:pt idx="0">
                  <c:v>3041209</c:v>
                </c:pt>
                <c:pt idx="1">
                  <c:v>2909827</c:v>
                </c:pt>
                <c:pt idx="2">
                  <c:v>2971711</c:v>
                </c:pt>
                <c:pt idx="3">
                  <c:v>3105197</c:v>
                </c:pt>
                <c:pt idx="4">
                  <c:v>3055045</c:v>
                </c:pt>
                <c:pt idx="5">
                  <c:v>3395094</c:v>
                </c:pt>
                <c:pt idx="6">
                  <c:v>3600256</c:v>
                </c:pt>
                <c:pt idx="7">
                  <c:v>3696118</c:v>
                </c:pt>
                <c:pt idx="8">
                  <c:v>3731847</c:v>
                </c:pt>
                <c:pt idx="9">
                  <c:v>3996991</c:v>
                </c:pt>
                <c:pt idx="10">
                  <c:v>3929309</c:v>
                </c:pt>
                <c:pt idx="11">
                  <c:v>4175136.757571632</c:v>
                </c:pt>
                <c:pt idx="12">
                  <c:v>3892572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F-4CF1-A3AD-527D448D8E77}"/>
            </c:ext>
          </c:extLst>
        </c:ser>
        <c:ser>
          <c:idx val="1"/>
          <c:order val="1"/>
          <c:tx>
            <c:v>Wärmeabsatz MIT Witterungskorrektur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33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D_CH!$D$8:$P$8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D_CH!$D$22:$P$22</c:f>
              <c:numCache>
                <c:formatCode>#,##0</c:formatCode>
                <c:ptCount val="13"/>
                <c:pt idx="0">
                  <c:v>2918685.4719424457</c:v>
                </c:pt>
                <c:pt idx="1">
                  <c:v>3071557.7034168569</c:v>
                </c:pt>
                <c:pt idx="2">
                  <c:v>2972900.8742742743</c:v>
                </c:pt>
                <c:pt idx="3">
                  <c:v>2993308.1909008194</c:v>
                </c:pt>
                <c:pt idx="4">
                  <c:v>3301798.634615385</c:v>
                </c:pt>
                <c:pt idx="5">
                  <c:v>3497311.8838709677</c:v>
                </c:pt>
                <c:pt idx="6">
                  <c:v>3606039.5437751003</c:v>
                </c:pt>
                <c:pt idx="7">
                  <c:v>3746571.7307135467</c:v>
                </c:pt>
                <c:pt idx="8">
                  <c:v>3923914.9720090292</c:v>
                </c:pt>
                <c:pt idx="9">
                  <c:v>4157046.5251925192</c:v>
                </c:pt>
                <c:pt idx="10">
                  <c:v>4224240.5068883607</c:v>
                </c:pt>
                <c:pt idx="11">
                  <c:v>4180161.9974002037</c:v>
                </c:pt>
                <c:pt idx="12">
                  <c:v>4260177.0689740423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A-4840-AC28-FFD17FD19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505167"/>
        <c:axId val="286506127"/>
      </c:lineChart>
      <c:catAx>
        <c:axId val="28650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6506127"/>
        <c:crosses val="autoZero"/>
        <c:auto val="1"/>
        <c:lblAlgn val="ctr"/>
        <c:lblOffset val="100"/>
        <c:noMultiLvlLbl val="0"/>
      </c:catAx>
      <c:valAx>
        <c:axId val="286506127"/>
        <c:scaling>
          <c:orientation val="minMax"/>
          <c:max val="5000000"/>
          <c:min val="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6505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6675386133171979"/>
          <c:y val="0.68263509438969561"/>
          <c:w val="0.39947881925314682"/>
          <c:h val="0.154684077971183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Stromabsatz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D_CH!$D$8:$P$8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D_CH!$D$23:$P$23</c:f>
              <c:numCache>
                <c:formatCode>#,##0</c:formatCode>
                <c:ptCount val="13"/>
                <c:pt idx="0">
                  <c:v>1408184</c:v>
                </c:pt>
                <c:pt idx="1">
                  <c:v>1442379</c:v>
                </c:pt>
                <c:pt idx="2">
                  <c:v>1516543</c:v>
                </c:pt>
                <c:pt idx="3">
                  <c:v>1596455</c:v>
                </c:pt>
                <c:pt idx="4">
                  <c:v>1702041</c:v>
                </c:pt>
                <c:pt idx="5">
                  <c:v>1715470</c:v>
                </c:pt>
                <c:pt idx="6">
                  <c:v>1845190</c:v>
                </c:pt>
                <c:pt idx="7">
                  <c:v>1852441</c:v>
                </c:pt>
                <c:pt idx="8">
                  <c:v>1830591</c:v>
                </c:pt>
                <c:pt idx="9">
                  <c:v>1854717</c:v>
                </c:pt>
                <c:pt idx="10">
                  <c:v>1855487</c:v>
                </c:pt>
                <c:pt idx="11">
                  <c:v>1752443.4448473868</c:v>
                </c:pt>
                <c:pt idx="12">
                  <c:v>1722783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9-4473-83AA-AFC940E82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505167"/>
        <c:axId val="286506127"/>
      </c:lineChart>
      <c:catAx>
        <c:axId val="28650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6506127"/>
        <c:crosses val="autoZero"/>
        <c:auto val="1"/>
        <c:lblAlgn val="ctr"/>
        <c:lblOffset val="100"/>
        <c:noMultiLvlLbl val="0"/>
      </c:catAx>
      <c:valAx>
        <c:axId val="286506127"/>
        <c:scaling>
          <c:orientation val="minMax"/>
          <c:max val="2000000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650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7255146752629"/>
          <c:y val="4.9140195213207276E-2"/>
          <c:w val="0.86942303755010486"/>
          <c:h val="0.81994897716523363"/>
        </c:manualLayout>
      </c:layout>
      <c:lineChart>
        <c:grouping val="standard"/>
        <c:varyColors val="0"/>
        <c:ser>
          <c:idx val="0"/>
          <c:order val="0"/>
          <c:tx>
            <c:v>Netto</c:v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B7-4895-9BCB-2BC5E71138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B7-4895-9BCB-2BC5E71138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B7-4895-9BCB-2BC5E71138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B7-4895-9BCB-2BC5E71138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B7-4895-9BCB-2BC5E71138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B7-4895-9BCB-2BC5E71138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B7-4895-9BCB-2BC5E71138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B7-4895-9BCB-2BC5E71138F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B7-4895-9BCB-2BC5E71138FA}"/>
                </c:ext>
              </c:extLst>
            </c:dLbl>
            <c:dLbl>
              <c:idx val="10"/>
              <c:layout>
                <c:manualLayout>
                  <c:x val="-3.7214579511978214E-2"/>
                  <c:y val="-5.4933362736414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A1-479B-B43F-AD37B812C04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B7-4895-9BCB-2BC5E71138FA}"/>
                </c:ext>
              </c:extLst>
            </c:dLbl>
            <c:dLbl>
              <c:idx val="12"/>
              <c:layout>
                <c:manualLayout>
                  <c:x val="-1.3546912345061548E-2"/>
                  <c:y val="-4.9115910313119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E7-4779-9BFA-5B16CFB75B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D_CH!$D$8:$P$8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D_CH!$D$48:$P$48</c:f>
              <c:numCache>
                <c:formatCode>_ * #,##0_ ;_ * \-#,##0_ ;_ * "-"??_ ;_ @_ </c:formatCode>
                <c:ptCount val="13"/>
                <c:pt idx="0">
                  <c:v>1157817.1647408793</c:v>
                </c:pt>
                <c:pt idx="1">
                  <c:v>1119278.0143842066</c:v>
                </c:pt>
                <c:pt idx="2">
                  <c:v>1157937.9717339929</c:v>
                </c:pt>
                <c:pt idx="3">
                  <c:v>1090896.3397858324</c:v>
                </c:pt>
                <c:pt idx="4">
                  <c:v>1043116.9803532489</c:v>
                </c:pt>
                <c:pt idx="5">
                  <c:v>1040856.5907327805</c:v>
                </c:pt>
                <c:pt idx="6">
                  <c:v>1038577.426568263</c:v>
                </c:pt>
                <c:pt idx="7">
                  <c:v>1012831.744256241</c:v>
                </c:pt>
                <c:pt idx="8">
                  <c:v>977687.60905899352</c:v>
                </c:pt>
                <c:pt idx="9">
                  <c:v>932509.2904879906</c:v>
                </c:pt>
                <c:pt idx="10">
                  <c:v>904423.80464042875</c:v>
                </c:pt>
                <c:pt idx="11">
                  <c:v>859818.25167492533</c:v>
                </c:pt>
                <c:pt idx="12">
                  <c:v>768231.39499074803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B7-4895-9BCB-2BC5E71138FA}"/>
            </c:ext>
          </c:extLst>
        </c:ser>
        <c:ser>
          <c:idx val="1"/>
          <c:order val="1"/>
          <c:tx>
            <c:v>Brutto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E7-4779-9BFA-5B16CFB75BE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E7-4779-9BFA-5B16CFB75BE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E7-4779-9BFA-5B16CFB75BE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E7-4779-9BFA-5B16CFB75B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E7-4779-9BFA-5B16CFB75BE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E7-4779-9BFA-5B16CFB75BE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E7-4779-9BFA-5B16CFB75BE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E7-4779-9BFA-5B16CFB75BE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E7-4779-9BFA-5B16CFB75BE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E7-4779-9BFA-5B16CFB75B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D_CH!$D$42:$P$42</c:f>
              <c:numCache>
                <c:formatCode>_ * #,##0_ ;_ * \-#,##0_ ;_ * "-"??_ ;_ @_ </c:formatCode>
                <c:ptCount val="13"/>
                <c:pt idx="0">
                  <c:v>1952281.8144698879</c:v>
                </c:pt>
                <c:pt idx="1">
                  <c:v>1967945.357710514</c:v>
                </c:pt>
                <c:pt idx="2">
                  <c:v>2010489.6800162878</c:v>
                </c:pt>
                <c:pt idx="3">
                  <c:v>1955285.6267485595</c:v>
                </c:pt>
                <c:pt idx="4">
                  <c:v>1984204.0074937299</c:v>
                </c:pt>
                <c:pt idx="5">
                  <c:v>2043035.0882850387</c:v>
                </c:pt>
                <c:pt idx="6">
                  <c:v>2116468.5502370181</c:v>
                </c:pt>
                <c:pt idx="7">
                  <c:v>2124497.6820464572</c:v>
                </c:pt>
                <c:pt idx="8">
                  <c:v>2142418.0740864468</c:v>
                </c:pt>
                <c:pt idx="9">
                  <c:v>2155654.9830046729</c:v>
                </c:pt>
                <c:pt idx="10">
                  <c:v>2161214.422815708</c:v>
                </c:pt>
                <c:pt idx="11">
                  <c:v>2123194.8756285901</c:v>
                </c:pt>
                <c:pt idx="12">
                  <c:v>2038343.5636308361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7-4779-9BFA-5B16CFB75BE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286505167"/>
        <c:axId val="286506127"/>
      </c:lineChart>
      <c:catAx>
        <c:axId val="28650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6506127"/>
        <c:crosses val="autoZero"/>
        <c:auto val="1"/>
        <c:lblAlgn val="ctr"/>
        <c:lblOffset val="100"/>
        <c:noMultiLvlLbl val="0"/>
      </c:catAx>
      <c:valAx>
        <c:axId val="286506127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6505167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8207349118550813"/>
          <c:y val="0.68760965549677922"/>
          <c:w val="0.13897092782120338"/>
          <c:h val="0.13010503201764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Klärschlamm CH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D_CH!$D$8:$P$8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D_CH!$D$12:$P$12</c:f>
              <c:numCache>
                <c:formatCode>#,##0</c:formatCode>
                <c:ptCount val="13"/>
                <c:pt idx="0">
                  <c:v>181883</c:v>
                </c:pt>
                <c:pt idx="1">
                  <c:v>189378</c:v>
                </c:pt>
                <c:pt idx="2">
                  <c:v>181530</c:v>
                </c:pt>
                <c:pt idx="3">
                  <c:v>185512</c:v>
                </c:pt>
                <c:pt idx="4">
                  <c:v>158153</c:v>
                </c:pt>
                <c:pt idx="5">
                  <c:v>131076</c:v>
                </c:pt>
                <c:pt idx="6">
                  <c:v>105119</c:v>
                </c:pt>
                <c:pt idx="7">
                  <c:v>98771.62</c:v>
                </c:pt>
                <c:pt idx="8">
                  <c:v>109295</c:v>
                </c:pt>
                <c:pt idx="9">
                  <c:v>99109</c:v>
                </c:pt>
                <c:pt idx="10">
                  <c:v>99034</c:v>
                </c:pt>
                <c:pt idx="11">
                  <c:v>99035.86</c:v>
                </c:pt>
                <c:pt idx="12">
                  <c:v>96729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8-4713-AF47-CB13EC0D988C}"/>
            </c:ext>
          </c:extLst>
        </c:ser>
        <c:ser>
          <c:idx val="0"/>
          <c:order val="1"/>
          <c:tx>
            <c:v>Abfälle CH</c:v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D_CH!$D$8:$P$8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D_CH!$D$17:$P$17</c:f>
              <c:numCache>
                <c:formatCode>#,##0</c:formatCode>
                <c:ptCount val="13"/>
                <c:pt idx="0">
                  <c:v>3276739</c:v>
                </c:pt>
                <c:pt idx="1">
                  <c:v>3242971</c:v>
                </c:pt>
                <c:pt idx="2">
                  <c:v>3368380</c:v>
                </c:pt>
                <c:pt idx="3">
                  <c:v>3318502</c:v>
                </c:pt>
                <c:pt idx="4">
                  <c:v>3341384</c:v>
                </c:pt>
                <c:pt idx="5">
                  <c:v>3374718</c:v>
                </c:pt>
                <c:pt idx="6">
                  <c:v>3470786</c:v>
                </c:pt>
                <c:pt idx="7">
                  <c:v>3461747.8368999995</c:v>
                </c:pt>
                <c:pt idx="8">
                  <c:v>3481760</c:v>
                </c:pt>
                <c:pt idx="9">
                  <c:v>3501751</c:v>
                </c:pt>
                <c:pt idx="10">
                  <c:v>3513414</c:v>
                </c:pt>
                <c:pt idx="11">
                  <c:v>3562561.3059200011</c:v>
                </c:pt>
                <c:pt idx="12">
                  <c:v>3424662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38-4713-AF47-CB13EC0D988C}"/>
            </c:ext>
          </c:extLst>
        </c:ser>
        <c:ser>
          <c:idx val="2"/>
          <c:order val="2"/>
          <c:tx>
            <c:v>Import DE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D_CH!$D$8:$P$8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D_CH!$D$13:$P$13</c:f>
              <c:numCache>
                <c:formatCode>#,##0</c:formatCode>
                <c:ptCount val="13"/>
                <c:pt idx="0">
                  <c:v>209681</c:v>
                </c:pt>
                <c:pt idx="1">
                  <c:v>218876</c:v>
                </c:pt>
                <c:pt idx="2">
                  <c:v>235443</c:v>
                </c:pt>
                <c:pt idx="3">
                  <c:v>225827</c:v>
                </c:pt>
                <c:pt idx="4">
                  <c:v>236126</c:v>
                </c:pt>
                <c:pt idx="5">
                  <c:v>254015</c:v>
                </c:pt>
                <c:pt idx="6">
                  <c:v>285414</c:v>
                </c:pt>
                <c:pt idx="7">
                  <c:v>301369.81000000006</c:v>
                </c:pt>
                <c:pt idx="8">
                  <c:v>294325</c:v>
                </c:pt>
                <c:pt idx="9">
                  <c:v>305854</c:v>
                </c:pt>
                <c:pt idx="10">
                  <c:v>283413</c:v>
                </c:pt>
                <c:pt idx="11">
                  <c:v>196510.25000000003</c:v>
                </c:pt>
                <c:pt idx="12">
                  <c:v>189172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38-4713-AF47-CB13EC0D988C}"/>
            </c:ext>
          </c:extLst>
        </c:ser>
        <c:ser>
          <c:idx val="3"/>
          <c:order val="3"/>
          <c:tx>
            <c:v>Import ITA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D_CH!$D$8:$P$8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D_CH!$D$14:$P$14</c:f>
              <c:numCache>
                <c:formatCode>#,##0</c:formatCode>
                <c:ptCount val="13"/>
                <c:pt idx="0">
                  <c:v>13500</c:v>
                </c:pt>
                <c:pt idx="1">
                  <c:v>25986</c:v>
                </c:pt>
                <c:pt idx="2">
                  <c:v>13158</c:v>
                </c:pt>
                <c:pt idx="3">
                  <c:v>15016</c:v>
                </c:pt>
                <c:pt idx="4">
                  <c:v>18966</c:v>
                </c:pt>
                <c:pt idx="5">
                  <c:v>40520</c:v>
                </c:pt>
                <c:pt idx="6">
                  <c:v>40119</c:v>
                </c:pt>
                <c:pt idx="7">
                  <c:v>46644</c:v>
                </c:pt>
                <c:pt idx="8">
                  <c:v>52916</c:v>
                </c:pt>
                <c:pt idx="9">
                  <c:v>44148</c:v>
                </c:pt>
                <c:pt idx="10">
                  <c:v>41823</c:v>
                </c:pt>
                <c:pt idx="11">
                  <c:v>25131.120000000003</c:v>
                </c:pt>
                <c:pt idx="12">
                  <c:v>17551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38-4713-AF47-CB13EC0D988C}"/>
            </c:ext>
          </c:extLst>
        </c:ser>
        <c:ser>
          <c:idx val="4"/>
          <c:order val="4"/>
          <c:tx>
            <c:v>Import AT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D_CH!$D$8:$P$8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D_CH!$D$15:$P$15</c:f>
              <c:numCache>
                <c:formatCode>#,##0</c:formatCode>
                <c:ptCount val="13"/>
                <c:pt idx="0">
                  <c:v>49000</c:v>
                </c:pt>
                <c:pt idx="1">
                  <c:v>69204</c:v>
                </c:pt>
                <c:pt idx="2">
                  <c:v>63039</c:v>
                </c:pt>
                <c:pt idx="3">
                  <c:v>45412</c:v>
                </c:pt>
                <c:pt idx="4">
                  <c:v>54133</c:v>
                </c:pt>
                <c:pt idx="5">
                  <c:v>84436</c:v>
                </c:pt>
                <c:pt idx="6">
                  <c:v>95865</c:v>
                </c:pt>
                <c:pt idx="7">
                  <c:v>96480.260000000009</c:v>
                </c:pt>
                <c:pt idx="8">
                  <c:v>95820</c:v>
                </c:pt>
                <c:pt idx="9">
                  <c:v>89623</c:v>
                </c:pt>
                <c:pt idx="10">
                  <c:v>99444</c:v>
                </c:pt>
                <c:pt idx="11">
                  <c:v>87248.11</c:v>
                </c:pt>
                <c:pt idx="12">
                  <c:v>92351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38-4713-AF47-CB13EC0D988C}"/>
            </c:ext>
          </c:extLst>
        </c:ser>
        <c:ser>
          <c:idx val="5"/>
          <c:order val="5"/>
          <c:tx>
            <c:v>Import FRA</c:v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D_CH!$D$8:$P$8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D_CH!$D$16:$P$16</c:f>
              <c:numCache>
                <c:formatCode>#,##0</c:formatCode>
                <c:ptCount val="13"/>
                <c:pt idx="0">
                  <c:v>1500</c:v>
                </c:pt>
                <c:pt idx="1">
                  <c:v>1713</c:v>
                </c:pt>
                <c:pt idx="2">
                  <c:v>8238</c:v>
                </c:pt>
                <c:pt idx="3">
                  <c:v>4344</c:v>
                </c:pt>
                <c:pt idx="4">
                  <c:v>7991</c:v>
                </c:pt>
                <c:pt idx="5">
                  <c:v>4396</c:v>
                </c:pt>
                <c:pt idx="6">
                  <c:v>12703</c:v>
                </c:pt>
                <c:pt idx="7">
                  <c:v>6011.8899999999994</c:v>
                </c:pt>
                <c:pt idx="8">
                  <c:v>7569</c:v>
                </c:pt>
                <c:pt idx="9">
                  <c:v>18891</c:v>
                </c:pt>
                <c:pt idx="10">
                  <c:v>34516</c:v>
                </c:pt>
                <c:pt idx="11">
                  <c:v>56178.399999999994</c:v>
                </c:pt>
                <c:pt idx="12">
                  <c:v>34470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38-4713-AF47-CB13EC0D9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8506176"/>
        <c:axId val="1094485616"/>
      </c:barChart>
      <c:catAx>
        <c:axId val="101850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94485616"/>
        <c:crosses val="autoZero"/>
        <c:auto val="1"/>
        <c:lblAlgn val="ctr"/>
        <c:lblOffset val="100"/>
        <c:noMultiLvlLbl val="0"/>
      </c:catAx>
      <c:valAx>
        <c:axId val="109448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1850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23937107367489"/>
          <c:y val="4.6606823472714408E-2"/>
          <c:w val="0.85794370745993531"/>
          <c:h val="0.84822984176050975"/>
        </c:manualLayout>
      </c:layout>
      <c:barChart>
        <c:barDir val="col"/>
        <c:grouping val="stacked"/>
        <c:varyColors val="0"/>
        <c:ser>
          <c:idx val="1"/>
          <c:order val="0"/>
          <c:tx>
            <c:v>Abzug Wärme mit Witterungskorr.</c:v>
          </c:tx>
          <c:spPr>
            <a:solidFill>
              <a:srgbClr val="FF3300"/>
            </a:solidFill>
          </c:spPr>
          <c:invertIfNegative val="0"/>
          <c:cat>
            <c:numRef>
              <c:f>D_CH!$D$8:$P$8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D_CH!$D$44:$P$44</c:f>
              <c:numCache>
                <c:formatCode>_ * #,##0_ ;_ * \-#,##0_ ;_ * "-"??_ ;_ @_ </c:formatCode>
                <c:ptCount val="13"/>
                <c:pt idx="0">
                  <c:v>654661.15135669056</c:v>
                </c:pt>
                <c:pt idx="1">
                  <c:v>688950.39287640096</c:v>
                </c:pt>
                <c:pt idx="2">
                  <c:v>666821.6660997197</c:v>
                </c:pt>
                <c:pt idx="3">
                  <c:v>671399.02721905371</c:v>
                </c:pt>
                <c:pt idx="4">
                  <c:v>740593.43374423089</c:v>
                </c:pt>
                <c:pt idx="5">
                  <c:v>784447.05555225804</c:v>
                </c:pt>
                <c:pt idx="6">
                  <c:v>808834.66966875514</c:v>
                </c:pt>
                <c:pt idx="7">
                  <c:v>840356.03919904865</c:v>
                </c:pt>
                <c:pt idx="8">
                  <c:v>880134.12822162523</c:v>
                </c:pt>
                <c:pt idx="9">
                  <c:v>932425.53560068214</c:v>
                </c:pt>
                <c:pt idx="10">
                  <c:v>947497.14569505956</c:v>
                </c:pt>
                <c:pt idx="11">
                  <c:v>937610.33601686568</c:v>
                </c:pt>
                <c:pt idx="12">
                  <c:v>955557.71657087747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8-4A3B-B0CD-8D2F7AEE4834}"/>
            </c:ext>
          </c:extLst>
        </c:ser>
        <c:ser>
          <c:idx val="2"/>
          <c:order val="1"/>
          <c:tx>
            <c:v>Abzug Metalle</c:v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numRef>
              <c:f>D_CH!$D$8:$P$8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D_CH!$D$46:$P$46</c:f>
              <c:numCache>
                <c:formatCode>_ * #,##0_ ;_ * \-#,##0_ ;_ * "-"??_ ;_ @_ </c:formatCode>
                <c:ptCount val="13"/>
                <c:pt idx="0">
                  <c:v>98121.25197231803</c:v>
                </c:pt>
                <c:pt idx="1">
                  <c:v>117022.53204990648</c:v>
                </c:pt>
                <c:pt idx="2">
                  <c:v>140840.36938257521</c:v>
                </c:pt>
                <c:pt idx="3">
                  <c:v>145735.19174367326</c:v>
                </c:pt>
                <c:pt idx="4">
                  <c:v>150113.17979624998</c:v>
                </c:pt>
                <c:pt idx="5">
                  <c:v>166953.53000000003</c:v>
                </c:pt>
                <c:pt idx="6">
                  <c:v>214438.83000000002</c:v>
                </c:pt>
                <c:pt idx="7">
                  <c:v>216477.64499116756</c:v>
                </c:pt>
                <c:pt idx="8">
                  <c:v>230410.8432058281</c:v>
                </c:pt>
                <c:pt idx="9">
                  <c:v>235820.53371600001</c:v>
                </c:pt>
                <c:pt idx="10">
                  <c:v>254371.05728021974</c:v>
                </c:pt>
                <c:pt idx="11">
                  <c:v>273893.96196931635</c:v>
                </c:pt>
                <c:pt idx="12">
                  <c:v>263560.07526921062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8-4A3B-B0CD-8D2F7AEE4834}"/>
            </c:ext>
          </c:extLst>
        </c:ser>
        <c:ser>
          <c:idx val="0"/>
          <c:order val="2"/>
          <c:tx>
            <c:v>Abzug Stom</c:v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D_CH!$D$8:$P$8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D_CH!$D$45:$P$45</c:f>
              <c:numCache>
                <c:formatCode>_ * #,##0_ ;_ * \-#,##0_ ;_ * "-"??_ ;_ @_ </c:formatCode>
                <c:ptCount val="13"/>
                <c:pt idx="0">
                  <c:v>41682.246399999996</c:v>
                </c:pt>
                <c:pt idx="1">
                  <c:v>42694.41840000001</c:v>
                </c:pt>
                <c:pt idx="2">
                  <c:v>44889.672800000008</c:v>
                </c:pt>
                <c:pt idx="3">
                  <c:v>47255.068000000021</c:v>
                </c:pt>
                <c:pt idx="4">
                  <c:v>50380.413599999993</c:v>
                </c:pt>
                <c:pt idx="5">
                  <c:v>50777.911999999997</c:v>
                </c:pt>
                <c:pt idx="6">
                  <c:v>54617.624000000003</c:v>
                </c:pt>
                <c:pt idx="7">
                  <c:v>54832.253600000011</c:v>
                </c:pt>
                <c:pt idx="8">
                  <c:v>54185.493599999987</c:v>
                </c:pt>
                <c:pt idx="9">
                  <c:v>54899.623199999987</c:v>
                </c:pt>
                <c:pt idx="10">
                  <c:v>54922.415200000003</c:v>
                </c:pt>
                <c:pt idx="11">
                  <c:v>51872.325967482655</c:v>
                </c:pt>
                <c:pt idx="12">
                  <c:v>50994.376799999998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8-4A3B-B0CD-8D2F7AEE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6505167"/>
        <c:axId val="286506127"/>
      </c:barChart>
      <c:catAx>
        <c:axId val="28650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6506127"/>
        <c:crosses val="autoZero"/>
        <c:auto val="1"/>
        <c:lblAlgn val="ctr"/>
        <c:lblOffset val="100"/>
        <c:noMultiLvlLbl val="0"/>
      </c:catAx>
      <c:valAx>
        <c:axId val="286506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8650516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291499883697473"/>
          <c:y val="7.9325228874293358E-2"/>
          <c:w val="0.36039245764328087"/>
          <c:h val="0.23054117885185324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91694444444443E-2"/>
          <c:y val="5.0016775002347122E-2"/>
          <c:w val="0.91596124999999995"/>
          <c:h val="0.80217685201345201"/>
        </c:manualLayout>
      </c:layout>
      <c:lineChart>
        <c:grouping val="standard"/>
        <c:varyColors val="0"/>
        <c:ser>
          <c:idx val="0"/>
          <c:order val="0"/>
          <c:tx>
            <c:v>Index, Abfall CH</c:v>
          </c:tx>
          <c:spPr>
            <a:ln w="22225" cap="rnd" cmpd="sng" algn="ctr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Pars!$D$88:$P$88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Pars!$D$95:$P$95</c:f>
              <c:numCache>
                <c:formatCode>0.0</c:formatCode>
                <c:ptCount val="13"/>
                <c:pt idx="0">
                  <c:v>99.5</c:v>
                </c:pt>
                <c:pt idx="1">
                  <c:v>98.3</c:v>
                </c:pt>
                <c:pt idx="2">
                  <c:v>101.1</c:v>
                </c:pt>
                <c:pt idx="3">
                  <c:v>101.1</c:v>
                </c:pt>
                <c:pt idx="4">
                  <c:v>103.5</c:v>
                </c:pt>
                <c:pt idx="5">
                  <c:v>100</c:v>
                </c:pt>
                <c:pt idx="6">
                  <c:v>101.1</c:v>
                </c:pt>
                <c:pt idx="7">
                  <c:v>102.2</c:v>
                </c:pt>
                <c:pt idx="8">
                  <c:v>101</c:v>
                </c:pt>
                <c:pt idx="9">
                  <c:v>99.3</c:v>
                </c:pt>
                <c:pt idx="10">
                  <c:v>102.6</c:v>
                </c:pt>
                <c:pt idx="11">
                  <c:v>104.7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B2-4C1D-A09C-ADA5EA61A652}"/>
            </c:ext>
          </c:extLst>
        </c:ser>
        <c:ser>
          <c:idx val="1"/>
          <c:order val="1"/>
          <c:tx>
            <c:v>Index, Detailhandel, Warengruppe 475</c:v>
          </c:tx>
          <c:spPr>
            <a:ln w="22225" cap="rnd" cmpd="sng" algn="ctr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Pars!$D$88:$P$88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Pars!$D$96:$P$96</c:f>
              <c:numCache>
                <c:formatCode>General</c:formatCode>
                <c:ptCount val="13"/>
                <c:pt idx="0">
                  <c:v>100</c:v>
                </c:pt>
                <c:pt idx="1">
                  <c:v>98.969463237688444</c:v>
                </c:pt>
                <c:pt idx="2">
                  <c:v>102.79671343979487</c:v>
                </c:pt>
                <c:pt idx="3">
                  <c:v>101.27452934151911</c:v>
                </c:pt>
                <c:pt idx="4">
                  <c:v>101.97284556383649</c:v>
                </c:pt>
                <c:pt idx="5">
                  <c:v>102.99013745067886</c:v>
                </c:pt>
                <c:pt idx="6">
                  <c:v>105.9219547238886</c:v>
                </c:pt>
                <c:pt idx="7">
                  <c:v>105.6461267406406</c:v>
                </c:pt>
                <c:pt idx="8">
                  <c:v>106.25686086075211</c:v>
                </c:pt>
                <c:pt idx="9">
                  <c:v>106.86694912228286</c:v>
                </c:pt>
                <c:pt idx="10">
                  <c:v>107.22288226190734</c:v>
                </c:pt>
                <c:pt idx="11">
                  <c:v>108.72276693139128</c:v>
                </c:pt>
                <c:pt idx="12">
                  <c:v>104.5143357466066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B2-4C1D-A09C-ADA5EA61A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891178912"/>
        <c:axId val="1094473616"/>
      </c:lineChart>
      <c:catAx>
        <c:axId val="89117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94473616"/>
        <c:crosses val="autoZero"/>
        <c:auto val="1"/>
        <c:lblAlgn val="ctr"/>
        <c:lblOffset val="100"/>
        <c:noMultiLvlLbl val="0"/>
      </c:catAx>
      <c:valAx>
        <c:axId val="1094473616"/>
        <c:scaling>
          <c:orientation val="minMax"/>
          <c:max val="110"/>
          <c:min val="9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9117891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6107504223459577E-2"/>
          <c:y val="5.8897791847919254E-2"/>
          <c:w val="0.37189958333333334"/>
          <c:h val="0.18747273199206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D_GE_1!$D$4:$J$4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xVal>
          <c:yVal>
            <c:numRef>
              <c:f>D_GE_1!$D$14:$J$14</c:f>
              <c:numCache>
                <c:formatCode>#,##0.00</c:formatCode>
                <c:ptCount val="7"/>
                <c:pt idx="0">
                  <c:v>10.865</c:v>
                </c:pt>
                <c:pt idx="1">
                  <c:v>10.782</c:v>
                </c:pt>
                <c:pt idx="2">
                  <c:v>10.757</c:v>
                </c:pt>
                <c:pt idx="3">
                  <c:v>10.52</c:v>
                </c:pt>
                <c:pt idx="4" formatCode="#,##0">
                  <c:v>10.7</c:v>
                </c:pt>
                <c:pt idx="5" formatCode="#,##0">
                  <c:v>10.77</c:v>
                </c:pt>
                <c:pt idx="6" formatCode="#,##0">
                  <c:v>10.89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92-424D-A439-924D610FC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118648"/>
        <c:axId val="167260904"/>
      </c:scatterChart>
      <c:valAx>
        <c:axId val="162118648"/>
        <c:scaling>
          <c:orientation val="minMax"/>
          <c:max val="2016"/>
          <c:min val="20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260904"/>
        <c:crosses val="autoZero"/>
        <c:crossBetween val="midCat"/>
      </c:valAx>
      <c:valAx>
        <c:axId val="167260904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2118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D_NE_1!$D$4:$J$4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xVal>
          <c:yVal>
            <c:numRef>
              <c:f>D_NE_1!$D$6:$J$6</c:f>
              <c:numCache>
                <c:formatCode>#,##0</c:formatCode>
                <c:ptCount val="7"/>
                <c:pt idx="0">
                  <c:v>64397</c:v>
                </c:pt>
                <c:pt idx="1">
                  <c:v>68402</c:v>
                </c:pt>
                <c:pt idx="2">
                  <c:v>61743</c:v>
                </c:pt>
                <c:pt idx="3">
                  <c:v>59377</c:v>
                </c:pt>
                <c:pt idx="4">
                  <c:v>60585</c:v>
                </c:pt>
                <c:pt idx="5">
                  <c:v>61017</c:v>
                </c:pt>
                <c:pt idx="6">
                  <c:v>50870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09-4BB4-9ED6-606BFE5D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263256"/>
        <c:axId val="167260512"/>
      </c:scatterChart>
      <c:valAx>
        <c:axId val="167263256"/>
        <c:scaling>
          <c:orientation val="minMax"/>
          <c:max val="2016"/>
          <c:min val="20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260512"/>
        <c:crosses val="autoZero"/>
        <c:crossBetween val="midCat"/>
      </c:valAx>
      <c:valAx>
        <c:axId val="167260512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263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D_NE_1!$D$4:$J$4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xVal>
          <c:yVal>
            <c:numRef>
              <c:f>D_NE_1!$D$14:$J$14</c:f>
              <c:numCache>
                <c:formatCode>#,##0.00</c:formatCode>
                <c:ptCount val="7"/>
                <c:pt idx="0">
                  <c:v>11.13</c:v>
                </c:pt>
                <c:pt idx="1">
                  <c:v>11.127000000000001</c:v>
                </c:pt>
                <c:pt idx="2">
                  <c:v>11.555999999999999</c:v>
                </c:pt>
                <c:pt idx="3">
                  <c:v>10.9</c:v>
                </c:pt>
                <c:pt idx="4" formatCode="#,##0">
                  <c:v>10.86</c:v>
                </c:pt>
                <c:pt idx="5" formatCode="#,##0">
                  <c:v>11.41</c:v>
                </c:pt>
                <c:pt idx="6" formatCode="#,##0">
                  <c:v>11.72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EE-4903-834C-3EBCCABB1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261296"/>
        <c:axId val="167263648"/>
      </c:scatterChart>
      <c:valAx>
        <c:axId val="167261296"/>
        <c:scaling>
          <c:orientation val="minMax"/>
          <c:max val="2016"/>
          <c:min val="20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263648"/>
        <c:crosses val="autoZero"/>
        <c:crossBetween val="midCat"/>
      </c:valAx>
      <c:valAx>
        <c:axId val="167263648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261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14404953042866"/>
          <c:y val="0.21520054200542005"/>
          <c:w val="0.79744897398112913"/>
          <c:h val="0.55322764227642274"/>
        </c:manualLayout>
      </c:layout>
      <c:barChart>
        <c:barDir val="col"/>
        <c:grouping val="clustered"/>
        <c:varyColors val="0"/>
        <c:ser>
          <c:idx val="0"/>
          <c:order val="0"/>
          <c:tx>
            <c:v>Chaleur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D_NE_1!$D$4:$J$4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D_NE_1!$D$15:$J$15</c:f>
              <c:numCache>
                <c:formatCode>#,##0</c:formatCode>
                <c:ptCount val="7"/>
                <c:pt idx="0">
                  <c:v>26440</c:v>
                </c:pt>
                <c:pt idx="1">
                  <c:v>23607</c:v>
                </c:pt>
                <c:pt idx="2">
                  <c:v>27842</c:v>
                </c:pt>
                <c:pt idx="3">
                  <c:v>29480</c:v>
                </c:pt>
                <c:pt idx="4">
                  <c:v>25729</c:v>
                </c:pt>
                <c:pt idx="5">
                  <c:v>22645</c:v>
                </c:pt>
                <c:pt idx="6">
                  <c:v>24932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0-4FEC-85B6-913493653563}"/>
            </c:ext>
          </c:extLst>
        </c:ser>
        <c:ser>
          <c:idx val="1"/>
          <c:order val="1"/>
          <c:tx>
            <c:v>Electricité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D_NE_1!$D$4:$J$4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D_NE_1!$D$16:$J$16</c:f>
              <c:numCache>
                <c:formatCode>#,##0</c:formatCode>
                <c:ptCount val="7"/>
                <c:pt idx="0">
                  <c:v>27079</c:v>
                </c:pt>
                <c:pt idx="1">
                  <c:v>27861</c:v>
                </c:pt>
                <c:pt idx="2">
                  <c:v>26002</c:v>
                </c:pt>
                <c:pt idx="3">
                  <c:v>22558</c:v>
                </c:pt>
                <c:pt idx="4">
                  <c:v>24766</c:v>
                </c:pt>
                <c:pt idx="5">
                  <c:v>25500</c:v>
                </c:pt>
                <c:pt idx="6">
                  <c:v>18325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0-4FEC-85B6-913493653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250320"/>
        <c:axId val="167247968"/>
      </c:barChart>
      <c:catAx>
        <c:axId val="16725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247968"/>
        <c:crosses val="autoZero"/>
        <c:auto val="1"/>
        <c:lblAlgn val="ctr"/>
        <c:lblOffset val="100"/>
        <c:noMultiLvlLbl val="0"/>
      </c:catAx>
      <c:valAx>
        <c:axId val="167247968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250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D_NE_2!$D$4:$J$4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xVal>
          <c:yVal>
            <c:numRef>
              <c:f>D_NE_2!$D$14:$J$14</c:f>
              <c:numCache>
                <c:formatCode>#,##0.00</c:formatCode>
                <c:ptCount val="7"/>
                <c:pt idx="0">
                  <c:v>13.125999999999999</c:v>
                </c:pt>
                <c:pt idx="1">
                  <c:v>12.315</c:v>
                </c:pt>
                <c:pt idx="2">
                  <c:v>11.196999999999999</c:v>
                </c:pt>
                <c:pt idx="3">
                  <c:v>11.28</c:v>
                </c:pt>
                <c:pt idx="4" formatCode="#,##0">
                  <c:v>11.87</c:v>
                </c:pt>
                <c:pt idx="5" formatCode="#,##0">
                  <c:v>11.23</c:v>
                </c:pt>
                <c:pt idx="6" formatCode="#,##0">
                  <c:v>11.38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BD-493E-9B3F-1769C2919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259728"/>
        <c:axId val="167254240"/>
      </c:scatterChart>
      <c:valAx>
        <c:axId val="167259728"/>
        <c:scaling>
          <c:orientation val="minMax"/>
          <c:max val="2016"/>
          <c:min val="20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254240"/>
        <c:crosses val="autoZero"/>
        <c:crossBetween val="midCat"/>
      </c:valAx>
      <c:valAx>
        <c:axId val="167254240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259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D_VD_2!$D$4:$J$4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xVal>
          <c:yVal>
            <c:numRef>
              <c:f>D_VD_2!$D$14:$J$14</c:f>
              <c:numCache>
                <c:formatCode>#,##0.00</c:formatCode>
                <c:ptCount val="7"/>
                <c:pt idx="0">
                  <c:v>12.147</c:v>
                </c:pt>
                <c:pt idx="1">
                  <c:v>12.18</c:v>
                </c:pt>
                <c:pt idx="2">
                  <c:v>12.102</c:v>
                </c:pt>
                <c:pt idx="3">
                  <c:v>12.4</c:v>
                </c:pt>
                <c:pt idx="4" formatCode="#,##0">
                  <c:v>12.33</c:v>
                </c:pt>
                <c:pt idx="5" formatCode="#,##0">
                  <c:v>12.35</c:v>
                </c:pt>
                <c:pt idx="6" formatCode="#,##0">
                  <c:v>12.45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67-4723-9148-74838CDC7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250712"/>
        <c:axId val="167255416"/>
      </c:scatterChart>
      <c:valAx>
        <c:axId val="167250712"/>
        <c:scaling>
          <c:orientation val="minMax"/>
          <c:max val="2016"/>
          <c:min val="20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255416"/>
        <c:crosses val="autoZero"/>
        <c:crossBetween val="midCat"/>
      </c:valAx>
      <c:valAx>
        <c:axId val="167255416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250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D_VS_2!$D$4:$J$4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xVal>
          <c:yVal>
            <c:numRef>
              <c:f>D_VS_2!$D$14:$J$14</c:f>
              <c:numCache>
                <c:formatCode>#,##0.00</c:formatCode>
                <c:ptCount val="7"/>
                <c:pt idx="0">
                  <c:v>9.4179999999999993</c:v>
                </c:pt>
                <c:pt idx="1">
                  <c:v>9.7469999999999999</c:v>
                </c:pt>
                <c:pt idx="2">
                  <c:v>10.217000000000001</c:v>
                </c:pt>
                <c:pt idx="3">
                  <c:v>9.7899999999999991</c:v>
                </c:pt>
                <c:pt idx="4" formatCode="#,##0">
                  <c:v>11.2</c:v>
                </c:pt>
                <c:pt idx="5" formatCode="#,##0">
                  <c:v>10.81</c:v>
                </c:pt>
                <c:pt idx="6" formatCode="#,##0">
                  <c:v>11.08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0A-4429-95B9-8BA2838B7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257376"/>
        <c:axId val="167257768"/>
      </c:scatterChart>
      <c:valAx>
        <c:axId val="167257376"/>
        <c:scaling>
          <c:orientation val="minMax"/>
          <c:max val="2016"/>
          <c:min val="20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257768"/>
        <c:crosses val="autoZero"/>
        <c:crossBetween val="midCat"/>
      </c:valAx>
      <c:valAx>
        <c:axId val="167257768"/>
        <c:scaling>
          <c:orientation val="minMax"/>
          <c:min val="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257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D_VS_3!$D$4:$J$4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xVal>
          <c:yVal>
            <c:numRef>
              <c:f>D_VS_3!$D$14:$J$14</c:f>
              <c:numCache>
                <c:formatCode>#,##0.00</c:formatCode>
                <c:ptCount val="7"/>
                <c:pt idx="0">
                  <c:v>10.587999999999999</c:v>
                </c:pt>
                <c:pt idx="1">
                  <c:v>11.084</c:v>
                </c:pt>
                <c:pt idx="2">
                  <c:v>10.667999999999999</c:v>
                </c:pt>
                <c:pt idx="3">
                  <c:v>10.119999999999999</c:v>
                </c:pt>
                <c:pt idx="4" formatCode="#,##0">
                  <c:v>11.05</c:v>
                </c:pt>
                <c:pt idx="5" formatCode="#,##0">
                  <c:v>10.75</c:v>
                </c:pt>
                <c:pt idx="6" formatCode="#,##0">
                  <c:v>11.21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50-4B91-B302-8862E6B60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092192"/>
        <c:axId val="171087880"/>
      </c:scatterChart>
      <c:valAx>
        <c:axId val="171092192"/>
        <c:scaling>
          <c:orientation val="minMax"/>
          <c:max val="2016"/>
          <c:min val="20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1087880"/>
        <c:crosses val="autoZero"/>
        <c:crossBetween val="midCat"/>
      </c:valAx>
      <c:valAx>
        <c:axId val="171087880"/>
        <c:scaling>
          <c:orientation val="minMax"/>
          <c:min val="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109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4214812</xdr:colOff>
      <xdr:row>4</xdr:row>
      <xdr:rowOff>190500</xdr:rowOff>
    </xdr:from>
    <xdr:to>
      <xdr:col>19</xdr:col>
      <xdr:colOff>7814812</xdr:colOff>
      <xdr:row>12</xdr:row>
      <xdr:rowOff>11250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033CD6A-EDB4-4BD0-B243-D77806E3D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4201583</xdr:colOff>
      <xdr:row>4</xdr:row>
      <xdr:rowOff>137583</xdr:rowOff>
    </xdr:from>
    <xdr:to>
      <xdr:col>19</xdr:col>
      <xdr:colOff>7801583</xdr:colOff>
      <xdr:row>11</xdr:row>
      <xdr:rowOff>136927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9BBA21A-B9C6-438C-8339-F40BCB8A8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672702</xdr:colOff>
      <xdr:row>4</xdr:row>
      <xdr:rowOff>154781</xdr:rowOff>
    </xdr:from>
    <xdr:to>
      <xdr:col>19</xdr:col>
      <xdr:colOff>4272702</xdr:colOff>
      <xdr:row>11</xdr:row>
      <xdr:rowOff>175557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4561EAD-E3AA-491D-8CD0-4466A8E99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4881562</xdr:colOff>
      <xdr:row>4</xdr:row>
      <xdr:rowOff>119062</xdr:rowOff>
    </xdr:from>
    <xdr:to>
      <xdr:col>19</xdr:col>
      <xdr:colOff>8481562</xdr:colOff>
      <xdr:row>11</xdr:row>
      <xdr:rowOff>177937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A93B4EEC-BFAC-4E7E-B6EC-D171886BE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672702</xdr:colOff>
      <xdr:row>12</xdr:row>
      <xdr:rowOff>321467</xdr:rowOff>
    </xdr:from>
    <xdr:to>
      <xdr:col>19</xdr:col>
      <xdr:colOff>4310062</xdr:colOff>
      <xdr:row>19</xdr:row>
      <xdr:rowOff>106780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FCAF66FF-496A-4731-9A75-E0520B573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3848100</xdr:colOff>
      <xdr:row>4</xdr:row>
      <xdr:rowOff>47625</xdr:rowOff>
    </xdr:from>
    <xdr:to>
      <xdr:col>19</xdr:col>
      <xdr:colOff>7448100</xdr:colOff>
      <xdr:row>11</xdr:row>
      <xdr:rowOff>96975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8ED772C-F54F-4202-9A53-A67918B3A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4019550</xdr:colOff>
      <xdr:row>4</xdr:row>
      <xdr:rowOff>19050</xdr:rowOff>
    </xdr:from>
    <xdr:to>
      <xdr:col>19</xdr:col>
      <xdr:colOff>7619550</xdr:colOff>
      <xdr:row>11</xdr:row>
      <xdr:rowOff>68400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C2B33C8-4F4A-4246-9863-3CA29045D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3905250</xdr:colOff>
      <xdr:row>4</xdr:row>
      <xdr:rowOff>219075</xdr:rowOff>
    </xdr:from>
    <xdr:to>
      <xdr:col>19</xdr:col>
      <xdr:colOff>7505250</xdr:colOff>
      <xdr:row>12</xdr:row>
      <xdr:rowOff>87450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BA2B738-CB41-4F18-9F78-16AD34022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3790950</xdr:colOff>
      <xdr:row>4</xdr:row>
      <xdr:rowOff>238125</xdr:rowOff>
    </xdr:from>
    <xdr:to>
      <xdr:col>19</xdr:col>
      <xdr:colOff>7390950</xdr:colOff>
      <xdr:row>12</xdr:row>
      <xdr:rowOff>106500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0B0579C-EED7-4F7E-BC7F-C8DEFE9B0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1140033</xdr:colOff>
      <xdr:row>19</xdr:row>
      <xdr:rowOff>132925</xdr:rowOff>
    </xdr:from>
    <xdr:to>
      <xdr:col>12</xdr:col>
      <xdr:colOff>481908</xdr:colOff>
      <xdr:row>19</xdr:row>
      <xdr:rowOff>3196735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045D66C-CC8F-1BFD-86FC-A7C6293DF3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1126701</xdr:colOff>
      <xdr:row>24</xdr:row>
      <xdr:rowOff>321310</xdr:rowOff>
    </xdr:from>
    <xdr:to>
      <xdr:col>12</xdr:col>
      <xdr:colOff>464976</xdr:colOff>
      <xdr:row>24</xdr:row>
      <xdr:rowOff>3373542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110BF704-A1F9-4487-BE0F-38D8FB154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169120</xdr:colOff>
      <xdr:row>24</xdr:row>
      <xdr:rowOff>326178</xdr:rowOff>
    </xdr:from>
    <xdr:to>
      <xdr:col>26</xdr:col>
      <xdr:colOff>317020</xdr:colOff>
      <xdr:row>24</xdr:row>
      <xdr:rowOff>3413546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F4D5D701-8641-4598-8B3E-9D99283F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1119187</xdr:colOff>
      <xdr:row>48</xdr:row>
      <xdr:rowOff>345281</xdr:rowOff>
    </xdr:from>
    <xdr:to>
      <xdr:col>12</xdr:col>
      <xdr:colOff>457462</xdr:colOff>
      <xdr:row>51</xdr:row>
      <xdr:rowOff>159754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4E6AF2E7-E3B1-4E7B-B6A6-52D26D83A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22647</xdr:colOff>
      <xdr:row>17</xdr:row>
      <xdr:rowOff>361315</xdr:rowOff>
    </xdr:from>
    <xdr:to>
      <xdr:col>12</xdr:col>
      <xdr:colOff>515828</xdr:colOff>
      <xdr:row>17</xdr:row>
      <xdr:rowOff>4320963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A3E62F17-6B91-0C5D-BDFB-1CE4722669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358140</xdr:colOff>
      <xdr:row>48</xdr:row>
      <xdr:rowOff>320040</xdr:rowOff>
    </xdr:from>
    <xdr:to>
      <xdr:col>26</xdr:col>
      <xdr:colOff>513660</xdr:colOff>
      <xdr:row>51</xdr:row>
      <xdr:rowOff>126310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1C937481-689F-45BF-96F5-3F494A950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473075</xdr:colOff>
      <xdr:row>59</xdr:row>
      <xdr:rowOff>179917</xdr:rowOff>
    </xdr:from>
    <xdr:to>
      <xdr:col>17</xdr:col>
      <xdr:colOff>19050</xdr:colOff>
      <xdr:row>85</xdr:row>
      <xdr:rowOff>93910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AFED9FE-74DA-47B2-9F25-1F57FD94F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1185" y="10693612"/>
          <a:ext cx="7421245" cy="4383123"/>
        </a:xfrm>
        <a:prstGeom prst="rect">
          <a:avLst/>
        </a:prstGeom>
      </xdr:spPr>
    </xdr:pic>
    <xdr:clientData/>
  </xdr:twoCellAnchor>
  <xdr:twoCellAnchor>
    <xdr:from>
      <xdr:col>3</xdr:col>
      <xdr:colOff>2014</xdr:colOff>
      <xdr:row>99</xdr:row>
      <xdr:rowOff>16362</xdr:rowOff>
    </xdr:from>
    <xdr:to>
      <xdr:col>13</xdr:col>
      <xdr:colOff>594354</xdr:colOff>
      <xdr:row>107</xdr:row>
      <xdr:rowOff>112059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46CB6E8-E4E1-B1B5-FF8E-8815A8D7E9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obin Quartier" id="{9084EE2C-C306-4C7E-8146-7D4C5DC55504}" userId="dd39135154e8df13" providerId="Windows Live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A501FDD-FB24-4780-8E59-CD4C093299C1}" name="Tabelle1" displayName="Tabelle1" ref="C4:Q22" totalsRowShown="0" headerRowDxfId="212" dataDxfId="211" tableBorderDxfId="210" dataCellStyle="Komma">
  <autoFilter ref="C4:Q22" xr:uid="{4A501FDD-FB24-4780-8E59-CD4C093299C1}"/>
  <tableColumns count="15">
    <tableColumn id="1" xr3:uid="{B67418B6-1D1F-4044-9F0C-49D1B1F1CF17}" name="Bezeichnung" dataDxfId="209"/>
    <tableColumn id="2" xr3:uid="{879FA2D0-1312-40D3-A7FE-D0CBE60E91F7}" name="Einheit" dataDxfId="208"/>
    <tableColumn id="3" xr3:uid="{BEAB4758-C828-40B0-B99F-4AD561165A6A}" name="2010" dataDxfId="207" dataCellStyle="Komma"/>
    <tableColumn id="4" xr3:uid="{AC088DD4-E22C-4E6A-B6B2-8A1A79AC3E54}" name="2011" dataDxfId="206" dataCellStyle="Komma"/>
    <tableColumn id="5" xr3:uid="{BF38468A-A915-4470-9D02-16A91BFB8142}" name="2012" dataDxfId="205" dataCellStyle="Komma"/>
    <tableColumn id="6" xr3:uid="{69F8BACE-9F73-4373-8FC8-3DA242133A80}" name="2013" dataDxfId="204" dataCellStyle="Komma"/>
    <tableColumn id="7" xr3:uid="{EA28C912-BC04-46FA-9EA2-55BD5C362ED7}" name="2014" dataDxfId="203" dataCellStyle="Komma"/>
    <tableColumn id="8" xr3:uid="{FA80F1CF-2D30-4C32-8E59-D068D34B5A3E}" name="2015" dataDxfId="202" dataCellStyle="Komma"/>
    <tableColumn id="9" xr3:uid="{0CBB69DF-D8D0-4583-91D3-17D5AB4374FB}" name="2016" dataDxfId="201" dataCellStyle="Komma"/>
    <tableColumn id="10" xr3:uid="{929AC2DE-E658-4D1B-9656-3DD054418DCF}" name="2017" dataDxfId="200" dataCellStyle="Komma"/>
    <tableColumn id="11" xr3:uid="{CB303505-4BAD-427E-B908-C342E4F29982}" name="2018" dataDxfId="199" dataCellStyle="Komma"/>
    <tableColumn id="12" xr3:uid="{5657CB18-B55A-4732-AD29-91CBD86A55FD}" name="2019" dataDxfId="198" dataCellStyle="Komma"/>
    <tableColumn id="13" xr3:uid="{52EE124E-A493-4949-84C0-C5B254F7DE3D}" name="2020" dataDxfId="197" dataCellStyle="Komma"/>
    <tableColumn id="14" xr3:uid="{E1D63231-A95C-46A4-937B-F7BFD2FE05B9}" name="2021" dataDxfId="196" dataCellStyle="Komma"/>
    <tableColumn id="15" xr3:uid="{22FF999B-8C31-459E-B86C-3AEA6264CA39}" name="2022" dataDxfId="195" dataCellStyle="Komma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A46EDCA-ED92-45D5-ADEC-25A60066933E}" name="Tabelle2" displayName="Tabelle2" ref="C24:Q28" totalsRowShown="0" headerRowDxfId="214" dataDxfId="213" tableBorderDxfId="230">
  <autoFilter ref="C24:Q28" xr:uid="{9A46EDCA-ED92-45D5-ADEC-25A60066933E}"/>
  <tableColumns count="15">
    <tableColumn id="1" xr3:uid="{9E05D77E-636A-4493-8D15-6D70703DCF36}" name="Spezifische Kennwerte pro Tonne Abfall" dataDxfId="229"/>
    <tableColumn id="2" xr3:uid="{F335F6C1-E41F-45B3-AB3C-4B12A1F38A51}" name="Einheit" dataDxfId="228"/>
    <tableColumn id="3" xr3:uid="{2856D285-2986-408E-978F-F1FB9EF904BA}" name="2010" dataDxfId="227"/>
    <tableColumn id="4" xr3:uid="{8D527EE6-0F5B-45A1-908D-FC43AA882949}" name="2011" dataDxfId="226"/>
    <tableColumn id="5" xr3:uid="{0EEEE4D8-FE03-4079-907D-2ADD9D8F98D9}" name="2012" dataDxfId="225"/>
    <tableColumn id="6" xr3:uid="{EDA9E87C-77F3-4C9A-9F6F-76A57E099DE6}" name="2013" dataDxfId="224"/>
    <tableColumn id="7" xr3:uid="{A396CD3B-0335-488F-B5BB-898238D8C093}" name="2014" dataDxfId="223"/>
    <tableColumn id="8" xr3:uid="{CF814069-065A-47EA-99F4-78B3CD127233}" name="2015" dataDxfId="222"/>
    <tableColumn id="9" xr3:uid="{9E5C94F7-81B3-4D42-8D20-342A4EC893E5}" name="2016" dataDxfId="221"/>
    <tableColumn id="10" xr3:uid="{83420BBC-7B04-4113-80CB-C85E509CF6B2}" name="2017" dataDxfId="220"/>
    <tableColumn id="11" xr3:uid="{CD8CB7A3-41F9-4B6D-8EE8-1E24696A5FF2}" name="2018" dataDxfId="219"/>
    <tableColumn id="12" xr3:uid="{B9445E72-F996-475D-A6B7-988F6AC754B0}" name="2019" dataDxfId="218"/>
    <tableColumn id="13" xr3:uid="{9387C668-DB23-429B-8EC5-FC1EBC8C1027}" name="2020" dataDxfId="217"/>
    <tableColumn id="14" xr3:uid="{0AC92CE2-5989-45C5-A3D4-62D66EEEE76C}" name="2021" dataDxfId="216"/>
    <tableColumn id="15" xr3:uid="{976966A8-5DDC-4E63-B571-FB1678B7D1E7}" name="2022" dataDxfId="215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37" dT="2021-06-03T08:02:23.07" personId="{9084EE2C-C306-4C7E-8146-7D4C5DC55504}" id="{ED62B341-EF22-4AF7-B4CC-E2254F333D05}">
    <text>Flurec hatte einen Ausfall einer Elektrolysezelle während mehreren Monaten.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5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6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9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6358E-23F1-4463-A4A5-B933FE7A3C6C}">
  <sheetPr>
    <tabColor theme="2" tint="-0.499984740745262"/>
  </sheetPr>
  <dimension ref="A1:AD134"/>
  <sheetViews>
    <sheetView zoomScaleNormal="100" workbookViewId="0">
      <pane ySplit="4" topLeftCell="A5" activePane="bottomLeft" state="frozen"/>
      <selection activeCell="B51" sqref="B51"/>
      <selection pane="bottomLeft"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85</v>
      </c>
      <c r="D1" s="32"/>
      <c r="E1" s="32"/>
    </row>
    <row r="2" spans="1:30" x14ac:dyDescent="0.3">
      <c r="A2" s="30"/>
      <c r="B2" s="31" t="s">
        <v>86</v>
      </c>
      <c r="C2" s="33" t="s">
        <v>87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116963</v>
      </c>
      <c r="E5" s="42">
        <v>116963</v>
      </c>
      <c r="F5" s="42">
        <v>116963</v>
      </c>
      <c r="G5" s="42">
        <v>125681</v>
      </c>
      <c r="H5" s="43">
        <v>125681</v>
      </c>
      <c r="I5" s="43">
        <v>131553</v>
      </c>
      <c r="J5" s="43">
        <v>144824</v>
      </c>
      <c r="K5" s="43">
        <v>145053.12933298436</v>
      </c>
      <c r="L5" s="43">
        <v>143334</v>
      </c>
      <c r="M5" s="43">
        <v>142027</v>
      </c>
      <c r="N5" s="43">
        <v>141491</v>
      </c>
      <c r="O5" s="43">
        <v>148398.4450463643</v>
      </c>
      <c r="P5" s="43">
        <v>146833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117947</v>
      </c>
      <c r="E6" s="42">
        <v>115924</v>
      </c>
      <c r="F6" s="42">
        <v>117412</v>
      </c>
      <c r="G6" s="42">
        <v>109368</v>
      </c>
      <c r="H6" s="47">
        <v>123590</v>
      </c>
      <c r="I6" s="47">
        <v>127365</v>
      </c>
      <c r="J6" s="47">
        <v>131470</v>
      </c>
      <c r="K6" s="47">
        <v>134841</v>
      </c>
      <c r="L6" s="47">
        <v>135298</v>
      </c>
      <c r="M6" s="47">
        <v>131358</v>
      </c>
      <c r="N6" s="47">
        <v>137231</v>
      </c>
      <c r="O6" s="47">
        <v>135467.23952</v>
      </c>
      <c r="P6" s="47">
        <v>134462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0</v>
      </c>
      <c r="E7" s="42">
        <v>0</v>
      </c>
      <c r="F7" s="42">
        <v>0</v>
      </c>
      <c r="G7" s="42">
        <v>0</v>
      </c>
      <c r="H7" s="47">
        <v>0</v>
      </c>
      <c r="I7" s="47">
        <v>0</v>
      </c>
      <c r="J7" s="47">
        <v>0</v>
      </c>
      <c r="K7" s="47">
        <v>0</v>
      </c>
      <c r="L7" s="47">
        <v>0</v>
      </c>
      <c r="M7" s="47">
        <v>0</v>
      </c>
      <c r="N7" s="47">
        <v>0</v>
      </c>
      <c r="O7" s="47">
        <v>0</v>
      </c>
      <c r="P7" s="47">
        <v>0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>
        <v>10000</v>
      </c>
      <c r="E8" s="42">
        <v>10337</v>
      </c>
      <c r="F8" s="42">
        <v>10154</v>
      </c>
      <c r="G8" s="42">
        <v>10429</v>
      </c>
      <c r="H8" s="47">
        <v>10883</v>
      </c>
      <c r="I8" s="47">
        <v>10519</v>
      </c>
      <c r="J8" s="47">
        <v>11446</v>
      </c>
      <c r="K8" s="47">
        <v>15653</v>
      </c>
      <c r="L8" s="47">
        <v>17229</v>
      </c>
      <c r="M8" s="47">
        <v>19143</v>
      </c>
      <c r="N8" s="47">
        <v>18250</v>
      </c>
      <c r="O8" s="47">
        <v>16411.620000000003</v>
      </c>
      <c r="P8" s="47">
        <v>16134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47">
        <v>0</v>
      </c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>
        <v>0</v>
      </c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>
        <v>0</v>
      </c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13.82</v>
      </c>
      <c r="E14" s="51">
        <v>13.821</v>
      </c>
      <c r="F14" s="51">
        <v>14.226000000000001</v>
      </c>
      <c r="G14" s="51">
        <v>13.97</v>
      </c>
      <c r="H14" s="43">
        <v>13.18</v>
      </c>
      <c r="I14" s="43">
        <v>12.86</v>
      </c>
      <c r="J14" s="43">
        <v>12.86</v>
      </c>
      <c r="K14" s="43">
        <v>12.72</v>
      </c>
      <c r="L14" s="43">
        <v>12.68</v>
      </c>
      <c r="M14" s="43">
        <v>12.83</v>
      </c>
      <c r="N14" s="43">
        <v>12.753</v>
      </c>
      <c r="O14" s="43">
        <v>12.7</v>
      </c>
      <c r="P14" s="43">
        <v>12.76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80154</v>
      </c>
      <c r="E15" s="42">
        <v>72811</v>
      </c>
      <c r="F15" s="42">
        <v>75264</v>
      </c>
      <c r="G15" s="42">
        <v>75693</v>
      </c>
      <c r="H15" s="47">
        <v>71595</v>
      </c>
      <c r="I15" s="47">
        <v>74974</v>
      </c>
      <c r="J15" s="47">
        <v>78704</v>
      </c>
      <c r="K15" s="47">
        <v>73956</v>
      </c>
      <c r="L15" s="47">
        <v>73097</v>
      </c>
      <c r="M15" s="47">
        <v>72141</v>
      </c>
      <c r="N15" s="47">
        <v>65666</v>
      </c>
      <c r="O15" s="47">
        <v>69658</v>
      </c>
      <c r="P15" s="47">
        <f>86547+13372</f>
        <v>99919</v>
      </c>
      <c r="Q15" s="47">
        <v>90000</v>
      </c>
      <c r="R15" s="47">
        <v>100000</v>
      </c>
      <c r="S15" s="47">
        <v>120000</v>
      </c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45221</v>
      </c>
      <c r="E16" s="42">
        <v>47105</v>
      </c>
      <c r="F16" s="42">
        <v>45046</v>
      </c>
      <c r="G16" s="42">
        <v>42011</v>
      </c>
      <c r="H16" s="47">
        <v>64247</v>
      </c>
      <c r="I16" s="47">
        <v>64431</v>
      </c>
      <c r="J16" s="47">
        <v>68333</v>
      </c>
      <c r="K16" s="47">
        <v>64348</v>
      </c>
      <c r="L16" s="47">
        <v>73646</v>
      </c>
      <c r="M16" s="47">
        <v>73914</v>
      </c>
      <c r="N16" s="47">
        <v>82067</v>
      </c>
      <c r="O16" s="47">
        <v>79557</v>
      </c>
      <c r="P16" s="47">
        <v>69614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21543</v>
      </c>
      <c r="E18" s="42">
        <v>20991</v>
      </c>
      <c r="F18" s="42">
        <v>20759</v>
      </c>
      <c r="G18" s="42">
        <v>20120</v>
      </c>
      <c r="H18" s="43">
        <v>23769</v>
      </c>
      <c r="I18" s="43">
        <v>25028</v>
      </c>
      <c r="J18" s="43">
        <v>24823</v>
      </c>
      <c r="K18" s="43">
        <v>25549</v>
      </c>
      <c r="L18" s="43">
        <v>25945</v>
      </c>
      <c r="M18" s="43">
        <v>25185</v>
      </c>
      <c r="N18" s="43">
        <v>26904</v>
      </c>
      <c r="O18" s="43">
        <v>26341</v>
      </c>
      <c r="P18" s="43">
        <v>25508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1641</v>
      </c>
      <c r="E19" s="42">
        <v>1638</v>
      </c>
      <c r="F19" s="42">
        <v>1742</v>
      </c>
      <c r="G19" s="42">
        <v>1620</v>
      </c>
      <c r="H19" s="47">
        <v>1952</v>
      </c>
      <c r="I19" s="47">
        <v>2072</v>
      </c>
      <c r="J19" s="47">
        <v>2115</v>
      </c>
      <c r="K19" s="47">
        <v>2128</v>
      </c>
      <c r="L19" s="47">
        <v>2101</v>
      </c>
      <c r="M19" s="47">
        <v>1987</v>
      </c>
      <c r="N19" s="47">
        <v>2091</v>
      </c>
      <c r="O19" s="47">
        <v>2027</v>
      </c>
      <c r="P19" s="47">
        <v>1913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112</v>
      </c>
      <c r="E22" s="59" t="s">
        <v>112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112</v>
      </c>
      <c r="G23" s="59" t="s">
        <v>112</v>
      </c>
      <c r="H23" s="59" t="s">
        <v>112</v>
      </c>
      <c r="I23" s="59" t="s">
        <v>112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112</v>
      </c>
      <c r="K24" s="59" t="s">
        <v>112</v>
      </c>
      <c r="L24" s="59" t="s">
        <v>112</v>
      </c>
      <c r="M24" s="59" t="s">
        <v>112</v>
      </c>
      <c r="N24" s="59" t="s">
        <v>112</v>
      </c>
      <c r="O24" s="59" t="s">
        <v>112</v>
      </c>
      <c r="P24" s="59" t="s">
        <v>112</v>
      </c>
      <c r="Q24" s="59" t="s">
        <v>112</v>
      </c>
      <c r="R24" s="59" t="s">
        <v>112</v>
      </c>
      <c r="S24" s="59" t="s">
        <v>112</v>
      </c>
      <c r="T24" s="59" t="s">
        <v>112</v>
      </c>
      <c r="U24" s="59" t="s">
        <v>112</v>
      </c>
      <c r="V24" s="59" t="s">
        <v>112</v>
      </c>
      <c r="W24" s="59" t="s">
        <v>112</v>
      </c>
      <c r="X24" s="59" t="s">
        <v>112</v>
      </c>
      <c r="Y24" s="59" t="s">
        <v>112</v>
      </c>
      <c r="Z24" s="59" t="s">
        <v>112</v>
      </c>
      <c r="AA24" s="59" t="s">
        <v>112</v>
      </c>
      <c r="AB24" s="59" t="s">
        <v>112</v>
      </c>
      <c r="AC24" s="59" t="s">
        <v>112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882</v>
      </c>
      <c r="E33" s="47">
        <v>860</v>
      </c>
      <c r="F33" s="47">
        <v>1302</v>
      </c>
      <c r="G33" s="47">
        <v>856</v>
      </c>
      <c r="H33" s="43">
        <v>859</v>
      </c>
      <c r="I33" s="43">
        <v>2064</v>
      </c>
      <c r="J33" s="43">
        <v>1359</v>
      </c>
      <c r="K33" s="43">
        <v>1229.5</v>
      </c>
      <c r="L33" s="43">
        <v>1357</v>
      </c>
      <c r="M33" s="43">
        <v>1476</v>
      </c>
      <c r="N33" s="43">
        <v>1560</v>
      </c>
      <c r="O33" s="63">
        <v>1668</v>
      </c>
      <c r="P33" s="63">
        <v>1441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275</v>
      </c>
      <c r="K34" s="47">
        <v>274.2</v>
      </c>
      <c r="L34" s="47">
        <v>351</v>
      </c>
      <c r="M34" s="47">
        <v>373</v>
      </c>
      <c r="N34" s="47">
        <v>371</v>
      </c>
      <c r="O34" s="64">
        <v>397</v>
      </c>
      <c r="P34" s="64">
        <v>380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64">
        <v>19</v>
      </c>
      <c r="P37" s="64">
        <v>38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/>
      <c r="E41" s="47"/>
      <c r="F41" s="47">
        <v>333</v>
      </c>
      <c r="G41" s="47">
        <v>222</v>
      </c>
      <c r="H41" s="47">
        <v>278</v>
      </c>
      <c r="I41" s="47">
        <v>524</v>
      </c>
      <c r="J41" s="47">
        <v>176</v>
      </c>
      <c r="K41" s="47">
        <v>126.48000000000003</v>
      </c>
      <c r="L41" s="47">
        <v>75</v>
      </c>
      <c r="M41" s="47">
        <v>585</v>
      </c>
      <c r="N41" s="47">
        <v>625</v>
      </c>
      <c r="O41" s="64">
        <v>613</v>
      </c>
      <c r="P41" s="64">
        <v>592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(Pars!D56+(D_AG_1!D14-Pars!D57)*Pars!D58)/Pars!D59</f>
        <v>0.33887200000000001</v>
      </c>
      <c r="E43" s="66">
        <f>(Pars!E56+(D_AG_1!E14-Pars!E57)*Pars!E58)/Pars!E59</f>
        <v>0.33889126110873885</v>
      </c>
      <c r="F43" s="66">
        <f>(Pars!F56+(D_AG_1!F14-Pars!F57)*Pars!F58)/Pars!F59</f>
        <v>0.34682890634218733</v>
      </c>
      <c r="G43" s="66">
        <f>(Pars!G56+(D_AG_1!G14-Pars!G57)*Pars!G58)/Pars!G59</f>
        <v>0.34181097456707632</v>
      </c>
      <c r="H43" s="66">
        <f>(Pars!H56+(D_AG_1!H14-Pars!H57)*Pars!H58)/Pars!H59</f>
        <v>0.32632669469322123</v>
      </c>
      <c r="I43" s="66">
        <f>(Pars!I56+(D_AG_1!I14-Pars!I57)*Pars!I58)/Pars!I59</f>
        <v>0.32005439972800137</v>
      </c>
      <c r="J43" s="66">
        <f>(Pars!J56+(D_AG_1!J14-Pars!J57)*Pars!J58)/Pars!J59</f>
        <v>0.32005407967552196</v>
      </c>
      <c r="K43" s="66">
        <f>(Pars!K56+(D_AG_1!K14-Pars!K57)*Pars!K58)/Pars!K59</f>
        <v>0.31730977883154821</v>
      </c>
      <c r="L43" s="66">
        <f>(Pars!L56+(D_AG_1!L14-Pars!L57)*Pars!L58)/Pars!L59</f>
        <v>0.31652546779625762</v>
      </c>
      <c r="M43" s="66">
        <f>(Pars!M56+(D_AG_1!M14-Pars!M57)*Pars!M58)/Pars!M59</f>
        <v>0.31946512481387668</v>
      </c>
      <c r="N43" s="66">
        <f>(Pars!N56+(D_AG_1!N14-Pars!N57)*Pars!N58)/Pars!N59</f>
        <v>0.31795562044379555</v>
      </c>
      <c r="O43" s="66">
        <f>(Pars!O56+(D_AG_1!O14-Pars!O57)*Pars!O58)/Pars!O59</f>
        <v>0.31691651391834691</v>
      </c>
      <c r="P43" s="66">
        <f>(Pars!P56+(D_AG_1!P14-Pars!P57)*Pars!P58)/Pars!P59</f>
        <v>0.31809218289380525</v>
      </c>
      <c r="Q43" s="66">
        <f>(Pars!Q56+(D_AG_1!Q14-Pars!Q57)*Pars!Q58)/Pars!Q59</f>
        <v>6.7999116011491847E-2</v>
      </c>
      <c r="R43" s="66">
        <f>(Pars!R56+(D_AG_1!R14-Pars!R57)*Pars!R58)/Pars!R59</f>
        <v>6.7999048013327817E-2</v>
      </c>
      <c r="S43" s="66">
        <f>(Pars!S56+(D_AG_1!S14-Pars!S57)*Pars!S58)/Pars!S59</f>
        <v>6.7998980015299776E-2</v>
      </c>
      <c r="T43" s="66">
        <f>(Pars!T56+(D_AG_1!T14-Pars!T57)*Pars!T58)/Pars!T59</f>
        <v>6.7998980015299776E-2</v>
      </c>
      <c r="U43" s="66">
        <f>(Pars!U56+(D_AG_1!U14-Pars!U57)*Pars!U58)/Pars!U59</f>
        <v>6.7998980015299776E-2</v>
      </c>
      <c r="V43" s="66">
        <f>(Pars!V56+(D_AG_1!V14-Pars!V57)*Pars!V58)/Pars!V59</f>
        <v>6.7998980015299776E-2</v>
      </c>
      <c r="W43" s="66">
        <f>(Pars!W56+(D_AG_1!W14-Pars!W57)*Pars!W58)/Pars!W59</f>
        <v>6.7998980015299776E-2</v>
      </c>
      <c r="X43" s="66">
        <f>(Pars!X56+(D_AG_1!X14-Pars!X57)*Pars!X58)/Pars!X59</f>
        <v>6.7998980015299776E-2</v>
      </c>
      <c r="Y43" s="66">
        <f>(Pars!Y56+(D_AG_1!Y14-Pars!Y57)*Pars!Y58)/Pars!Y59</f>
        <v>6.7998980015299776E-2</v>
      </c>
      <c r="Z43" s="66">
        <f>(Pars!Z56+(D_AG_1!Z14-Pars!Z57)*Pars!Z58)/Pars!Z59</f>
        <v>6.7998980015299776E-2</v>
      </c>
      <c r="AA43" s="66">
        <f>(Pars!AA56+(D_AG_1!AA14-Pars!AA57)*Pars!AA58)/Pars!AA59</f>
        <v>6.7998980015299776E-2</v>
      </c>
      <c r="AB43" s="66">
        <f>(Pars!AB56+(D_AG_1!AB14-Pars!AB57)*Pars!AB58)/Pars!AB59</f>
        <v>6.7998980015299776E-2</v>
      </c>
      <c r="AC43" s="66">
        <f>(Pars!AC56+(D_AG_1!AC14-Pars!AC57)*Pars!AC58)/Pars!AC59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146552.76454133334</v>
      </c>
      <c r="E44" s="43">
        <f>Pars!E37*E43*E6</f>
        <v>144047.31202682131</v>
      </c>
      <c r="F44" s="43">
        <f>Pars!F37*F43*F6</f>
        <v>149313.54368864594</v>
      </c>
      <c r="G44" s="43">
        <f>Pars!G37*G43*G6</f>
        <v>137071.66977699066</v>
      </c>
      <c r="H44" s="43">
        <f>Pars!H37*H43*H6</f>
        <v>147879.29272282909</v>
      </c>
      <c r="I44" s="43">
        <f>Pars!I37*I43*I6</f>
        <v>149467.00494497526</v>
      </c>
      <c r="J44" s="43">
        <f>Pars!J37*J43*J6</f>
        <v>154284.20280144986</v>
      </c>
      <c r="K44" s="43">
        <f>Pars!K37*K43*K6</f>
        <v>156883.34892055756</v>
      </c>
      <c r="L44" s="43">
        <f>Pars!L37*L43*L6</f>
        <v>157025.96338695957</v>
      </c>
      <c r="M44" s="43">
        <f>Pars!M37*M43*M6</f>
        <v>153869.09950610442</v>
      </c>
      <c r="N44" s="43">
        <f>Pars!N37*N43*N6</f>
        <v>159989.01508011585</v>
      </c>
      <c r="O44" s="63">
        <f>Pars!O37*O43*O6</f>
        <v>157416.61942900709</v>
      </c>
      <c r="P44" s="63">
        <f>Pars!P37*P43*P6</f>
        <v>156828.14068631176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70345.32697984</v>
      </c>
      <c r="E45" s="43">
        <f>E44*Pars!E36/100</f>
        <v>69142.709772874223</v>
      </c>
      <c r="F45" s="43">
        <f>F44*Pars!F36/100</f>
        <v>71670.500970550056</v>
      </c>
      <c r="G45" s="43">
        <f>G44*Pars!G36/100</f>
        <v>65794.401492955512</v>
      </c>
      <c r="H45" s="43">
        <f>H44*Pars!H36/100</f>
        <v>70982.060506957961</v>
      </c>
      <c r="I45" s="43">
        <f>I44*Pars!I36/100</f>
        <v>71744.162373588129</v>
      </c>
      <c r="J45" s="43">
        <f>J44*Pars!J36/100</f>
        <v>74056.417344695932</v>
      </c>
      <c r="K45" s="43">
        <f>K44*Pars!K36/100</f>
        <v>75304.007481867637</v>
      </c>
      <c r="L45" s="43">
        <f>L44*Pars!L36/100</f>
        <v>75372.462425740596</v>
      </c>
      <c r="M45" s="43">
        <f>M44*Pars!M36/100</f>
        <v>73857.167762930127</v>
      </c>
      <c r="N45" s="43">
        <f>N44*Pars!N36/100</f>
        <v>76794.727238455598</v>
      </c>
      <c r="O45" s="63">
        <f>O44*Pars!O36/100</f>
        <v>75559.977325923406</v>
      </c>
      <c r="P45" s="63">
        <f>P44*Pars!P36/100</f>
        <v>75277.50752942964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17978.5422</v>
      </c>
      <c r="E46" s="43">
        <f>Pars!E40*E15</f>
        <v>16331.507299999999</v>
      </c>
      <c r="F46" s="43">
        <f>Pars!F40*F15</f>
        <v>16881.715199999999</v>
      </c>
      <c r="G46" s="43">
        <f>Pars!G40*G15</f>
        <v>16977.939900000001</v>
      </c>
      <c r="H46" s="43">
        <f>Pars!H40*H15</f>
        <v>16058.7585</v>
      </c>
      <c r="I46" s="43">
        <f>Pars!I40*I15</f>
        <v>16816.6682</v>
      </c>
      <c r="J46" s="43">
        <f>Pars!J40*J15</f>
        <v>17653.307199999999</v>
      </c>
      <c r="K46" s="43">
        <f>Pars!K40*K15</f>
        <v>16588.3308</v>
      </c>
      <c r="L46" s="43">
        <f>Pars!L40*L15</f>
        <v>16395.6571</v>
      </c>
      <c r="M46" s="43">
        <f>Pars!M40*M15</f>
        <v>16181.2263</v>
      </c>
      <c r="N46" s="43">
        <f>Pars!N40*N15</f>
        <v>14728.8838</v>
      </c>
      <c r="O46" s="63">
        <f>Pars!O40*O15</f>
        <v>15624.2894</v>
      </c>
      <c r="P46" s="63">
        <f>Pars!P40*P15</f>
        <v>22411.831699999999</v>
      </c>
      <c r="Q46" s="63">
        <f>Pars!Q40*Q15</f>
        <v>20187</v>
      </c>
      <c r="R46" s="63">
        <f>Pars!R40*R15</f>
        <v>22430</v>
      </c>
      <c r="S46" s="63">
        <f>Pars!S40*S15</f>
        <v>26916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1338.5416</v>
      </c>
      <c r="E47" s="43">
        <f>Pars!E41*E16</f>
        <v>1394.308</v>
      </c>
      <c r="F47" s="43">
        <f>Pars!F41*F16</f>
        <v>1333.3616</v>
      </c>
      <c r="G47" s="43">
        <f>Pars!G41*G16</f>
        <v>1243.5256000000002</v>
      </c>
      <c r="H47" s="43">
        <f>Pars!H41*H16</f>
        <v>1901.7112000000002</v>
      </c>
      <c r="I47" s="43">
        <f>Pars!I41*I16</f>
        <v>1907.1576</v>
      </c>
      <c r="J47" s="43">
        <f>Pars!J41*J16</f>
        <v>2022.6568000000002</v>
      </c>
      <c r="K47" s="43">
        <f>Pars!K41*K16</f>
        <v>1904.7008000000001</v>
      </c>
      <c r="L47" s="43">
        <f>Pars!L41*L16</f>
        <v>2179.9216000000001</v>
      </c>
      <c r="M47" s="43">
        <f>Pars!M41*M16</f>
        <v>2187.8544000000002</v>
      </c>
      <c r="N47" s="43">
        <f>Pars!N41*N16</f>
        <v>2429.1831999999999</v>
      </c>
      <c r="O47" s="63">
        <f>Pars!O41*O16</f>
        <v>2354.8872000000001</v>
      </c>
      <c r="P47" s="63">
        <f>Pars!P41*P16</f>
        <v>2060.5744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1331.82</v>
      </c>
      <c r="E48" s="67">
        <f t="array" ref="E48">SUMPRODUCT(E33:E41,Pars!E44:E52)</f>
        <v>1298.5999999999999</v>
      </c>
      <c r="F48" s="67">
        <f t="array" ref="F48">SUMPRODUCT(F33:F41,Pars!F44:F52)</f>
        <v>3631.02</v>
      </c>
      <c r="G48" s="67">
        <f t="array" ref="G48">SUMPRODUCT(G33:G41,Pars!G44:G52)</f>
        <v>2402.56</v>
      </c>
      <c r="H48" s="67">
        <f t="array" ref="H48">SUMPRODUCT(H33:H41,Pars!H44:H52)</f>
        <v>2687.09</v>
      </c>
      <c r="I48" s="67">
        <f t="array" ref="I48">SUMPRODUCT(I33:I41,Pars!I44:I52)</f>
        <v>5736.6399999999994</v>
      </c>
      <c r="J48" s="67">
        <f t="array" ref="J48">SUMPRODUCT(J33:J41,Pars!J44:J52)</f>
        <v>5321.84</v>
      </c>
      <c r="K48" s="67">
        <f t="array" ref="K48">SUMPRODUCT(K33:K41,Pars!K44:K52)</f>
        <v>4871.7430000000004</v>
      </c>
      <c r="L48" s="67">
        <f t="array" ref="L48">SUMPRODUCT(L33:L41,Pars!L44:L52)</f>
        <v>5474.26</v>
      </c>
      <c r="M48" s="67">
        <f t="array" ref="M48">SUMPRODUCT(M33:M41,Pars!M44:M52)</f>
        <v>8395.130000000001</v>
      </c>
      <c r="N48" s="67">
        <f t="array" ref="N48">SUMPRODUCT(N33:N41,Pars!N44:N52)</f>
        <v>8704.59</v>
      </c>
      <c r="O48" s="67">
        <f t="array" ref="O48">SUMPRODUCT(O33:O41,Pars!O44:O52)</f>
        <v>9079.9699999999993</v>
      </c>
      <c r="P48" s="67">
        <f t="array" ref="P48">SUMPRODUCT(P33:P41,Pars!P44:P52)</f>
        <v>8530.83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20648.9038</v>
      </c>
      <c r="E49" s="67">
        <f t="shared" ref="E49:AC49" si="1">SUM(E46:E48)</f>
        <v>19024.415299999997</v>
      </c>
      <c r="F49" s="67">
        <f t="shared" si="1"/>
        <v>21846.096799999999</v>
      </c>
      <c r="G49" s="67">
        <f t="shared" si="1"/>
        <v>20624.025500000003</v>
      </c>
      <c r="H49" s="67">
        <f t="shared" si="1"/>
        <v>20647.559700000002</v>
      </c>
      <c r="I49" s="67">
        <f t="shared" si="1"/>
        <v>24460.465799999998</v>
      </c>
      <c r="J49" s="67">
        <f t="shared" si="1"/>
        <v>24997.804</v>
      </c>
      <c r="K49" s="67">
        <f t="shared" si="1"/>
        <v>23364.774599999997</v>
      </c>
      <c r="L49" s="67">
        <f t="shared" si="1"/>
        <v>24049.8387</v>
      </c>
      <c r="M49" s="67">
        <f t="shared" si="1"/>
        <v>26764.2107</v>
      </c>
      <c r="N49" s="67">
        <f t="shared" si="1"/>
        <v>25862.656999999999</v>
      </c>
      <c r="O49" s="67">
        <f t="shared" si="1"/>
        <v>27059.1466</v>
      </c>
      <c r="P49" s="67">
        <f t="shared" si="1"/>
        <v>33003.236100000002</v>
      </c>
      <c r="Q49" s="67">
        <f t="shared" si="1"/>
        <v>20187</v>
      </c>
      <c r="R49" s="67">
        <f t="shared" si="1"/>
        <v>22430</v>
      </c>
      <c r="S49" s="67">
        <f t="shared" si="1"/>
        <v>26916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49696.42317984</v>
      </c>
      <c r="E50" s="70">
        <f t="shared" ref="E50:AC50" si="2">E45-E49</f>
        <v>50118.29447287423</v>
      </c>
      <c r="F50" s="70">
        <f t="shared" si="2"/>
        <v>49824.404170550057</v>
      </c>
      <c r="G50" s="70">
        <f t="shared" si="2"/>
        <v>45170.375992955509</v>
      </c>
      <c r="H50" s="70">
        <f t="shared" si="2"/>
        <v>50334.500806957964</v>
      </c>
      <c r="I50" s="70">
        <f t="shared" si="2"/>
        <v>47283.696573588131</v>
      </c>
      <c r="J50" s="70">
        <f t="shared" si="2"/>
        <v>49058.613344695928</v>
      </c>
      <c r="K50" s="70">
        <f t="shared" si="2"/>
        <v>51939.23288186764</v>
      </c>
      <c r="L50" s="70">
        <f t="shared" si="2"/>
        <v>51322.623725740596</v>
      </c>
      <c r="M50" s="70">
        <f t="shared" si="2"/>
        <v>47092.957062930131</v>
      </c>
      <c r="N50" s="70">
        <f t="shared" si="2"/>
        <v>50932.070238455599</v>
      </c>
      <c r="O50" s="70">
        <f t="shared" si="2"/>
        <v>48500.830725923406</v>
      </c>
      <c r="P50" s="70">
        <f t="shared" si="2"/>
        <v>42274.271429429638</v>
      </c>
      <c r="Q50" s="70">
        <f t="shared" si="2"/>
        <v>-20187</v>
      </c>
      <c r="R50" s="70">
        <f t="shared" si="2"/>
        <v>-22430</v>
      </c>
      <c r="S50" s="70">
        <f t="shared" si="2"/>
        <v>-26916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49696.42317984</v>
      </c>
      <c r="E62" s="79">
        <f t="shared" ref="E62:AC62" si="4">E50+E61</f>
        <v>50118.29447287423</v>
      </c>
      <c r="F62" s="79">
        <f t="shared" si="4"/>
        <v>49824.404170550057</v>
      </c>
      <c r="G62" s="79">
        <f t="shared" si="4"/>
        <v>45170.375992955509</v>
      </c>
      <c r="H62" s="79">
        <f t="shared" si="4"/>
        <v>50334.500806957964</v>
      </c>
      <c r="I62" s="79">
        <f t="shared" si="4"/>
        <v>47283.696573588131</v>
      </c>
      <c r="J62" s="79">
        <f t="shared" si="4"/>
        <v>49058.613344695928</v>
      </c>
      <c r="K62" s="79">
        <f t="shared" si="4"/>
        <v>51939.23288186764</v>
      </c>
      <c r="L62" s="79">
        <f t="shared" si="4"/>
        <v>51322.623725740596</v>
      </c>
      <c r="M62" s="79">
        <f t="shared" si="4"/>
        <v>47092.957062930131</v>
      </c>
      <c r="N62" s="79">
        <f t="shared" si="4"/>
        <v>50932.070238455599</v>
      </c>
      <c r="O62" s="79">
        <f t="shared" si="4"/>
        <v>48500.830725923406</v>
      </c>
      <c r="P62" s="79">
        <f t="shared" si="4"/>
        <v>42274.271429429638</v>
      </c>
      <c r="Q62" s="79">
        <f t="shared" si="4"/>
        <v>-20187</v>
      </c>
      <c r="R62" s="79">
        <f t="shared" si="4"/>
        <v>-22430</v>
      </c>
      <c r="S62" s="79">
        <f t="shared" si="4"/>
        <v>-26916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94" priority="5" operator="containsText" text="Nein">
      <formula>NOT(ISERROR(SEARCH("Nein",D22)))</formula>
    </cfRule>
  </conditionalFormatting>
  <conditionalFormatting sqref="D31:AC31">
    <cfRule type="cellIs" dxfId="193" priority="6" operator="equal">
      <formula>"ok"</formula>
    </cfRule>
  </conditionalFormatting>
  <conditionalFormatting sqref="H5:AC12 H14:AC16 H18:AC19 H33:AC41">
    <cfRule type="cellIs" dxfId="192" priority="4" operator="greaterThan">
      <formula>0</formula>
    </cfRule>
  </conditionalFormatting>
  <conditionalFormatting sqref="H6:AC12">
    <cfRule type="expression" dxfId="191" priority="3">
      <formula>NOT(ISBLANK(H6))</formula>
    </cfRule>
  </conditionalFormatting>
  <conditionalFormatting sqref="H18:AC19">
    <cfRule type="expression" dxfId="190" priority="2">
      <formula>NOT(ISBLANK(H18))</formula>
    </cfRule>
  </conditionalFormatting>
  <conditionalFormatting sqref="H56:AC60">
    <cfRule type="cellIs" dxfId="189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E1093A02-3E4A-4810-9861-53CC91DA1679}">
      <formula1>"Ja, Nein"</formula1>
    </dataValidation>
  </dataValidation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C6B2A-9669-410F-8D0B-C11D931E9D26}">
  <sheetPr>
    <tabColor theme="2" tint="-0.499984740745262"/>
  </sheetPr>
  <dimension ref="A1:AD134"/>
  <sheetViews>
    <sheetView topLeftCell="B1"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175</v>
      </c>
      <c r="D1" s="32"/>
      <c r="E1" s="32"/>
    </row>
    <row r="2" spans="1:30" x14ac:dyDescent="0.3">
      <c r="A2" s="30"/>
      <c r="B2" s="31" t="s">
        <v>86</v>
      </c>
      <c r="C2" s="33" t="s">
        <v>176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122070</v>
      </c>
      <c r="E5" s="42">
        <v>122070</v>
      </c>
      <c r="F5" s="42">
        <v>122070</v>
      </c>
      <c r="G5" s="42">
        <v>122070</v>
      </c>
      <c r="H5" s="43">
        <v>122070</v>
      </c>
      <c r="I5" s="43">
        <v>129512</v>
      </c>
      <c r="J5" s="43">
        <v>114442</v>
      </c>
      <c r="K5" s="43">
        <v>115098.56565049337</v>
      </c>
      <c r="L5" s="43">
        <v>114535</v>
      </c>
      <c r="M5" s="43">
        <v>114395</v>
      </c>
      <c r="N5" s="43">
        <v>113272</v>
      </c>
      <c r="O5" s="43">
        <v>112855</v>
      </c>
      <c r="P5" s="43">
        <v>116626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112120</v>
      </c>
      <c r="E6" s="42">
        <v>111880</v>
      </c>
      <c r="F6" s="42">
        <v>116392</v>
      </c>
      <c r="G6" s="42">
        <v>109723</v>
      </c>
      <c r="H6" s="47">
        <v>113180</v>
      </c>
      <c r="I6" s="47">
        <v>111607</v>
      </c>
      <c r="J6" s="47">
        <v>115207</v>
      </c>
      <c r="K6" s="47">
        <v>114188.511</v>
      </c>
      <c r="L6" s="47">
        <v>113385</v>
      </c>
      <c r="M6" s="47">
        <v>111776</v>
      </c>
      <c r="N6" s="47">
        <v>112610</v>
      </c>
      <c r="O6" s="47">
        <v>110411</v>
      </c>
      <c r="P6" s="47">
        <v>110079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0</v>
      </c>
      <c r="E7" s="42">
        <v>0</v>
      </c>
      <c r="F7" s="42">
        <v>0</v>
      </c>
      <c r="G7" s="42">
        <v>0</v>
      </c>
      <c r="H7" s="47">
        <v>0</v>
      </c>
      <c r="I7" s="47">
        <v>0</v>
      </c>
      <c r="J7" s="47">
        <v>0</v>
      </c>
      <c r="K7" s="47">
        <v>0</v>
      </c>
      <c r="L7" s="47">
        <v>0</v>
      </c>
      <c r="M7" s="47">
        <v>0</v>
      </c>
      <c r="N7" s="47">
        <v>0</v>
      </c>
      <c r="O7" s="47">
        <v>0</v>
      </c>
      <c r="P7" s="47">
        <v>0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>
        <v>137</v>
      </c>
      <c r="J8" s="47">
        <v>2814</v>
      </c>
      <c r="K8" s="47">
        <v>2729.55</v>
      </c>
      <c r="L8" s="47">
        <v>1497</v>
      </c>
      <c r="M8" s="47">
        <v>1091</v>
      </c>
      <c r="N8" s="47">
        <v>1056</v>
      </c>
      <c r="O8" s="47">
        <v>1496</v>
      </c>
      <c r="P8" s="47">
        <v>1139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>
        <v>2525</v>
      </c>
      <c r="F9" s="42">
        <v>262</v>
      </c>
      <c r="G9" s="42">
        <v>2778</v>
      </c>
      <c r="H9" s="47">
        <v>6487</v>
      </c>
      <c r="I9" s="47">
        <v>11083</v>
      </c>
      <c r="J9" s="47">
        <v>7990</v>
      </c>
      <c r="K9" s="47">
        <v>8827.89</v>
      </c>
      <c r="L9" s="47">
        <v>8210</v>
      </c>
      <c r="M9" s="47">
        <v>4785</v>
      </c>
      <c r="N9" s="47">
        <v>4001</v>
      </c>
      <c r="O9" s="47">
        <v>3561</v>
      </c>
      <c r="P9" s="47">
        <v>4668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>
        <v>3472</v>
      </c>
      <c r="F10" s="42">
        <v>1885</v>
      </c>
      <c r="G10" s="42">
        <v>6690</v>
      </c>
      <c r="H10" s="47">
        <v>6458</v>
      </c>
      <c r="I10" s="47">
        <v>8862</v>
      </c>
      <c r="J10" s="47">
        <v>9121</v>
      </c>
      <c r="K10" s="47">
        <v>8549.02</v>
      </c>
      <c r="L10" s="47">
        <v>5444</v>
      </c>
      <c r="M10" s="47">
        <v>7020</v>
      </c>
      <c r="N10" s="47">
        <v>8366</v>
      </c>
      <c r="O10" s="47">
        <v>10184</v>
      </c>
      <c r="P10" s="47">
        <v>8859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>
        <v>0</v>
      </c>
      <c r="J11" s="47"/>
      <c r="K11" s="47"/>
      <c r="L11" s="47"/>
      <c r="M11" s="47"/>
      <c r="N11" s="47"/>
      <c r="O11" s="47"/>
      <c r="P11" s="47">
        <v>0</v>
      </c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14.025</v>
      </c>
      <c r="E14" s="51">
        <v>13.523</v>
      </c>
      <c r="F14" s="51">
        <v>13.1</v>
      </c>
      <c r="G14" s="51">
        <v>12.47</v>
      </c>
      <c r="H14" s="84">
        <v>11.75</v>
      </c>
      <c r="I14" s="84">
        <v>11.63</v>
      </c>
      <c r="J14" s="84">
        <v>11.45</v>
      </c>
      <c r="K14" s="84">
        <v>11.55</v>
      </c>
      <c r="L14" s="84">
        <v>11.63</v>
      </c>
      <c r="M14" s="84">
        <v>11.54</v>
      </c>
      <c r="N14" s="84">
        <v>11.834</v>
      </c>
      <c r="O14" s="84">
        <v>11.84</v>
      </c>
      <c r="P14" s="84">
        <v>11.69</v>
      </c>
      <c r="Q14" s="84"/>
      <c r="R14" s="84"/>
      <c r="S14" s="84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2079</v>
      </c>
      <c r="E15" s="42">
        <v>1973</v>
      </c>
      <c r="F15" s="42">
        <v>2139</v>
      </c>
      <c r="G15" s="42">
        <v>2288</v>
      </c>
      <c r="H15" s="47">
        <v>3043</v>
      </c>
      <c r="I15" s="47">
        <v>3811</v>
      </c>
      <c r="J15" s="47">
        <v>3610</v>
      </c>
      <c r="K15" s="47">
        <v>5020</v>
      </c>
      <c r="L15" s="47">
        <v>10478</v>
      </c>
      <c r="M15" s="47">
        <v>15000</v>
      </c>
      <c r="N15" s="47">
        <v>14242</v>
      </c>
      <c r="O15" s="47">
        <v>18782</v>
      </c>
      <c r="P15" s="47">
        <v>24640</v>
      </c>
      <c r="Q15" s="47">
        <v>27000</v>
      </c>
      <c r="R15" s="47">
        <v>30000</v>
      </c>
      <c r="S15" s="47">
        <v>32000</v>
      </c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63606</v>
      </c>
      <c r="E16" s="42">
        <v>58860</v>
      </c>
      <c r="F16" s="42">
        <v>62616</v>
      </c>
      <c r="G16" s="42">
        <v>60223</v>
      </c>
      <c r="H16" s="47">
        <v>63826</v>
      </c>
      <c r="I16" s="47">
        <v>62224</v>
      </c>
      <c r="J16" s="47">
        <v>64327</v>
      </c>
      <c r="K16" s="47">
        <v>64183</v>
      </c>
      <c r="L16" s="47">
        <v>36889</v>
      </c>
      <c r="M16" s="47">
        <v>62000</v>
      </c>
      <c r="N16" s="47">
        <v>63036</v>
      </c>
      <c r="O16" s="47">
        <v>62155</v>
      </c>
      <c r="P16" s="47">
        <v>59201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26005</v>
      </c>
      <c r="E18" s="42">
        <v>25003</v>
      </c>
      <c r="F18" s="42">
        <v>25654</v>
      </c>
      <c r="G18" s="42">
        <v>27160</v>
      </c>
      <c r="H18" s="43">
        <v>25821</v>
      </c>
      <c r="I18" s="43">
        <v>25821</v>
      </c>
      <c r="J18" s="43">
        <v>27127</v>
      </c>
      <c r="K18" s="43">
        <v>27868.2</v>
      </c>
      <c r="L18" s="43">
        <v>25647</v>
      </c>
      <c r="M18" s="43">
        <v>25150</v>
      </c>
      <c r="N18" s="43">
        <v>32258</v>
      </c>
      <c r="O18" s="43">
        <v>31791</v>
      </c>
      <c r="P18" s="43">
        <v>30322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2540</v>
      </c>
      <c r="E19" s="42">
        <v>2436</v>
      </c>
      <c r="F19" s="42">
        <v>3100</v>
      </c>
      <c r="G19" s="42">
        <v>2700</v>
      </c>
      <c r="H19" s="47">
        <v>2472</v>
      </c>
      <c r="I19" s="47">
        <v>2712</v>
      </c>
      <c r="J19" s="47">
        <v>2401</v>
      </c>
      <c r="K19" s="47">
        <v>2390</v>
      </c>
      <c r="L19" s="47">
        <v>2417</v>
      </c>
      <c r="M19" s="47">
        <v>2304</v>
      </c>
      <c r="N19" s="47">
        <v>2429</v>
      </c>
      <c r="O19" s="47">
        <v>2387</v>
      </c>
      <c r="P19" s="47">
        <v>2318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112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113</v>
      </c>
      <c r="G23" s="59" t="s">
        <v>113</v>
      </c>
      <c r="H23" s="59" t="s">
        <v>113</v>
      </c>
      <c r="I23" s="59" t="s">
        <v>113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112</v>
      </c>
      <c r="F25" s="59" t="s">
        <v>112</v>
      </c>
      <c r="G25" s="59" t="s">
        <v>112</v>
      </c>
      <c r="H25" s="59" t="s">
        <v>112</v>
      </c>
      <c r="I25" s="59" t="s">
        <v>112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112</v>
      </c>
      <c r="K26" s="59" t="s">
        <v>112</v>
      </c>
      <c r="L26" s="59" t="s">
        <v>112</v>
      </c>
      <c r="M26" s="59" t="s">
        <v>112</v>
      </c>
      <c r="N26" s="59" t="s">
        <v>112</v>
      </c>
      <c r="O26" s="59" t="s">
        <v>112</v>
      </c>
      <c r="P26" s="59" t="s">
        <v>112</v>
      </c>
      <c r="Q26" s="59" t="s">
        <v>112</v>
      </c>
      <c r="R26" s="59" t="s">
        <v>112</v>
      </c>
      <c r="S26" s="59" t="s">
        <v>112</v>
      </c>
      <c r="T26" s="59" t="s">
        <v>112</v>
      </c>
      <c r="U26" s="59" t="s">
        <v>112</v>
      </c>
      <c r="V26" s="59" t="s">
        <v>112</v>
      </c>
      <c r="W26" s="59" t="s">
        <v>112</v>
      </c>
      <c r="X26" s="59" t="s">
        <v>112</v>
      </c>
      <c r="Y26" s="59" t="s">
        <v>112</v>
      </c>
      <c r="Z26" s="59" t="s">
        <v>112</v>
      </c>
      <c r="AA26" s="59" t="s">
        <v>112</v>
      </c>
      <c r="AB26" s="59" t="s">
        <v>112</v>
      </c>
      <c r="AC26" s="59" t="s">
        <v>112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1661</v>
      </c>
      <c r="E33" s="47">
        <v>1741</v>
      </c>
      <c r="F33" s="47">
        <v>2025</v>
      </c>
      <c r="G33" s="47">
        <v>2208</v>
      </c>
      <c r="H33" s="43">
        <v>2224</v>
      </c>
      <c r="I33" s="43">
        <v>2008</v>
      </c>
      <c r="J33" s="43">
        <v>2338</v>
      </c>
      <c r="K33" s="43">
        <v>2024.2</v>
      </c>
      <c r="L33" s="43">
        <v>2494</v>
      </c>
      <c r="M33" s="43">
        <v>2497</v>
      </c>
      <c r="N33" s="43">
        <v>2439</v>
      </c>
      <c r="O33" s="63">
        <v>2484</v>
      </c>
      <c r="P33" s="63">
        <v>2126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352</v>
      </c>
      <c r="K34" s="47">
        <v>417</v>
      </c>
      <c r="L34" s="47">
        <v>387</v>
      </c>
      <c r="M34" s="47">
        <v>340</v>
      </c>
      <c r="N34" s="47">
        <v>415</v>
      </c>
      <c r="O34" s="64">
        <v>446</v>
      </c>
      <c r="P34" s="64">
        <v>427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>
        <v>0</v>
      </c>
      <c r="E37" s="47">
        <v>33.0687</v>
      </c>
      <c r="F37" s="47">
        <v>42.082500000000003</v>
      </c>
      <c r="G37" s="47">
        <v>36.652500000000003</v>
      </c>
      <c r="H37" s="47">
        <v>35</v>
      </c>
      <c r="I37" s="47">
        <v>78</v>
      </c>
      <c r="J37" s="47">
        <v>62</v>
      </c>
      <c r="K37" s="47">
        <v>70.98</v>
      </c>
      <c r="L37" s="47">
        <v>90</v>
      </c>
      <c r="M37" s="47">
        <v>47</v>
      </c>
      <c r="N37" s="47">
        <v>45</v>
      </c>
      <c r="O37" s="64">
        <v>62</v>
      </c>
      <c r="P37" s="64">
        <v>60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0</v>
      </c>
      <c r="E41" s="47">
        <v>295.81674374999994</v>
      </c>
      <c r="F41" s="47">
        <v>303.51888750000001</v>
      </c>
      <c r="G41" s="47">
        <v>321.33674999999999</v>
      </c>
      <c r="H41" s="47">
        <v>594</v>
      </c>
      <c r="I41" s="47">
        <v>589</v>
      </c>
      <c r="J41" s="47">
        <v>189</v>
      </c>
      <c r="K41" s="47">
        <v>641</v>
      </c>
      <c r="L41" s="47">
        <v>595</v>
      </c>
      <c r="M41" s="47">
        <v>559</v>
      </c>
      <c r="N41" s="47">
        <v>225</v>
      </c>
      <c r="O41" s="64">
        <v>223</v>
      </c>
      <c r="P41" s="64">
        <v>230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(Pars!D56+(D_GL_1!D14-Pars!D57)*Pars!D58)/Pars!D59</f>
        <v>0.34288999999999997</v>
      </c>
      <c r="E43" s="66">
        <f>(Pars!E56+(D_GL_1!E14-Pars!E57)*Pars!E58)/Pars!E59</f>
        <v>0.33305046694953305</v>
      </c>
      <c r="F43" s="66">
        <f>(Pars!F56+(D_GL_1!F14-Pars!F57)*Pars!F58)/Pars!F59</f>
        <v>0.32475935048129906</v>
      </c>
      <c r="G43" s="66">
        <f>(Pars!G56+(D_GL_1!G14-Pars!G57)*Pars!G58)/Pars!G59</f>
        <v>0.31241106276681169</v>
      </c>
      <c r="H43" s="66">
        <f>(Pars!H56+(D_GL_1!H14-Pars!H57)*Pars!H58)/Pars!H59</f>
        <v>0.29829880680477278</v>
      </c>
      <c r="I43" s="66">
        <f>(Pars!I56+(D_GL_1!I14-Pars!I57)*Pars!I58)/Pars!I59</f>
        <v>0.29594652026739865</v>
      </c>
      <c r="J43" s="66">
        <f>(Pars!J56+(D_GL_1!J14-Pars!J57)*Pars!J58)/Pars!J59</f>
        <v>0.29241824549052708</v>
      </c>
      <c r="K43" s="66">
        <f>(Pars!K56+(D_GL_1!K14-Pars!K57)*Pars!K58)/Pars!K59</f>
        <v>0.29437793935442452</v>
      </c>
      <c r="L43" s="66">
        <f>(Pars!L56+(D_GL_1!L14-Pars!L57)*Pars!L58)/Pars!L59</f>
        <v>0.29594563243494054</v>
      </c>
      <c r="M43" s="66">
        <f>(Pars!M56+(D_GL_1!M14-Pars!M57)*Pars!M58)/Pars!M59</f>
        <v>0.29418135236782866</v>
      </c>
      <c r="N43" s="66">
        <f>(Pars!N56+(D_GL_1!N14-Pars!N57)*Pars!N58)/Pars!N59</f>
        <v>0.29994340056599439</v>
      </c>
      <c r="O43" s="66">
        <f>(Pars!O56+(D_GL_1!O14-Pars!O57)*Pars!O58)/Pars!O59</f>
        <v>0.30006069933230733</v>
      </c>
      <c r="P43" s="66">
        <f>(Pars!P56+(D_GL_1!P14-Pars!P57)*Pars!P58)/Pars!P59</f>
        <v>0.29712043455478532</v>
      </c>
      <c r="Q43" s="66">
        <f>(Pars!Q56+(D_GL_1!Q14-Pars!Q57)*Pars!Q58)/Pars!Q59</f>
        <v>6.7999116011491847E-2</v>
      </c>
      <c r="R43" s="66">
        <f>(Pars!R56+(D_GL_1!R14-Pars!R57)*Pars!R58)/Pars!R59</f>
        <v>6.7999048013327817E-2</v>
      </c>
      <c r="S43" s="66">
        <f>(Pars!S56+(D_GL_1!S14-Pars!S57)*Pars!S58)/Pars!S59</f>
        <v>6.7998980015299776E-2</v>
      </c>
      <c r="T43" s="66">
        <f>(Pars!T56+(D_GL_1!T14-Pars!T57)*Pars!T58)/Pars!T59</f>
        <v>6.7998980015299776E-2</v>
      </c>
      <c r="U43" s="66">
        <f>(Pars!U56+(D_GL_1!U14-Pars!U57)*Pars!U58)/Pars!U59</f>
        <v>6.7998980015299776E-2</v>
      </c>
      <c r="V43" s="66">
        <f>(Pars!V56+(D_GL_1!V14-Pars!V57)*Pars!V58)/Pars!V59</f>
        <v>6.7998980015299776E-2</v>
      </c>
      <c r="W43" s="66">
        <f>(Pars!W56+(D_GL_1!W14-Pars!W57)*Pars!W58)/Pars!W59</f>
        <v>6.7998980015299776E-2</v>
      </c>
      <c r="X43" s="66">
        <f>(Pars!X56+(D_GL_1!X14-Pars!X57)*Pars!X58)/Pars!X59</f>
        <v>6.7998980015299776E-2</v>
      </c>
      <c r="Y43" s="66">
        <f>(Pars!Y56+(D_GL_1!Y14-Pars!Y57)*Pars!Y58)/Pars!Y59</f>
        <v>6.7998980015299776E-2</v>
      </c>
      <c r="Z43" s="66">
        <f>(Pars!Z56+(D_GL_1!Z14-Pars!Z57)*Pars!Z58)/Pars!Z59</f>
        <v>6.7998980015299776E-2</v>
      </c>
      <c r="AA43" s="66">
        <f>(Pars!AA56+(D_GL_1!AA14-Pars!AA57)*Pars!AA58)/Pars!AA59</f>
        <v>6.7998980015299776E-2</v>
      </c>
      <c r="AB43" s="66">
        <f>(Pars!AB56+(D_GL_1!AB14-Pars!AB57)*Pars!AB58)/Pars!AB59</f>
        <v>6.7998980015299776E-2</v>
      </c>
      <c r="AC43" s="66">
        <f>(Pars!AC56+(D_GL_1!AC14-Pars!AC57)*Pars!AC58)/Pars!AC59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140964.3649333333</v>
      </c>
      <c r="E44" s="43">
        <f>Pars!E37*E43*E6</f>
        <v>136626.18288848377</v>
      </c>
      <c r="F44" s="43">
        <f>Pars!F37*F43*F6</f>
        <v>138597.76451113765</v>
      </c>
      <c r="G44" s="43">
        <f>Pars!G37*G43*G6</f>
        <v>125688.48981319723</v>
      </c>
      <c r="H44" s="43">
        <f>Pars!H37*H43*H6</f>
        <v>123792.01616526865</v>
      </c>
      <c r="I44" s="43">
        <f>Pars!I37*I43*I6</f>
        <v>121108.91205410637</v>
      </c>
      <c r="J44" s="43">
        <f>Pars!J37*J43*J6</f>
        <v>123524.97229683289</v>
      </c>
      <c r="K44" s="43">
        <f>Pars!K37*K43*K6</f>
        <v>123253.4547424768</v>
      </c>
      <c r="L44" s="43">
        <f>Pars!L37*L43*L6</f>
        <v>123037.91695666435</v>
      </c>
      <c r="M44" s="43">
        <f>Pars!M37*M43*M6</f>
        <v>120568.85442164354</v>
      </c>
      <c r="N44" s="43">
        <f>Pars!N37*N43*N6</f>
        <v>123847.62990503429</v>
      </c>
      <c r="O44" s="63">
        <f>Pars!O37*O43*O6</f>
        <v>121476.67353792441</v>
      </c>
      <c r="P44" s="63">
        <f>Pars!P37*P43*P6</f>
        <v>119924.64115630611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67662.895167999988</v>
      </c>
      <c r="E45" s="43">
        <f>E44*Pars!E36/100</f>
        <v>65580.567786472209</v>
      </c>
      <c r="F45" s="43">
        <f>F44*Pars!F36/100</f>
        <v>66526.92696534608</v>
      </c>
      <c r="G45" s="43">
        <f>G44*Pars!G36/100</f>
        <v>60330.475110334672</v>
      </c>
      <c r="H45" s="43">
        <f>H44*Pars!H36/100</f>
        <v>59420.16775932895</v>
      </c>
      <c r="I45" s="43">
        <f>I44*Pars!I36/100</f>
        <v>58132.277785971062</v>
      </c>
      <c r="J45" s="43">
        <f>J44*Pars!J36/100</f>
        <v>59291.986702479786</v>
      </c>
      <c r="K45" s="43">
        <f>K44*Pars!K36/100</f>
        <v>59161.658276388858</v>
      </c>
      <c r="L45" s="43">
        <f>L44*Pars!L36/100</f>
        <v>59058.200139198889</v>
      </c>
      <c r="M45" s="43">
        <f>M44*Pars!M36/100</f>
        <v>57873.0501223889</v>
      </c>
      <c r="N45" s="43">
        <f>N44*Pars!N36/100</f>
        <v>59446.862354416458</v>
      </c>
      <c r="O45" s="63">
        <f>O44*Pars!O36/100</f>
        <v>58308.803298203711</v>
      </c>
      <c r="P45" s="63">
        <f>P44*Pars!P36/100</f>
        <v>57563.827755026927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466.31970000000001</v>
      </c>
      <c r="E46" s="43">
        <f>Pars!E40*E15</f>
        <v>442.54390000000001</v>
      </c>
      <c r="F46" s="43">
        <f>Pars!F40*F15</f>
        <v>479.77769999999998</v>
      </c>
      <c r="G46" s="43">
        <f>Pars!G40*G15</f>
        <v>513.19839999999999</v>
      </c>
      <c r="H46" s="43">
        <f>Pars!H40*H15</f>
        <v>682.54489999999998</v>
      </c>
      <c r="I46" s="43">
        <f>Pars!I40*I15</f>
        <v>854.80729999999994</v>
      </c>
      <c r="J46" s="43">
        <f>Pars!J40*J15</f>
        <v>809.72299999999996</v>
      </c>
      <c r="K46" s="43">
        <f>Pars!K40*K15</f>
        <v>1125.9860000000001</v>
      </c>
      <c r="L46" s="43">
        <f>Pars!L40*L15</f>
        <v>2350.2154</v>
      </c>
      <c r="M46" s="43">
        <f>Pars!M40*M15</f>
        <v>3364.5</v>
      </c>
      <c r="N46" s="43">
        <f>Pars!N40*N15</f>
        <v>3194.4805999999999</v>
      </c>
      <c r="O46" s="63">
        <f>Pars!O40*O15</f>
        <v>4212.8026</v>
      </c>
      <c r="P46" s="63">
        <f>Pars!P40*P15</f>
        <v>5526.7520000000004</v>
      </c>
      <c r="Q46" s="63">
        <f>Pars!Q40*Q15</f>
        <v>6056.1</v>
      </c>
      <c r="R46" s="63">
        <f>Pars!R40*R15</f>
        <v>6729</v>
      </c>
      <c r="S46" s="63">
        <f>Pars!S40*S15</f>
        <v>7177.6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1882.7376000000002</v>
      </c>
      <c r="E47" s="43">
        <f>Pars!E41*E16</f>
        <v>1742.2560000000001</v>
      </c>
      <c r="F47" s="43">
        <f>Pars!F41*F16</f>
        <v>1853.4336000000001</v>
      </c>
      <c r="G47" s="43">
        <f>Pars!G41*G16</f>
        <v>1782.6008000000002</v>
      </c>
      <c r="H47" s="43">
        <f>Pars!H41*H16</f>
        <v>1889.2496000000001</v>
      </c>
      <c r="I47" s="43">
        <f>Pars!I41*I16</f>
        <v>1841.8304000000001</v>
      </c>
      <c r="J47" s="43">
        <f>Pars!J41*J16</f>
        <v>1904.0792000000001</v>
      </c>
      <c r="K47" s="43">
        <f>Pars!K41*K16</f>
        <v>1899.8168000000001</v>
      </c>
      <c r="L47" s="43">
        <f>Pars!L41*L16</f>
        <v>1091.9144000000001</v>
      </c>
      <c r="M47" s="43">
        <f>Pars!M41*M16</f>
        <v>1835.2</v>
      </c>
      <c r="N47" s="43">
        <f>Pars!N41*N16</f>
        <v>1865.8656000000001</v>
      </c>
      <c r="O47" s="63">
        <f>Pars!O41*O16</f>
        <v>1839.788</v>
      </c>
      <c r="P47" s="63">
        <f>Pars!P41*P16</f>
        <v>1752.3496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2508.11</v>
      </c>
      <c r="E48" s="67">
        <f t="array" ref="E48">SUMPRODUCT(E33:E41,Pars!E44:E52)</f>
        <v>4188.6813467499996</v>
      </c>
      <c r="F48" s="67">
        <f t="array" ref="F48">SUMPRODUCT(F33:F41,Pars!F44:F52)</f>
        <v>4678.0257375000001</v>
      </c>
      <c r="G48" s="67">
        <f t="array" ref="G48">SUMPRODUCT(G33:G41,Pars!G44:G52)</f>
        <v>5030.1958500000001</v>
      </c>
      <c r="H48" s="67">
        <f t="array" ref="H48">SUMPRODUCT(H33:H41,Pars!H44:H52)</f>
        <v>6413.64</v>
      </c>
      <c r="I48" s="67">
        <f t="array" ref="I48">SUMPRODUCT(I33:I41,Pars!I44:I52)</f>
        <v>6167.4</v>
      </c>
      <c r="J48" s="67">
        <f t="array" ref="J48">SUMPRODUCT(J33:J41,Pars!J44:J52)</f>
        <v>7685.54</v>
      </c>
      <c r="K48" s="67">
        <f t="array" ref="K48">SUMPRODUCT(K33:K41,Pars!K44:K52)</f>
        <v>10058.4632</v>
      </c>
      <c r="L48" s="67">
        <f t="array" ref="L48">SUMPRODUCT(L33:L41,Pars!L44:L52)</f>
        <v>10323.57</v>
      </c>
      <c r="M48" s="67">
        <f t="array" ref="M48">SUMPRODUCT(M33:M41,Pars!M44:M52)</f>
        <v>9634.75</v>
      </c>
      <c r="N48" s="67">
        <f t="array" ref="N48">SUMPRODUCT(N33:N41,Pars!N44:N52)</f>
        <v>8524.0400000000009</v>
      </c>
      <c r="O48" s="67">
        <f t="array" ref="O48">SUMPRODUCT(O33:O41,Pars!O44:O52)</f>
        <v>8892.86</v>
      </c>
      <c r="P48" s="67">
        <f t="array" ref="P48">SUMPRODUCT(P33:P41,Pars!P44:P52)</f>
        <v>8217.2899999999991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4857.167300000001</v>
      </c>
      <c r="E49" s="67">
        <f t="shared" ref="E49:AC49" si="1">SUM(E46:E48)</f>
        <v>6373.4812467499996</v>
      </c>
      <c r="F49" s="67">
        <f t="shared" si="1"/>
        <v>7011.2370375</v>
      </c>
      <c r="G49" s="67">
        <f t="shared" si="1"/>
        <v>7325.9950500000004</v>
      </c>
      <c r="H49" s="67">
        <f t="shared" si="1"/>
        <v>8985.4344999999994</v>
      </c>
      <c r="I49" s="67">
        <f t="shared" si="1"/>
        <v>8864.0377000000008</v>
      </c>
      <c r="J49" s="67">
        <f t="shared" si="1"/>
        <v>10399.342199999999</v>
      </c>
      <c r="K49" s="67">
        <f t="shared" si="1"/>
        <v>13084.266</v>
      </c>
      <c r="L49" s="67">
        <f t="shared" si="1"/>
        <v>13765.6998</v>
      </c>
      <c r="M49" s="67">
        <f t="shared" si="1"/>
        <v>14834.45</v>
      </c>
      <c r="N49" s="67">
        <f t="shared" si="1"/>
        <v>13584.386200000001</v>
      </c>
      <c r="O49" s="67">
        <f t="shared" si="1"/>
        <v>14945.4506</v>
      </c>
      <c r="P49" s="67">
        <f t="shared" si="1"/>
        <v>15496.391599999999</v>
      </c>
      <c r="Q49" s="67">
        <f t="shared" si="1"/>
        <v>6056.1</v>
      </c>
      <c r="R49" s="67">
        <f t="shared" si="1"/>
        <v>6729</v>
      </c>
      <c r="S49" s="67">
        <f t="shared" si="1"/>
        <v>7177.6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62805.727867999987</v>
      </c>
      <c r="E50" s="70">
        <f t="shared" ref="E50:AC50" si="2">E45-E49</f>
        <v>59207.086539722208</v>
      </c>
      <c r="F50" s="70">
        <f t="shared" si="2"/>
        <v>59515.689927846077</v>
      </c>
      <c r="G50" s="70">
        <f t="shared" si="2"/>
        <v>53004.480060334674</v>
      </c>
      <c r="H50" s="70">
        <f t="shared" si="2"/>
        <v>50434.733259328947</v>
      </c>
      <c r="I50" s="70">
        <f t="shared" si="2"/>
        <v>49268.240085971061</v>
      </c>
      <c r="J50" s="70">
        <f t="shared" si="2"/>
        <v>48892.644502479787</v>
      </c>
      <c r="K50" s="70">
        <f t="shared" si="2"/>
        <v>46077.392276388855</v>
      </c>
      <c r="L50" s="70">
        <f t="shared" si="2"/>
        <v>45292.500339198887</v>
      </c>
      <c r="M50" s="70">
        <f t="shared" si="2"/>
        <v>43038.600122388903</v>
      </c>
      <c r="N50" s="70">
        <f t="shared" si="2"/>
        <v>45862.476154416458</v>
      </c>
      <c r="O50" s="70">
        <f t="shared" si="2"/>
        <v>43363.352698203715</v>
      </c>
      <c r="P50" s="70">
        <f t="shared" si="2"/>
        <v>42067.436155026924</v>
      </c>
      <c r="Q50" s="70">
        <f t="shared" si="2"/>
        <v>-6056.1</v>
      </c>
      <c r="R50" s="70">
        <f t="shared" si="2"/>
        <v>-6729</v>
      </c>
      <c r="S50" s="70">
        <f t="shared" si="2"/>
        <v>-7177.6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669</v>
      </c>
      <c r="M56" s="47">
        <v>904</v>
      </c>
      <c r="N56" s="47">
        <v>1103</v>
      </c>
      <c r="O56" s="64">
        <f>1007+93</f>
        <v>1100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669</v>
      </c>
      <c r="M61" s="76">
        <f t="shared" si="3"/>
        <v>904</v>
      </c>
      <c r="N61" s="76">
        <f t="shared" si="3"/>
        <v>1103</v>
      </c>
      <c r="O61" s="76">
        <f t="shared" si="3"/>
        <v>1100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62805.727867999987</v>
      </c>
      <c r="E62" s="79">
        <f t="shared" ref="E62:AC62" si="4">E50+E61</f>
        <v>59207.086539722208</v>
      </c>
      <c r="F62" s="79">
        <f t="shared" si="4"/>
        <v>59515.689927846077</v>
      </c>
      <c r="G62" s="79">
        <f t="shared" si="4"/>
        <v>53004.480060334674</v>
      </c>
      <c r="H62" s="79">
        <f t="shared" si="4"/>
        <v>50434.733259328947</v>
      </c>
      <c r="I62" s="79">
        <f t="shared" si="4"/>
        <v>49268.240085971061</v>
      </c>
      <c r="J62" s="79">
        <f t="shared" si="4"/>
        <v>48892.644502479787</v>
      </c>
      <c r="K62" s="79">
        <f t="shared" si="4"/>
        <v>46077.392276388855</v>
      </c>
      <c r="L62" s="79">
        <f t="shared" si="4"/>
        <v>45961.500339198887</v>
      </c>
      <c r="M62" s="79">
        <f t="shared" si="4"/>
        <v>43942.600122388903</v>
      </c>
      <c r="N62" s="79">
        <f t="shared" si="4"/>
        <v>46965.476154416458</v>
      </c>
      <c r="O62" s="79">
        <f t="shared" si="4"/>
        <v>44463.352698203715</v>
      </c>
      <c r="P62" s="79">
        <f t="shared" si="4"/>
        <v>42067.436155026924</v>
      </c>
      <c r="Q62" s="79">
        <f t="shared" si="4"/>
        <v>-6056.1</v>
      </c>
      <c r="R62" s="79">
        <f t="shared" si="4"/>
        <v>-6729</v>
      </c>
      <c r="S62" s="79">
        <f t="shared" si="4"/>
        <v>-7177.6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40" priority="5" operator="containsText" text="Nein">
      <formula>NOT(ISERROR(SEARCH("Nein",D22)))</formula>
    </cfRule>
  </conditionalFormatting>
  <conditionalFormatting sqref="D31:AC31">
    <cfRule type="cellIs" dxfId="139" priority="6" operator="equal">
      <formula>"ok"</formula>
    </cfRule>
  </conditionalFormatting>
  <conditionalFormatting sqref="H5:AC12 H14:AC16 H18:AC19 H33:AC41">
    <cfRule type="cellIs" dxfId="138" priority="4" operator="greaterThan">
      <formula>0</formula>
    </cfRule>
  </conditionalFormatting>
  <conditionalFormatting sqref="H6:AC12">
    <cfRule type="expression" dxfId="137" priority="3">
      <formula>NOT(ISBLANK(H6))</formula>
    </cfRule>
  </conditionalFormatting>
  <conditionalFormatting sqref="H18:AC19">
    <cfRule type="expression" dxfId="136" priority="2">
      <formula>NOT(ISBLANK(H18))</formula>
    </cfRule>
  </conditionalFormatting>
  <conditionalFormatting sqref="H56:AC60">
    <cfRule type="cellIs" dxfId="135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11B415E8-B07E-4A98-A68C-C138E92E4C8C}">
      <formula1>"Ja, Nein"</formula1>
    </dataValidation>
  </dataValidation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EE806-07E8-4126-BA30-0E3A5E378086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177</v>
      </c>
      <c r="D1" s="32"/>
      <c r="E1" s="32"/>
    </row>
    <row r="2" spans="1:30" x14ac:dyDescent="0.3">
      <c r="A2" s="30"/>
      <c r="B2" s="31" t="s">
        <v>86</v>
      </c>
      <c r="C2" s="33" t="s">
        <v>178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95000</v>
      </c>
      <c r="E5" s="42">
        <v>95000</v>
      </c>
      <c r="F5" s="42">
        <v>95000</v>
      </c>
      <c r="G5" s="42">
        <v>95000</v>
      </c>
      <c r="H5" s="43">
        <v>95000</v>
      </c>
      <c r="I5" s="43">
        <v>95000</v>
      </c>
      <c r="J5" s="43">
        <v>95000</v>
      </c>
      <c r="K5" s="43">
        <v>95000</v>
      </c>
      <c r="L5" s="43">
        <v>95000</v>
      </c>
      <c r="M5" s="43">
        <v>95000</v>
      </c>
      <c r="N5" s="43">
        <v>110000</v>
      </c>
      <c r="O5" s="43">
        <v>115000</v>
      </c>
      <c r="P5" s="43">
        <v>119429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92772</v>
      </c>
      <c r="E6" s="42">
        <v>101737</v>
      </c>
      <c r="F6" s="42">
        <v>102836</v>
      </c>
      <c r="G6" s="42">
        <v>102576</v>
      </c>
      <c r="H6" s="47">
        <v>107546</v>
      </c>
      <c r="I6" s="47">
        <v>105194</v>
      </c>
      <c r="J6" s="47">
        <v>106149</v>
      </c>
      <c r="K6" s="47">
        <v>110399</v>
      </c>
      <c r="L6" s="47">
        <v>111868</v>
      </c>
      <c r="M6" s="47">
        <v>110746</v>
      </c>
      <c r="N6" s="47">
        <v>114678</v>
      </c>
      <c r="O6" s="47">
        <v>112138</v>
      </c>
      <c r="P6" s="47">
        <v>106154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0</v>
      </c>
      <c r="E7" s="42">
        <v>0</v>
      </c>
      <c r="F7" s="42">
        <v>0</v>
      </c>
      <c r="G7" s="42">
        <v>0</v>
      </c>
      <c r="H7" s="47">
        <v>0</v>
      </c>
      <c r="I7" s="47">
        <v>0</v>
      </c>
      <c r="J7" s="47">
        <v>0</v>
      </c>
      <c r="K7" s="47">
        <v>0</v>
      </c>
      <c r="L7" s="47">
        <v>0</v>
      </c>
      <c r="M7" s="47">
        <v>0</v>
      </c>
      <c r="N7" s="47">
        <v>0</v>
      </c>
      <c r="O7" s="47"/>
      <c r="P7" s="47">
        <v>0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>
        <v>276</v>
      </c>
      <c r="F8" s="42">
        <v>0</v>
      </c>
      <c r="G8" s="42"/>
      <c r="H8" s="47"/>
      <c r="I8" s="47">
        <v>181</v>
      </c>
      <c r="J8" s="47">
        <v>2088</v>
      </c>
      <c r="K8" s="47">
        <v>484</v>
      </c>
      <c r="L8" s="47">
        <v>480</v>
      </c>
      <c r="M8" s="47">
        <v>535</v>
      </c>
      <c r="N8" s="47">
        <v>788</v>
      </c>
      <c r="O8" s="47">
        <v>23</v>
      </c>
      <c r="P8" s="47">
        <v>0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>
        <v>7232</v>
      </c>
      <c r="F9" s="42">
        <v>4821</v>
      </c>
      <c r="G9" s="42">
        <v>6457</v>
      </c>
      <c r="H9" s="47">
        <v>4764</v>
      </c>
      <c r="I9" s="47">
        <v>7634</v>
      </c>
      <c r="J9" s="47">
        <v>8474</v>
      </c>
      <c r="K9" s="47">
        <v>10055</v>
      </c>
      <c r="L9" s="47">
        <v>11351</v>
      </c>
      <c r="M9" s="47">
        <v>9178</v>
      </c>
      <c r="N9" s="47">
        <v>6051</v>
      </c>
      <c r="O9" s="47">
        <v>1522</v>
      </c>
      <c r="P9" s="47">
        <v>112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>
        <v>14999</v>
      </c>
      <c r="F10" s="42">
        <v>15411</v>
      </c>
      <c r="G10" s="42">
        <v>6434</v>
      </c>
      <c r="H10" s="47">
        <v>8860</v>
      </c>
      <c r="I10" s="47">
        <v>10176</v>
      </c>
      <c r="J10" s="47">
        <v>7754</v>
      </c>
      <c r="K10" s="47">
        <v>7368</v>
      </c>
      <c r="L10" s="47">
        <v>7163</v>
      </c>
      <c r="M10" s="47">
        <v>5926</v>
      </c>
      <c r="N10" s="47">
        <v>7186</v>
      </c>
      <c r="O10" s="47">
        <v>3936</v>
      </c>
      <c r="P10" s="47">
        <v>5075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12.526</v>
      </c>
      <c r="E14" s="51">
        <v>12.683999999999999</v>
      </c>
      <c r="F14" s="51">
        <v>12.199</v>
      </c>
      <c r="G14" s="51">
        <v>11.78</v>
      </c>
      <c r="H14" s="43">
        <v>12.03</v>
      </c>
      <c r="I14" s="43">
        <v>11.93</v>
      </c>
      <c r="J14" s="43">
        <v>12.09</v>
      </c>
      <c r="K14" s="43">
        <v>11.91</v>
      </c>
      <c r="L14" s="43">
        <v>12.01</v>
      </c>
      <c r="M14" s="43">
        <v>11.68</v>
      </c>
      <c r="N14" s="43">
        <v>11.894</v>
      </c>
      <c r="O14" s="43">
        <v>11.77</v>
      </c>
      <c r="P14" s="43">
        <v>12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56145</v>
      </c>
      <c r="E15" s="42">
        <v>40735</v>
      </c>
      <c r="F15" s="42">
        <v>59110</v>
      </c>
      <c r="G15" s="42">
        <v>66296</v>
      </c>
      <c r="H15" s="47">
        <v>63131</v>
      </c>
      <c r="I15" s="47">
        <v>70706</v>
      </c>
      <c r="J15" s="47">
        <v>78787</v>
      </c>
      <c r="K15" s="47">
        <v>79466</v>
      </c>
      <c r="L15" s="47">
        <v>70955</v>
      </c>
      <c r="M15" s="47">
        <f>47460+34109</f>
        <v>81569</v>
      </c>
      <c r="N15" s="47">
        <v>83024</v>
      </c>
      <c r="O15" s="47">
        <v>93117</v>
      </c>
      <c r="P15" s="47">
        <f>57344+38334</f>
        <v>95678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39851</v>
      </c>
      <c r="E16" s="42">
        <v>50254</v>
      </c>
      <c r="F16" s="42">
        <v>47901</v>
      </c>
      <c r="G16" s="42">
        <v>42593</v>
      </c>
      <c r="H16" s="47">
        <v>49191</v>
      </c>
      <c r="I16" s="47">
        <v>45817</v>
      </c>
      <c r="J16" s="47">
        <v>44649</v>
      </c>
      <c r="K16" s="47">
        <v>46295</v>
      </c>
      <c r="L16" s="47">
        <v>48691</v>
      </c>
      <c r="M16" s="47">
        <v>44521</v>
      </c>
      <c r="N16" s="47">
        <v>43489</v>
      </c>
      <c r="O16" s="47">
        <v>40107</v>
      </c>
      <c r="P16" s="47">
        <v>37385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23003</v>
      </c>
      <c r="E18" s="42">
        <v>25406</v>
      </c>
      <c r="F18" s="42">
        <v>25599</v>
      </c>
      <c r="G18" s="42">
        <v>24449</v>
      </c>
      <c r="H18" s="43">
        <v>26037</v>
      </c>
      <c r="I18" s="43">
        <v>25202</v>
      </c>
      <c r="J18" s="43">
        <v>25347</v>
      </c>
      <c r="K18" s="43">
        <v>24701.67</v>
      </c>
      <c r="L18" s="43">
        <v>23765</v>
      </c>
      <c r="M18" s="43">
        <v>22484</v>
      </c>
      <c r="N18" s="43">
        <v>27432</v>
      </c>
      <c r="O18" s="43">
        <v>27301</v>
      </c>
      <c r="P18" s="43">
        <v>25195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1500</v>
      </c>
      <c r="E19" s="42">
        <v>1500</v>
      </c>
      <c r="F19" s="42">
        <v>2057</v>
      </c>
      <c r="G19" s="42">
        <v>2052</v>
      </c>
      <c r="H19" s="47">
        <v>2151</v>
      </c>
      <c r="I19" s="47">
        <v>2073</v>
      </c>
      <c r="J19" s="47">
        <v>2123</v>
      </c>
      <c r="K19" s="47">
        <v>2207.98</v>
      </c>
      <c r="L19" s="47">
        <v>2237</v>
      </c>
      <c r="M19" s="47">
        <v>2186</v>
      </c>
      <c r="N19" s="47">
        <v>2294</v>
      </c>
      <c r="O19" s="47">
        <v>2243</v>
      </c>
      <c r="P19" s="47">
        <v>2092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112</v>
      </c>
      <c r="E23" s="59" t="s">
        <v>113</v>
      </c>
      <c r="F23" s="59" t="s">
        <v>113</v>
      </c>
      <c r="G23" s="59" t="s">
        <v>113</v>
      </c>
      <c r="H23" s="59" t="s">
        <v>113</v>
      </c>
      <c r="I23" s="59" t="s">
        <v>113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112</v>
      </c>
      <c r="F25" s="59" t="s">
        <v>112</v>
      </c>
      <c r="G25" s="59" t="s">
        <v>112</v>
      </c>
      <c r="H25" s="59" t="s">
        <v>112</v>
      </c>
      <c r="I25" s="59" t="s">
        <v>112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112</v>
      </c>
      <c r="K26" s="59" t="s">
        <v>112</v>
      </c>
      <c r="L26" s="59" t="s">
        <v>112</v>
      </c>
      <c r="M26" s="59" t="s">
        <v>112</v>
      </c>
      <c r="N26" s="59" t="s">
        <v>112</v>
      </c>
      <c r="O26" s="59" t="s">
        <v>112</v>
      </c>
      <c r="P26" s="59" t="s">
        <v>112</v>
      </c>
      <c r="Q26" s="59" t="s">
        <v>112</v>
      </c>
      <c r="R26" s="59" t="s">
        <v>112</v>
      </c>
      <c r="S26" s="59" t="s">
        <v>112</v>
      </c>
      <c r="T26" s="59" t="s">
        <v>112</v>
      </c>
      <c r="U26" s="59" t="s">
        <v>112</v>
      </c>
      <c r="V26" s="59" t="s">
        <v>112</v>
      </c>
      <c r="W26" s="59" t="s">
        <v>112</v>
      </c>
      <c r="X26" s="59" t="s">
        <v>112</v>
      </c>
      <c r="Y26" s="59" t="s">
        <v>112</v>
      </c>
      <c r="Z26" s="59" t="s">
        <v>112</v>
      </c>
      <c r="AA26" s="59" t="s">
        <v>112</v>
      </c>
      <c r="AB26" s="59" t="s">
        <v>112</v>
      </c>
      <c r="AC26" s="59" t="s">
        <v>112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1434</v>
      </c>
      <c r="E33" s="47">
        <v>1616</v>
      </c>
      <c r="F33" s="47">
        <v>1674</v>
      </c>
      <c r="G33" s="47">
        <v>1450</v>
      </c>
      <c r="H33" s="43">
        <v>1768</v>
      </c>
      <c r="I33" s="43">
        <v>1824</v>
      </c>
      <c r="J33" s="43">
        <v>1808</v>
      </c>
      <c r="K33" s="43">
        <v>1799.17</v>
      </c>
      <c r="L33" s="43">
        <v>1785</v>
      </c>
      <c r="M33" s="43">
        <v>1791</v>
      </c>
      <c r="N33" s="43">
        <v>1813</v>
      </c>
      <c r="O33" s="63">
        <v>1608</v>
      </c>
      <c r="P33" s="63">
        <v>1778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69</v>
      </c>
      <c r="K34" s="47">
        <v>83</v>
      </c>
      <c r="L34" s="47">
        <v>82</v>
      </c>
      <c r="M34" s="47">
        <v>67</v>
      </c>
      <c r="N34" s="47">
        <v>72</v>
      </c>
      <c r="O34" s="64">
        <v>52</v>
      </c>
      <c r="P34" s="64">
        <v>232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>
        <v>0</v>
      </c>
      <c r="E37" s="47">
        <v>20.362500000000001</v>
      </c>
      <c r="F37" s="47">
        <v>25</v>
      </c>
      <c r="G37" s="47">
        <v>30</v>
      </c>
      <c r="H37" s="47">
        <v>32</v>
      </c>
      <c r="I37" s="47">
        <v>31</v>
      </c>
      <c r="J37" s="47">
        <v>30</v>
      </c>
      <c r="K37" s="47">
        <v>29.335999999999999</v>
      </c>
      <c r="L37" s="47">
        <v>33</v>
      </c>
      <c r="M37" s="47">
        <v>29</v>
      </c>
      <c r="N37" s="47">
        <v>31</v>
      </c>
      <c r="O37" s="64">
        <v>27</v>
      </c>
      <c r="P37" s="64">
        <v>31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119</v>
      </c>
      <c r="E41" s="47">
        <v>95</v>
      </c>
      <c r="F41" s="47">
        <v>47</v>
      </c>
      <c r="G41" s="47">
        <v>119</v>
      </c>
      <c r="H41" s="47">
        <v>137</v>
      </c>
      <c r="I41" s="47">
        <v>100</v>
      </c>
      <c r="J41" s="47">
        <v>29</v>
      </c>
      <c r="K41" s="47">
        <v>34.5</v>
      </c>
      <c r="L41" s="47">
        <v>35</v>
      </c>
      <c r="M41" s="47">
        <v>29</v>
      </c>
      <c r="N41" s="47">
        <v>30</v>
      </c>
      <c r="O41" s="64">
        <v>22</v>
      </c>
      <c r="P41" s="64">
        <v>128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(Pars!D56+(D_GR_1!D14-Pars!D57)*Pars!D58)/Pars!D59</f>
        <v>0.3135096</v>
      </c>
      <c r="E43" s="66">
        <f>(Pars!E56+(D_GR_1!E14-Pars!E57)*Pars!E58)/Pars!E59</f>
        <v>0.31660608339391655</v>
      </c>
      <c r="F43" s="66">
        <f>(Pars!F56+(D_GR_1!F14-Pars!F57)*Pars!F58)/Pars!F59</f>
        <v>0.3070997858004284</v>
      </c>
      <c r="G43" s="66">
        <f>(Pars!G56+(D_GR_1!G14-Pars!G57)*Pars!G58)/Pars!G59</f>
        <v>0.29888710333869001</v>
      </c>
      <c r="H43" s="66">
        <f>(Pars!H56+(D_GR_1!H14-Pars!H57)*Pars!H58)/Pars!H59</f>
        <v>0.30378678485286059</v>
      </c>
      <c r="I43" s="66">
        <f>(Pars!I56+(D_GR_1!I14-Pars!I57)*Pars!I58)/Pars!I59</f>
        <v>0.30182649086754565</v>
      </c>
      <c r="J43" s="66">
        <f>(Pars!J56+(D_GR_1!J14-Pars!J57)*Pars!J58)/Pars!J59</f>
        <v>0.30496217022697863</v>
      </c>
      <c r="K43" s="66">
        <f>(Pars!K56+(D_GR_1!K14-Pars!K57)*Pars!K58)/Pars!K59</f>
        <v>0.30143388996277026</v>
      </c>
      <c r="L43" s="66">
        <f>(Pars!L56+(D_GR_1!L14-Pars!L57)*Pars!L58)/Pars!L59</f>
        <v>0.30339357285141721</v>
      </c>
      <c r="M43" s="66">
        <f>(Pars!M56+(D_GR_1!M14-Pars!M57)*Pars!M58)/Pars!M59</f>
        <v>0.29692532767205093</v>
      </c>
      <c r="N43" s="66">
        <f>(Pars!N56+(D_GR_1!N14-Pars!N57)*Pars!N58)/Pars!N59</f>
        <v>0.30111938880611194</v>
      </c>
      <c r="O43" s="66">
        <f>(Pars!O56+(D_GR_1!O14-Pars!O57)*Pars!O58)/Pars!O59</f>
        <v>0.29868871442414135</v>
      </c>
      <c r="P43" s="66">
        <f>(Pars!P56+(D_GR_1!P14-Pars!P57)*Pars!P58)/Pars!P59</f>
        <v>0.30319636164366026</v>
      </c>
      <c r="Q43" s="66">
        <f>(Pars!Q56+(D_GR_1!Q14-Pars!Q57)*Pars!Q58)/Pars!Q59</f>
        <v>6.7999116011491847E-2</v>
      </c>
      <c r="R43" s="66">
        <f>(Pars!R56+(D_GR_1!R14-Pars!R57)*Pars!R58)/Pars!R59</f>
        <v>6.7999048013327817E-2</v>
      </c>
      <c r="S43" s="66">
        <f>(Pars!S56+(D_GR_1!S14-Pars!S57)*Pars!S58)/Pars!S59</f>
        <v>6.7998980015299776E-2</v>
      </c>
      <c r="T43" s="66">
        <f>(Pars!T56+(D_GR_1!T14-Pars!T57)*Pars!T58)/Pars!T59</f>
        <v>6.7998980015299776E-2</v>
      </c>
      <c r="U43" s="66">
        <f>(Pars!U56+(D_GR_1!U14-Pars!U57)*Pars!U58)/Pars!U59</f>
        <v>6.7998980015299776E-2</v>
      </c>
      <c r="V43" s="66">
        <f>(Pars!V56+(D_GR_1!V14-Pars!V57)*Pars!V58)/Pars!V59</f>
        <v>6.7998980015299776E-2</v>
      </c>
      <c r="W43" s="66">
        <f>(Pars!W56+(D_GR_1!W14-Pars!W57)*Pars!W58)/Pars!W59</f>
        <v>6.7998980015299776E-2</v>
      </c>
      <c r="X43" s="66">
        <f>(Pars!X56+(D_GR_1!X14-Pars!X57)*Pars!X58)/Pars!X59</f>
        <v>6.7998980015299776E-2</v>
      </c>
      <c r="Y43" s="66">
        <f>(Pars!Y56+(D_GR_1!Y14-Pars!Y57)*Pars!Y58)/Pars!Y59</f>
        <v>6.7998980015299776E-2</v>
      </c>
      <c r="Z43" s="66">
        <f>(Pars!Z56+(D_GR_1!Z14-Pars!Z57)*Pars!Z58)/Pars!Z59</f>
        <v>6.7998980015299776E-2</v>
      </c>
      <c r="AA43" s="66">
        <f>(Pars!AA56+(D_GR_1!AA14-Pars!AA57)*Pars!AA58)/Pars!AA59</f>
        <v>6.7998980015299776E-2</v>
      </c>
      <c r="AB43" s="66">
        <f>(Pars!AB56+(D_GR_1!AB14-Pars!AB57)*Pars!AB58)/Pars!AB59</f>
        <v>6.7998980015299776E-2</v>
      </c>
      <c r="AC43" s="66">
        <f>(Pars!AC56+(D_GR_1!AC14-Pars!AC57)*Pars!AC58)/Pars!AC59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106644.67957439998</v>
      </c>
      <c r="E44" s="43">
        <f>Pars!E37*E43*E6</f>
        <v>118105.36138957193</v>
      </c>
      <c r="F44" s="43">
        <f>Pars!F37*F43*F6</f>
        <v>115796.68309943379</v>
      </c>
      <c r="G44" s="43">
        <f>Pars!G37*G43*G6</f>
        <v>112415.02621092137</v>
      </c>
      <c r="H44" s="43">
        <f>Pars!H37*H43*H6</f>
        <v>119793.86306721441</v>
      </c>
      <c r="I44" s="43">
        <f>Pars!I37*I43*I6</f>
        <v>116417.89822784219</v>
      </c>
      <c r="J44" s="43">
        <f>Pars!J37*J43*J6</f>
        <v>118695.24116055302</v>
      </c>
      <c r="K44" s="43">
        <f>Pars!K37*K43*K6</f>
        <v>122019.33339933287</v>
      </c>
      <c r="L44" s="43">
        <f>Pars!L37*L43*L6</f>
        <v>124446.78476172192</v>
      </c>
      <c r="M44" s="43">
        <f>Pars!M37*M43*M6</f>
        <v>120572.07190735283</v>
      </c>
      <c r="N44" s="43">
        <f>Pars!N37*N43*N6</f>
        <v>126616.48732152679</v>
      </c>
      <c r="O44" s="63">
        <f>Pars!O37*O43*O6</f>
        <v>122812.63521301268</v>
      </c>
      <c r="P44" s="63">
        <f>Pars!P37*P43*P6</f>
        <v>118013.5241043774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51189.446195711993</v>
      </c>
      <c r="E45" s="43">
        <f>E44*Pars!E36/100</f>
        <v>56690.57346699453</v>
      </c>
      <c r="F45" s="43">
        <f>F44*Pars!F36/100</f>
        <v>55582.407887728223</v>
      </c>
      <c r="G45" s="43">
        <f>G44*Pars!G36/100</f>
        <v>53959.21258124226</v>
      </c>
      <c r="H45" s="43">
        <f>H44*Pars!H36/100</f>
        <v>57501.054272262918</v>
      </c>
      <c r="I45" s="43">
        <f>I44*Pars!I36/100</f>
        <v>55880.591149364256</v>
      </c>
      <c r="J45" s="43">
        <f>J44*Pars!J36/100</f>
        <v>56973.715757065453</v>
      </c>
      <c r="K45" s="43">
        <f>K44*Pars!K36/100</f>
        <v>58569.280031679773</v>
      </c>
      <c r="L45" s="43">
        <f>L44*Pars!L36/100</f>
        <v>59734.456685626523</v>
      </c>
      <c r="M45" s="43">
        <f>M44*Pars!M36/100</f>
        <v>57874.594515529359</v>
      </c>
      <c r="N45" s="43">
        <f>N44*Pars!N36/100</f>
        <v>60775.913914332858</v>
      </c>
      <c r="O45" s="63">
        <f>O44*Pars!O36/100</f>
        <v>58950.064902246086</v>
      </c>
      <c r="P45" s="63">
        <f>P44*Pars!P36/100</f>
        <v>56646.491570101156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12593.3235</v>
      </c>
      <c r="E46" s="43">
        <f>Pars!E40*E15</f>
        <v>9136.8605000000007</v>
      </c>
      <c r="F46" s="43">
        <f>Pars!F40*F15</f>
        <v>13258.373</v>
      </c>
      <c r="G46" s="43">
        <f>Pars!G40*G15</f>
        <v>14870.192800000001</v>
      </c>
      <c r="H46" s="43">
        <f>Pars!H40*H15</f>
        <v>14160.283299999999</v>
      </c>
      <c r="I46" s="43">
        <f>Pars!I40*I15</f>
        <v>15859.355799999999</v>
      </c>
      <c r="J46" s="43">
        <f>Pars!J40*J15</f>
        <v>17671.9241</v>
      </c>
      <c r="K46" s="43">
        <f>Pars!K40*K15</f>
        <v>17824.2238</v>
      </c>
      <c r="L46" s="43">
        <f>Pars!L40*L15</f>
        <v>15915.2065</v>
      </c>
      <c r="M46" s="43">
        <f>Pars!M40*M15</f>
        <v>18295.9267</v>
      </c>
      <c r="N46" s="43">
        <f>Pars!N40*N15</f>
        <v>18622.283200000002</v>
      </c>
      <c r="O46" s="63">
        <f>Pars!O40*O15</f>
        <v>20886.143100000001</v>
      </c>
      <c r="P46" s="63">
        <f>Pars!P40*P15</f>
        <v>21460.575400000002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1179.5896</v>
      </c>
      <c r="E47" s="43">
        <f>Pars!E41*E16</f>
        <v>1487.5184000000002</v>
      </c>
      <c r="F47" s="43">
        <f>Pars!F41*F16</f>
        <v>1417.8696</v>
      </c>
      <c r="G47" s="43">
        <f>Pars!G41*G16</f>
        <v>1260.7528</v>
      </c>
      <c r="H47" s="43">
        <f>Pars!H41*H16</f>
        <v>1456.0536</v>
      </c>
      <c r="I47" s="43">
        <f>Pars!I41*I16</f>
        <v>1356.1832000000002</v>
      </c>
      <c r="J47" s="43">
        <f>Pars!J41*J16</f>
        <v>1321.6104</v>
      </c>
      <c r="K47" s="43">
        <f>Pars!K41*K16</f>
        <v>1370.3320000000001</v>
      </c>
      <c r="L47" s="43">
        <f>Pars!L41*L16</f>
        <v>1441.2536</v>
      </c>
      <c r="M47" s="43">
        <f>Pars!M41*M16</f>
        <v>1317.8216</v>
      </c>
      <c r="N47" s="43">
        <f>Pars!N41*N16</f>
        <v>1287.2744</v>
      </c>
      <c r="O47" s="63">
        <f>Pars!O41*O16</f>
        <v>1187.1672000000001</v>
      </c>
      <c r="P47" s="63">
        <f>Pars!P41*P16</f>
        <v>1106.596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2760.34</v>
      </c>
      <c r="E48" s="67">
        <f t="array" ref="E48">SUMPRODUCT(E33:E41,Pars!E44:E52)</f>
        <v>2964.8444999999997</v>
      </c>
      <c r="F48" s="67">
        <f t="array" ref="F48">SUMPRODUCT(F33:F41,Pars!F44:F52)</f>
        <v>2823.7400000000002</v>
      </c>
      <c r="G48" s="67">
        <f t="array" ref="G48">SUMPRODUCT(G33:G41,Pars!G44:G52)</f>
        <v>2857.7</v>
      </c>
      <c r="H48" s="67">
        <f t="array" ref="H48">SUMPRODUCT(H33:H41,Pars!H44:H52)</f>
        <v>3432.7599999999998</v>
      </c>
      <c r="I48" s="67">
        <f t="array" ref="I48">SUMPRODUCT(I33:I41,Pars!I44:I52)</f>
        <v>3329.88</v>
      </c>
      <c r="J48" s="67">
        <f t="array" ref="J48">SUMPRODUCT(J33:J41,Pars!J44:J52)</f>
        <v>3547.89</v>
      </c>
      <c r="K48" s="67">
        <f t="array" ref="K48">SUMPRODUCT(K33:K41,Pars!K44:K52)</f>
        <v>3682.09654</v>
      </c>
      <c r="L48" s="67">
        <f t="array" ref="L48">SUMPRODUCT(L33:L41,Pars!L44:L52)</f>
        <v>3663.45</v>
      </c>
      <c r="M48" s="67">
        <f t="array" ref="M48">SUMPRODUCT(M33:M41,Pars!M44:M52)</f>
        <v>3502.4</v>
      </c>
      <c r="N48" s="67">
        <f t="array" ref="N48">SUMPRODUCT(N33:N41,Pars!N44:N52)</f>
        <v>3588.95</v>
      </c>
      <c r="O48" s="67">
        <f t="array" ref="O48">SUMPRODUCT(O33:O41,Pars!O44:O52)</f>
        <v>3055.84</v>
      </c>
      <c r="P48" s="67">
        <f t="array" ref="P48">SUMPRODUCT(P33:P41,Pars!P44:P52)</f>
        <v>5416.5000000000009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16533.253100000002</v>
      </c>
      <c r="E49" s="67">
        <f t="shared" ref="E49:AC49" si="1">SUM(E46:E48)</f>
        <v>13589.223400000001</v>
      </c>
      <c r="F49" s="67">
        <f t="shared" si="1"/>
        <v>17499.982599999999</v>
      </c>
      <c r="G49" s="67">
        <f t="shared" si="1"/>
        <v>18988.6456</v>
      </c>
      <c r="H49" s="67">
        <f t="shared" si="1"/>
        <v>19049.096899999997</v>
      </c>
      <c r="I49" s="67">
        <f t="shared" si="1"/>
        <v>20545.419000000002</v>
      </c>
      <c r="J49" s="67">
        <f t="shared" si="1"/>
        <v>22541.424500000001</v>
      </c>
      <c r="K49" s="67">
        <f t="shared" si="1"/>
        <v>22876.652339999997</v>
      </c>
      <c r="L49" s="67">
        <f t="shared" si="1"/>
        <v>21019.910100000001</v>
      </c>
      <c r="M49" s="67">
        <f t="shared" si="1"/>
        <v>23116.148300000001</v>
      </c>
      <c r="N49" s="67">
        <f t="shared" si="1"/>
        <v>23498.507600000001</v>
      </c>
      <c r="O49" s="67">
        <f t="shared" si="1"/>
        <v>25129.150300000001</v>
      </c>
      <c r="P49" s="67">
        <f t="shared" si="1"/>
        <v>27983.671400000003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34656.193095711991</v>
      </c>
      <c r="E50" s="70">
        <f t="shared" ref="E50:AC50" si="2">E45-E49</f>
        <v>43101.350066994528</v>
      </c>
      <c r="F50" s="70">
        <f t="shared" si="2"/>
        <v>38082.425287728227</v>
      </c>
      <c r="G50" s="70">
        <f t="shared" si="2"/>
        <v>34970.566981242257</v>
      </c>
      <c r="H50" s="70">
        <f t="shared" si="2"/>
        <v>38451.957372262921</v>
      </c>
      <c r="I50" s="70">
        <f t="shared" si="2"/>
        <v>35335.172149364254</v>
      </c>
      <c r="J50" s="70">
        <f t="shared" si="2"/>
        <v>34432.291257065452</v>
      </c>
      <c r="K50" s="70">
        <f t="shared" si="2"/>
        <v>35692.62769167978</v>
      </c>
      <c r="L50" s="70">
        <f t="shared" si="2"/>
        <v>38714.546585626522</v>
      </c>
      <c r="M50" s="70">
        <f t="shared" si="2"/>
        <v>34758.446215529359</v>
      </c>
      <c r="N50" s="70">
        <f t="shared" si="2"/>
        <v>37277.406314332853</v>
      </c>
      <c r="O50" s="70">
        <f t="shared" si="2"/>
        <v>33820.914602246085</v>
      </c>
      <c r="P50" s="70">
        <f t="shared" si="2"/>
        <v>28662.820170101153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34656.193095711991</v>
      </c>
      <c r="E62" s="79">
        <f t="shared" ref="E62:AC62" si="4">E50+E61</f>
        <v>43101.350066994528</v>
      </c>
      <c r="F62" s="79">
        <f t="shared" si="4"/>
        <v>38082.425287728227</v>
      </c>
      <c r="G62" s="79">
        <f t="shared" si="4"/>
        <v>34970.566981242257</v>
      </c>
      <c r="H62" s="79">
        <f t="shared" si="4"/>
        <v>38451.957372262921</v>
      </c>
      <c r="I62" s="79">
        <f t="shared" si="4"/>
        <v>35335.172149364254</v>
      </c>
      <c r="J62" s="79">
        <f t="shared" si="4"/>
        <v>34432.291257065452</v>
      </c>
      <c r="K62" s="79">
        <f t="shared" si="4"/>
        <v>35692.62769167978</v>
      </c>
      <c r="L62" s="79">
        <f t="shared" si="4"/>
        <v>38714.546585626522</v>
      </c>
      <c r="M62" s="79">
        <f t="shared" si="4"/>
        <v>34758.446215529359</v>
      </c>
      <c r="N62" s="79">
        <f t="shared" si="4"/>
        <v>37277.406314332853</v>
      </c>
      <c r="O62" s="79">
        <f t="shared" si="4"/>
        <v>33820.914602246085</v>
      </c>
      <c r="P62" s="79">
        <f t="shared" si="4"/>
        <v>28662.820170101153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34" priority="5" operator="containsText" text="Nein">
      <formula>NOT(ISERROR(SEARCH("Nein",D22)))</formula>
    </cfRule>
  </conditionalFormatting>
  <conditionalFormatting sqref="D31:AC31">
    <cfRule type="cellIs" dxfId="133" priority="6" operator="equal">
      <formula>"ok"</formula>
    </cfRule>
  </conditionalFormatting>
  <conditionalFormatting sqref="H5:AC12 H14:AC16 H18:AC19 H33:AC41">
    <cfRule type="cellIs" dxfId="132" priority="4" operator="greaterThan">
      <formula>0</formula>
    </cfRule>
  </conditionalFormatting>
  <conditionalFormatting sqref="H6:AC12">
    <cfRule type="expression" dxfId="131" priority="3">
      <formula>NOT(ISBLANK(H6))</formula>
    </cfRule>
  </conditionalFormatting>
  <conditionalFormatting sqref="H18:AC19">
    <cfRule type="expression" dxfId="130" priority="2">
      <formula>NOT(ISBLANK(H18))</formula>
    </cfRule>
  </conditionalFormatting>
  <conditionalFormatting sqref="H56:AC60">
    <cfRule type="cellIs" dxfId="129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CB67819E-5B5A-4C39-B956-35037B16DF37}">
      <formula1>"Ja, Nein"</formula1>
    </dataValidation>
  </dataValidation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3C735-465A-47D1-B8BF-04133C903887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179</v>
      </c>
      <c r="D1" s="32"/>
      <c r="E1" s="32"/>
    </row>
    <row r="2" spans="1:30" x14ac:dyDescent="0.3">
      <c r="A2" s="30"/>
      <c r="B2" s="31" t="s">
        <v>86</v>
      </c>
      <c r="C2" s="33" t="s">
        <v>180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83990</v>
      </c>
      <c r="E5" s="42">
        <v>83990</v>
      </c>
      <c r="F5" s="42">
        <v>83990</v>
      </c>
      <c r="G5" s="42">
        <v>83990</v>
      </c>
      <c r="H5" s="43">
        <v>83990</v>
      </c>
      <c r="I5" s="43">
        <v>0</v>
      </c>
      <c r="J5" s="43">
        <v>0</v>
      </c>
      <c r="K5" s="43">
        <v>0</v>
      </c>
      <c r="L5" s="43">
        <v>0</v>
      </c>
      <c r="M5" s="43">
        <v>0</v>
      </c>
      <c r="N5" s="43">
        <v>0</v>
      </c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90439</v>
      </c>
      <c r="E6" s="42">
        <v>91893</v>
      </c>
      <c r="F6" s="42">
        <v>91678</v>
      </c>
      <c r="G6" s="42">
        <v>90483</v>
      </c>
      <c r="H6" s="47">
        <v>89405</v>
      </c>
      <c r="I6" s="47">
        <v>0</v>
      </c>
      <c r="J6" s="47">
        <v>0</v>
      </c>
      <c r="K6" s="47">
        <v>0</v>
      </c>
      <c r="L6" s="47">
        <v>0</v>
      </c>
      <c r="M6" s="47">
        <v>0</v>
      </c>
      <c r="N6" s="47">
        <v>0</v>
      </c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/>
      <c r="E7" s="42"/>
      <c r="F7" s="42"/>
      <c r="G7" s="42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13.68</v>
      </c>
      <c r="E14" s="51">
        <v>13.68</v>
      </c>
      <c r="F14" s="51">
        <v>13.68</v>
      </c>
      <c r="G14" s="51">
        <v>13.68</v>
      </c>
      <c r="H14" s="43">
        <v>13.68</v>
      </c>
      <c r="I14" s="43">
        <v>0</v>
      </c>
      <c r="J14" s="43">
        <v>0</v>
      </c>
      <c r="K14" s="43">
        <v>0</v>
      </c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41600</v>
      </c>
      <c r="E15" s="42">
        <v>37984</v>
      </c>
      <c r="F15" s="42">
        <v>40256</v>
      </c>
      <c r="G15" s="42">
        <v>45083</v>
      </c>
      <c r="H15" s="47">
        <v>40235</v>
      </c>
      <c r="I15" s="47">
        <v>0</v>
      </c>
      <c r="J15" s="47">
        <v>0</v>
      </c>
      <c r="K15" s="47">
        <v>0</v>
      </c>
      <c r="L15" s="47">
        <v>0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41635</v>
      </c>
      <c r="E16" s="42">
        <v>45352</v>
      </c>
      <c r="F16" s="42">
        <v>44826</v>
      </c>
      <c r="G16" s="42">
        <v>42599</v>
      </c>
      <c r="H16" s="47">
        <v>43784</v>
      </c>
      <c r="I16" s="47">
        <v>0</v>
      </c>
      <c r="J16" s="47">
        <v>0</v>
      </c>
      <c r="K16" s="47">
        <v>0</v>
      </c>
      <c r="L16" s="47">
        <v>0</v>
      </c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20330</v>
      </c>
      <c r="E18" s="42">
        <v>23758</v>
      </c>
      <c r="F18" s="42">
        <v>20761</v>
      </c>
      <c r="G18" s="42">
        <v>20572</v>
      </c>
      <c r="H18" s="43">
        <v>20735</v>
      </c>
      <c r="I18" s="43">
        <v>0</v>
      </c>
      <c r="J18" s="43">
        <v>0</v>
      </c>
      <c r="K18" s="43">
        <v>0</v>
      </c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1311</v>
      </c>
      <c r="E19" s="42">
        <v>1234</v>
      </c>
      <c r="F19" s="42">
        <v>1342</v>
      </c>
      <c r="G19" s="42">
        <v>1355</v>
      </c>
      <c r="H19" s="47">
        <v>1211</v>
      </c>
      <c r="I19" s="47">
        <v>0</v>
      </c>
      <c r="J19" s="47">
        <v>0</v>
      </c>
      <c r="K19" s="47">
        <v>0</v>
      </c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112</v>
      </c>
      <c r="E23" s="59" t="s">
        <v>113</v>
      </c>
      <c r="F23" s="59" t="s">
        <v>113</v>
      </c>
      <c r="G23" s="59" t="s">
        <v>113</v>
      </c>
      <c r="H23" s="59" t="s">
        <v>113</v>
      </c>
      <c r="I23" s="59" t="s">
        <v>113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112</v>
      </c>
      <c r="F25" s="59" t="s">
        <v>112</v>
      </c>
      <c r="G25" s="59" t="s">
        <v>112</v>
      </c>
      <c r="H25" s="59" t="s">
        <v>112</v>
      </c>
      <c r="I25" s="59" t="s">
        <v>112</v>
      </c>
      <c r="J25" s="59" t="s">
        <v>112</v>
      </c>
      <c r="K25" s="59" t="s">
        <v>112</v>
      </c>
      <c r="L25" s="59" t="s">
        <v>112</v>
      </c>
      <c r="M25" s="59" t="s">
        <v>112</v>
      </c>
      <c r="N25" s="59" t="s">
        <v>112</v>
      </c>
      <c r="O25" s="59" t="s">
        <v>112</v>
      </c>
      <c r="P25" s="59" t="s">
        <v>112</v>
      </c>
      <c r="Q25" s="59" t="s">
        <v>112</v>
      </c>
      <c r="R25" s="59" t="s">
        <v>112</v>
      </c>
      <c r="S25" s="59" t="s">
        <v>112</v>
      </c>
      <c r="T25" s="59" t="s">
        <v>112</v>
      </c>
      <c r="U25" s="59" t="s">
        <v>112</v>
      </c>
      <c r="V25" s="59" t="s">
        <v>112</v>
      </c>
      <c r="W25" s="59" t="s">
        <v>112</v>
      </c>
      <c r="X25" s="59" t="s">
        <v>112</v>
      </c>
      <c r="Y25" s="59" t="s">
        <v>112</v>
      </c>
      <c r="Z25" s="59" t="s">
        <v>112</v>
      </c>
      <c r="AA25" s="59" t="s">
        <v>112</v>
      </c>
      <c r="AB25" s="59" t="s">
        <v>112</v>
      </c>
      <c r="AC25" s="59" t="s">
        <v>112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1649</v>
      </c>
      <c r="E33" s="47">
        <v>2047</v>
      </c>
      <c r="F33" s="47">
        <v>1863</v>
      </c>
      <c r="G33" s="47">
        <v>1618</v>
      </c>
      <c r="H33" s="43">
        <v>1600</v>
      </c>
      <c r="I33" s="43"/>
      <c r="J33" s="43"/>
      <c r="K33" s="43"/>
      <c r="L33" s="43"/>
      <c r="M33" s="43"/>
      <c r="N33" s="4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>
        <v>0</v>
      </c>
      <c r="F37" s="47">
        <v>0</v>
      </c>
      <c r="G37" s="47">
        <v>0</v>
      </c>
      <c r="H37" s="47">
        <v>0</v>
      </c>
      <c r="I37" s="47"/>
      <c r="J37" s="47"/>
      <c r="K37" s="47"/>
      <c r="L37" s="47"/>
      <c r="M37" s="47"/>
      <c r="N37" s="47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266</v>
      </c>
      <c r="E41" s="47">
        <v>298</v>
      </c>
      <c r="F41" s="47">
        <v>234</v>
      </c>
      <c r="G41" s="47">
        <v>199</v>
      </c>
      <c r="H41" s="47">
        <v>120</v>
      </c>
      <c r="I41" s="47"/>
      <c r="J41" s="47"/>
      <c r="K41" s="47"/>
      <c r="L41" s="47"/>
      <c r="M41" s="47"/>
      <c r="N41" s="47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(Pars!D56+(D_LU_1!D14-Pars!D57)*Pars!D58)/Pars!D59</f>
        <v>0.33612799999999998</v>
      </c>
      <c r="E43" s="66">
        <f>(Pars!E56+(D_LU_1!E14-Pars!E57)*Pars!E58)/Pars!E59</f>
        <v>0.33612766387233611</v>
      </c>
      <c r="F43" s="66">
        <f>(Pars!F56+(D_LU_1!F14-Pars!F57)*Pars!F58)/Pars!F59</f>
        <v>0.33612732774534448</v>
      </c>
      <c r="G43" s="66">
        <f>(Pars!G56+(D_LU_1!G14-Pars!G57)*Pars!G58)/Pars!G59</f>
        <v>0.33612699161902515</v>
      </c>
      <c r="H43" s="66">
        <f>(Pars!H56+(D_LU_1!H14-Pars!H57)*Pars!H58)/Pars!H59</f>
        <v>0.336126655493378</v>
      </c>
      <c r="I43" s="66">
        <f>(Pars!I56+(D_LU_1!I14-Pars!I57)*Pars!I58)/Pars!I59</f>
        <v>6.7999660001699991E-2</v>
      </c>
      <c r="J43" s="66">
        <f>(Pars!J56+(D_LU_1!J14-Pars!J57)*Pars!J58)/Pars!J59</f>
        <v>6.7999592002447984E-2</v>
      </c>
      <c r="K43" s="66">
        <f>(Pars!K56+(D_LU_1!K14-Pars!K57)*Pars!K58)/Pars!K59</f>
        <v>6.7999524003331979E-2</v>
      </c>
      <c r="L43" s="66">
        <f>(Pars!L56+(D_LU_1!L14-Pars!L57)*Pars!L58)/Pars!L59</f>
        <v>6.7999456004351963E-2</v>
      </c>
      <c r="M43" s="66">
        <f>(Pars!M56+(D_LU_1!M14-Pars!M57)*Pars!M58)/Pars!M59</f>
        <v>6.7999388005507949E-2</v>
      </c>
      <c r="N43" s="66">
        <f>(Pars!N56+(D_LU_1!N14-Pars!N57)*Pars!N58)/Pars!N59</f>
        <v>6.7999320006799938E-2</v>
      </c>
      <c r="O43" s="66">
        <f>(Pars!O56+(D_LU_1!O14-Pars!O57)*Pars!O58)/Pars!O59</f>
        <v>6.7999252008227914E-2</v>
      </c>
      <c r="P43" s="66">
        <f>(Pars!P56+(D_LU_1!P14-Pars!P57)*Pars!P58)/Pars!P59</f>
        <v>6.799918400979188E-2</v>
      </c>
      <c r="Q43" s="66">
        <f>(Pars!Q56+(D_LU_1!Q14-Pars!Q57)*Pars!Q58)/Pars!Q59</f>
        <v>6.7999116011491847E-2</v>
      </c>
      <c r="R43" s="66">
        <f>(Pars!R56+(D_LU_1!R14-Pars!R57)*Pars!R58)/Pars!R59</f>
        <v>6.7999048013327817E-2</v>
      </c>
      <c r="S43" s="66">
        <f>(Pars!S56+(D_LU_1!S14-Pars!S57)*Pars!S58)/Pars!S59</f>
        <v>6.7998980015299776E-2</v>
      </c>
      <c r="T43" s="66">
        <f>(Pars!T56+(D_LU_1!T14-Pars!T57)*Pars!T58)/Pars!T59</f>
        <v>6.7998980015299776E-2</v>
      </c>
      <c r="U43" s="66">
        <f>(Pars!U56+(D_LU_1!U14-Pars!U57)*Pars!U58)/Pars!U59</f>
        <v>6.7998980015299776E-2</v>
      </c>
      <c r="V43" s="66">
        <f>(Pars!V56+(D_LU_1!V14-Pars!V57)*Pars!V58)/Pars!V59</f>
        <v>6.7998980015299776E-2</v>
      </c>
      <c r="W43" s="66">
        <f>(Pars!W56+(D_LU_1!W14-Pars!W57)*Pars!W58)/Pars!W59</f>
        <v>6.7998980015299776E-2</v>
      </c>
      <c r="X43" s="66">
        <f>(Pars!X56+(D_LU_1!X14-Pars!X57)*Pars!X58)/Pars!X59</f>
        <v>6.7998980015299776E-2</v>
      </c>
      <c r="Y43" s="66">
        <f>(Pars!Y56+(D_LU_1!Y14-Pars!Y57)*Pars!Y58)/Pars!Y59</f>
        <v>6.7998980015299776E-2</v>
      </c>
      <c r="Z43" s="66">
        <f>(Pars!Z56+(D_LU_1!Z14-Pars!Z57)*Pars!Z58)/Pars!Z59</f>
        <v>6.7998980015299776E-2</v>
      </c>
      <c r="AA43" s="66">
        <f>(Pars!AA56+(D_LU_1!AA14-Pars!AA57)*Pars!AA58)/Pars!AA59</f>
        <v>6.7998980015299776E-2</v>
      </c>
      <c r="AB43" s="66">
        <f>(Pars!AB56+(D_LU_1!AB14-Pars!AB57)*Pars!AB58)/Pars!AB59</f>
        <v>6.7998980015299776E-2</v>
      </c>
      <c r="AC43" s="66">
        <f>(Pars!AC56+(D_LU_1!AC14-Pars!AC57)*Pars!AC58)/Pars!AC59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111463.29403733333</v>
      </c>
      <c r="E44" s="43">
        <f>Pars!E37*E43*E6</f>
        <v>113255.19119280879</v>
      </c>
      <c r="F44" s="43">
        <f>Pars!F37*F43*F6</f>
        <v>112990.09756113819</v>
      </c>
      <c r="G44" s="43">
        <f>Pars!G37*G43*G6</f>
        <v>111517.18813643558</v>
      </c>
      <c r="H44" s="43">
        <f>Pars!H37*H43*H6</f>
        <v>110188.47999274668</v>
      </c>
      <c r="I44" s="43">
        <f>Pars!I37*I43*I6</f>
        <v>0</v>
      </c>
      <c r="J44" s="43">
        <f>Pars!J37*J43*J6</f>
        <v>0</v>
      </c>
      <c r="K44" s="43">
        <f>Pars!K37*K43*K6</f>
        <v>0</v>
      </c>
      <c r="L44" s="43">
        <f>Pars!L37*L43*L6</f>
        <v>0</v>
      </c>
      <c r="M44" s="43">
        <f>Pars!M37*M43*M6</f>
        <v>0</v>
      </c>
      <c r="N44" s="43">
        <f>Pars!N37*N43*N6</f>
        <v>0</v>
      </c>
      <c r="O44" s="63">
        <f>Pars!O37*O43*O6</f>
        <v>0</v>
      </c>
      <c r="P44" s="63">
        <f>Pars!P37*P43*P6</f>
        <v>0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53502.381137919991</v>
      </c>
      <c r="E45" s="43">
        <f>E44*Pars!E36/100</f>
        <v>54362.491772548223</v>
      </c>
      <c r="F45" s="43">
        <f>F44*Pars!F36/100</f>
        <v>54235.246829346324</v>
      </c>
      <c r="G45" s="43">
        <f>G44*Pars!G36/100</f>
        <v>53528.250305489077</v>
      </c>
      <c r="H45" s="43">
        <f>H44*Pars!H36/100</f>
        <v>52890.470396518409</v>
      </c>
      <c r="I45" s="43">
        <f>I44*Pars!I36/100</f>
        <v>0</v>
      </c>
      <c r="J45" s="43">
        <f>J44*Pars!J36/100</f>
        <v>0</v>
      </c>
      <c r="K45" s="43">
        <f>K44*Pars!K36/100</f>
        <v>0</v>
      </c>
      <c r="L45" s="43">
        <f>L44*Pars!L36/100</f>
        <v>0</v>
      </c>
      <c r="M45" s="43">
        <f>M44*Pars!M36/100</f>
        <v>0</v>
      </c>
      <c r="N45" s="43">
        <f>N44*Pars!N36/100</f>
        <v>0</v>
      </c>
      <c r="O45" s="63">
        <f>O44*Pars!O36/100</f>
        <v>0</v>
      </c>
      <c r="P45" s="63">
        <f>P44*Pars!P36/100</f>
        <v>0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9330.8799999999992</v>
      </c>
      <c r="E46" s="43">
        <f>Pars!E40*E15</f>
        <v>8519.8112000000001</v>
      </c>
      <c r="F46" s="43">
        <f>Pars!F40*F15</f>
        <v>9029.4207999999999</v>
      </c>
      <c r="G46" s="43">
        <f>Pars!G40*G15</f>
        <v>10112.116899999999</v>
      </c>
      <c r="H46" s="43">
        <f>Pars!H40*H15</f>
        <v>9024.7104999999992</v>
      </c>
      <c r="I46" s="43">
        <f>Pars!I40*I15</f>
        <v>0</v>
      </c>
      <c r="J46" s="43">
        <f>Pars!J40*J15</f>
        <v>0</v>
      </c>
      <c r="K46" s="43">
        <f>Pars!K40*K15</f>
        <v>0</v>
      </c>
      <c r="L46" s="43">
        <f>Pars!L40*L15</f>
        <v>0</v>
      </c>
      <c r="M46" s="43">
        <f>Pars!M40*M15</f>
        <v>0</v>
      </c>
      <c r="N46" s="43">
        <f>Pars!N40*N15</f>
        <v>0</v>
      </c>
      <c r="O46" s="63">
        <f>Pars!O40*O15</f>
        <v>0</v>
      </c>
      <c r="P46" s="63">
        <f>Pars!P40*P15</f>
        <v>0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1232.396</v>
      </c>
      <c r="E47" s="43">
        <f>Pars!E41*E16</f>
        <v>1342.4192</v>
      </c>
      <c r="F47" s="43">
        <f>Pars!F41*F16</f>
        <v>1326.8496</v>
      </c>
      <c r="G47" s="43">
        <f>Pars!G41*G16</f>
        <v>1260.9304</v>
      </c>
      <c r="H47" s="43">
        <f>Pars!H41*H16</f>
        <v>1296.0064</v>
      </c>
      <c r="I47" s="43">
        <f>Pars!I41*I16</f>
        <v>0</v>
      </c>
      <c r="J47" s="43">
        <f>Pars!J41*J16</f>
        <v>0</v>
      </c>
      <c r="K47" s="43">
        <f>Pars!K41*K16</f>
        <v>0</v>
      </c>
      <c r="L47" s="43">
        <f>Pars!L41*L16</f>
        <v>0</v>
      </c>
      <c r="M47" s="43">
        <f>Pars!M41*M16</f>
        <v>0</v>
      </c>
      <c r="N47" s="43">
        <f>Pars!N41*N16</f>
        <v>0</v>
      </c>
      <c r="O47" s="63">
        <f>Pars!O41*O16</f>
        <v>0</v>
      </c>
      <c r="P47" s="63">
        <f>Pars!P41*P16</f>
        <v>0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3819.9900000000002</v>
      </c>
      <c r="E48" s="67">
        <f t="array" ref="E48">SUMPRODUCT(E33:E41,Pars!E44:E52)</f>
        <v>4580.9699999999993</v>
      </c>
      <c r="F48" s="67">
        <f t="array" ref="F48">SUMPRODUCT(F33:F41,Pars!F44:F52)</f>
        <v>3983.13</v>
      </c>
      <c r="G48" s="67">
        <f t="array" ref="G48">SUMPRODUCT(G33:G41,Pars!G44:G52)</f>
        <v>3438.18</v>
      </c>
      <c r="H48" s="67">
        <f t="array" ref="H48">SUMPRODUCT(H33:H41,Pars!H44:H52)</f>
        <v>3016</v>
      </c>
      <c r="I48" s="67">
        <f t="array" ref="I48">SUMPRODUCT(I33:I41,Pars!I44:I52)</f>
        <v>0</v>
      </c>
      <c r="J48" s="67">
        <f t="array" ref="J48">SUMPRODUCT(J33:J41,Pars!J44:J52)</f>
        <v>0</v>
      </c>
      <c r="K48" s="67">
        <f t="array" ref="K48">SUMPRODUCT(K33:K41,Pars!K44:K52)</f>
        <v>0</v>
      </c>
      <c r="L48" s="67">
        <f t="array" ref="L48">SUMPRODUCT(L33:L41,Pars!L44:L52)</f>
        <v>0</v>
      </c>
      <c r="M48" s="67">
        <f t="array" ref="M48">SUMPRODUCT(M33:M41,Pars!M44:M52)</f>
        <v>0</v>
      </c>
      <c r="N48" s="67">
        <f t="array" ref="N48">SUMPRODUCT(N33:N41,Pars!N44:N52)</f>
        <v>0</v>
      </c>
      <c r="O48" s="67">
        <f t="array" ref="O48">SUMPRODUCT(O33:O41,Pars!O44:O52)</f>
        <v>0</v>
      </c>
      <c r="P48" s="67">
        <f t="array" ref="P48">SUMPRODUCT(P33:P41,Pars!P44:P52)</f>
        <v>0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14383.266</v>
      </c>
      <c r="E49" s="67">
        <f t="shared" ref="E49:AC49" si="1">SUM(E46:E48)</f>
        <v>14443.2004</v>
      </c>
      <c r="F49" s="67">
        <f t="shared" si="1"/>
        <v>14339.400399999999</v>
      </c>
      <c r="G49" s="67">
        <f t="shared" si="1"/>
        <v>14811.227299999999</v>
      </c>
      <c r="H49" s="67">
        <f t="shared" si="1"/>
        <v>13336.716899999999</v>
      </c>
      <c r="I49" s="67">
        <f t="shared" si="1"/>
        <v>0</v>
      </c>
      <c r="J49" s="67">
        <f t="shared" si="1"/>
        <v>0</v>
      </c>
      <c r="K49" s="67">
        <f t="shared" si="1"/>
        <v>0</v>
      </c>
      <c r="L49" s="67">
        <f t="shared" si="1"/>
        <v>0</v>
      </c>
      <c r="M49" s="67">
        <f t="shared" si="1"/>
        <v>0</v>
      </c>
      <c r="N49" s="67">
        <f t="shared" si="1"/>
        <v>0</v>
      </c>
      <c r="O49" s="67">
        <f t="shared" si="1"/>
        <v>0</v>
      </c>
      <c r="P49" s="67">
        <f t="shared" si="1"/>
        <v>0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39119.115137919987</v>
      </c>
      <c r="E50" s="70">
        <f t="shared" ref="E50:AC50" si="2">E45-E49</f>
        <v>39919.291372548221</v>
      </c>
      <c r="F50" s="70">
        <f t="shared" si="2"/>
        <v>39895.846429346326</v>
      </c>
      <c r="G50" s="70">
        <f t="shared" si="2"/>
        <v>38717.023005489078</v>
      </c>
      <c r="H50" s="70">
        <f t="shared" si="2"/>
        <v>39553.75349651841</v>
      </c>
      <c r="I50" s="70">
        <f t="shared" si="2"/>
        <v>0</v>
      </c>
      <c r="J50" s="70">
        <f t="shared" si="2"/>
        <v>0</v>
      </c>
      <c r="K50" s="70">
        <f t="shared" si="2"/>
        <v>0</v>
      </c>
      <c r="L50" s="70">
        <f t="shared" si="2"/>
        <v>0</v>
      </c>
      <c r="M50" s="70">
        <f t="shared" si="2"/>
        <v>0</v>
      </c>
      <c r="N50" s="70">
        <f t="shared" si="2"/>
        <v>0</v>
      </c>
      <c r="O50" s="70">
        <f t="shared" si="2"/>
        <v>0</v>
      </c>
      <c r="P50" s="70">
        <f t="shared" si="2"/>
        <v>0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39119.115137919987</v>
      </c>
      <c r="E62" s="79">
        <f t="shared" ref="E62:AC62" si="4">E50+E61</f>
        <v>39919.291372548221</v>
      </c>
      <c r="F62" s="79">
        <f t="shared" si="4"/>
        <v>39895.846429346326</v>
      </c>
      <c r="G62" s="79">
        <f t="shared" si="4"/>
        <v>38717.023005489078</v>
      </c>
      <c r="H62" s="79">
        <f t="shared" si="4"/>
        <v>39553.75349651841</v>
      </c>
      <c r="I62" s="79">
        <f t="shared" si="4"/>
        <v>0</v>
      </c>
      <c r="J62" s="79">
        <f t="shared" si="4"/>
        <v>0</v>
      </c>
      <c r="K62" s="79">
        <f t="shared" si="4"/>
        <v>0</v>
      </c>
      <c r="L62" s="79">
        <f t="shared" si="4"/>
        <v>0</v>
      </c>
      <c r="M62" s="79">
        <f t="shared" si="4"/>
        <v>0</v>
      </c>
      <c r="N62" s="79">
        <f t="shared" si="4"/>
        <v>0</v>
      </c>
      <c r="O62" s="79">
        <f t="shared" si="4"/>
        <v>0</v>
      </c>
      <c r="P62" s="79">
        <f t="shared" si="4"/>
        <v>0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28" priority="5" operator="containsText" text="Nein">
      <formula>NOT(ISERROR(SEARCH("Nein",D22)))</formula>
    </cfRule>
  </conditionalFormatting>
  <conditionalFormatting sqref="D31:AC31">
    <cfRule type="cellIs" dxfId="127" priority="6" operator="equal">
      <formula>"ok"</formula>
    </cfRule>
  </conditionalFormatting>
  <conditionalFormatting sqref="H5:AC12 H14:AC16 H18:AC19 H33:AC41">
    <cfRule type="cellIs" dxfId="126" priority="4" operator="greaterThan">
      <formula>0</formula>
    </cfRule>
  </conditionalFormatting>
  <conditionalFormatting sqref="H6:AC12">
    <cfRule type="expression" dxfId="125" priority="3">
      <formula>NOT(ISBLANK(H6))</formula>
    </cfRule>
  </conditionalFormatting>
  <conditionalFormatting sqref="H18:AC19">
    <cfRule type="expression" dxfId="124" priority="2">
      <formula>NOT(ISBLANK(H18))</formula>
    </cfRule>
  </conditionalFormatting>
  <conditionalFormatting sqref="H56:AC60">
    <cfRule type="cellIs" dxfId="123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88D8874E-B999-41DC-A97F-9C208BE6C8B0}">
      <formula1>"Ja, Nein"</formula1>
    </dataValidation>
  </dataValidation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83456-CF02-4EFC-BEA4-BA8393372BCB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181</v>
      </c>
      <c r="D1" s="32"/>
      <c r="E1" s="32"/>
    </row>
    <row r="2" spans="1:30" x14ac:dyDescent="0.3">
      <c r="A2" s="30"/>
      <c r="B2" s="31" t="s">
        <v>86</v>
      </c>
      <c r="C2" s="33" t="s">
        <v>182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0</v>
      </c>
      <c r="E5" s="42">
        <v>0</v>
      </c>
      <c r="F5" s="42">
        <v>0</v>
      </c>
      <c r="G5" s="42">
        <v>0</v>
      </c>
      <c r="H5" s="43">
        <v>0</v>
      </c>
      <c r="I5" s="43">
        <v>204484</v>
      </c>
      <c r="J5" s="43">
        <v>204484</v>
      </c>
      <c r="K5" s="43">
        <v>228045.97701149428</v>
      </c>
      <c r="L5" s="43">
        <v>235402</v>
      </c>
      <c r="M5" s="43">
        <v>235402</v>
      </c>
      <c r="N5" s="43">
        <v>235402</v>
      </c>
      <c r="O5" s="43">
        <v>235402</v>
      </c>
      <c r="P5" s="43">
        <v>253057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0</v>
      </c>
      <c r="E6" s="42">
        <v>0</v>
      </c>
      <c r="F6" s="42">
        <v>0</v>
      </c>
      <c r="G6" s="42">
        <v>0</v>
      </c>
      <c r="H6" s="47">
        <v>0</v>
      </c>
      <c r="I6" s="47">
        <v>192058</v>
      </c>
      <c r="J6" s="47">
        <v>227071</v>
      </c>
      <c r="K6" s="47">
        <v>240419.03000000003</v>
      </c>
      <c r="L6" s="47">
        <v>256265</v>
      </c>
      <c r="M6" s="47">
        <v>256548</v>
      </c>
      <c r="N6" s="47">
        <v>272162</v>
      </c>
      <c r="O6" s="47">
        <v>284940</v>
      </c>
      <c r="P6" s="47">
        <v>274568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0</v>
      </c>
      <c r="E7" s="42">
        <v>0</v>
      </c>
      <c r="F7" s="42">
        <v>0</v>
      </c>
      <c r="G7" s="42">
        <v>0</v>
      </c>
      <c r="H7" s="47">
        <v>0</v>
      </c>
      <c r="I7" s="47">
        <v>0</v>
      </c>
      <c r="J7" s="47">
        <v>0</v>
      </c>
      <c r="K7" s="47">
        <v>0</v>
      </c>
      <c r="L7" s="47">
        <v>0</v>
      </c>
      <c r="M7" s="47">
        <v>0</v>
      </c>
      <c r="N7" s="47">
        <v>0</v>
      </c>
      <c r="O7" s="47">
        <v>0</v>
      </c>
      <c r="P7" s="47">
        <v>0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>
        <v>0</v>
      </c>
      <c r="E8" s="42">
        <v>0</v>
      </c>
      <c r="F8" s="42">
        <v>0</v>
      </c>
      <c r="G8" s="42">
        <v>0</v>
      </c>
      <c r="H8" s="47">
        <v>0</v>
      </c>
      <c r="I8" s="47">
        <v>6588</v>
      </c>
      <c r="J8" s="47">
        <v>3484</v>
      </c>
      <c r="K8" s="47">
        <v>1691.74</v>
      </c>
      <c r="L8" s="47">
        <v>1695</v>
      </c>
      <c r="M8" s="47">
        <v>3038</v>
      </c>
      <c r="N8" s="47">
        <v>1934</v>
      </c>
      <c r="O8" s="47">
        <v>3110</v>
      </c>
      <c r="P8" s="47">
        <v>2791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>
        <v>0</v>
      </c>
      <c r="E9" s="42">
        <v>0</v>
      </c>
      <c r="F9" s="42">
        <v>0</v>
      </c>
      <c r="G9" s="42">
        <v>0</v>
      </c>
      <c r="H9" s="47">
        <v>0</v>
      </c>
      <c r="I9" s="47">
        <v>1376</v>
      </c>
      <c r="J9" s="47">
        <v>1876</v>
      </c>
      <c r="K9" s="47">
        <v>1138.0999999999999</v>
      </c>
      <c r="L9" s="47">
        <v>0</v>
      </c>
      <c r="M9" s="47">
        <v>0</v>
      </c>
      <c r="N9" s="47">
        <v>0</v>
      </c>
      <c r="O9" s="47">
        <v>0</v>
      </c>
      <c r="P9" s="47">
        <v>0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>
        <v>0</v>
      </c>
      <c r="E10" s="42">
        <v>0</v>
      </c>
      <c r="F10" s="42">
        <v>0</v>
      </c>
      <c r="G10" s="42">
        <v>0</v>
      </c>
      <c r="H10" s="47">
        <v>0</v>
      </c>
      <c r="I10" s="47">
        <v>0</v>
      </c>
      <c r="J10" s="47">
        <v>0</v>
      </c>
      <c r="K10" s="47">
        <v>0</v>
      </c>
      <c r="L10" s="47">
        <v>0</v>
      </c>
      <c r="M10" s="47">
        <v>1</v>
      </c>
      <c r="N10" s="47">
        <v>0</v>
      </c>
      <c r="O10" s="47">
        <v>0</v>
      </c>
      <c r="P10" s="47">
        <v>0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>
        <v>0</v>
      </c>
      <c r="E11" s="42">
        <v>0</v>
      </c>
      <c r="F11" s="42">
        <v>0</v>
      </c>
      <c r="G11" s="42">
        <v>0</v>
      </c>
      <c r="H11" s="47">
        <v>0</v>
      </c>
      <c r="I11" s="47">
        <v>136</v>
      </c>
      <c r="J11" s="47">
        <v>193</v>
      </c>
      <c r="K11" s="47">
        <v>0</v>
      </c>
      <c r="L11" s="47">
        <v>0</v>
      </c>
      <c r="M11" s="47">
        <v>0</v>
      </c>
      <c r="N11" s="47">
        <v>0</v>
      </c>
      <c r="O11" s="47">
        <v>0</v>
      </c>
      <c r="P11" s="47">
        <v>0</v>
      </c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>
        <v>0</v>
      </c>
      <c r="E12" s="42">
        <v>0</v>
      </c>
      <c r="F12" s="42">
        <v>0</v>
      </c>
      <c r="G12" s="42">
        <v>0</v>
      </c>
      <c r="H12" s="47">
        <v>0</v>
      </c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0</v>
      </c>
      <c r="E14" s="51">
        <v>0</v>
      </c>
      <c r="F14" s="51">
        <v>0</v>
      </c>
      <c r="G14" s="51">
        <v>0</v>
      </c>
      <c r="H14" s="43">
        <v>0</v>
      </c>
      <c r="I14" s="43">
        <v>13.25</v>
      </c>
      <c r="J14" s="43">
        <v>13.12</v>
      </c>
      <c r="K14" s="43">
        <v>13.12</v>
      </c>
      <c r="L14" s="43">
        <v>12.98</v>
      </c>
      <c r="M14" s="43">
        <v>13.02</v>
      </c>
      <c r="N14" s="43">
        <v>12.842000000000001</v>
      </c>
      <c r="O14" s="43">
        <v>12.51</v>
      </c>
      <c r="P14" s="43">
        <v>12.88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0</v>
      </c>
      <c r="E15" s="42">
        <v>0</v>
      </c>
      <c r="F15" s="42">
        <v>0</v>
      </c>
      <c r="G15" s="42">
        <v>0</v>
      </c>
      <c r="H15" s="47">
        <v>0</v>
      </c>
      <c r="I15" s="47">
        <f>189600+1147</f>
        <v>190747</v>
      </c>
      <c r="J15" s="47">
        <v>303065</v>
      </c>
      <c r="K15" s="47">
        <v>321904</v>
      </c>
      <c r="L15" s="47">
        <v>344002</v>
      </c>
      <c r="M15" s="47">
        <f>321157+76637</f>
        <v>397794</v>
      </c>
      <c r="N15" s="47">
        <v>339264</v>
      </c>
      <c r="O15" s="47">
        <v>407187</v>
      </c>
      <c r="P15" s="47">
        <f>300255+83862</f>
        <v>384117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0</v>
      </c>
      <c r="E16" s="42">
        <v>0</v>
      </c>
      <c r="F16" s="42">
        <v>0</v>
      </c>
      <c r="G16" s="42">
        <v>0</v>
      </c>
      <c r="H16" s="47">
        <v>0</v>
      </c>
      <c r="I16" s="47">
        <v>100658</v>
      </c>
      <c r="J16" s="47">
        <v>149511</v>
      </c>
      <c r="K16" s="47">
        <v>151555</v>
      </c>
      <c r="L16" s="47">
        <v>164449</v>
      </c>
      <c r="M16" s="47">
        <v>155779</v>
      </c>
      <c r="N16" s="47">
        <v>175249</v>
      </c>
      <c r="O16" s="47">
        <v>167175</v>
      </c>
      <c r="P16" s="47">
        <v>175762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0</v>
      </c>
      <c r="E18" s="42">
        <v>0</v>
      </c>
      <c r="F18" s="42">
        <v>0</v>
      </c>
      <c r="G18" s="42">
        <v>0</v>
      </c>
      <c r="H18" s="43">
        <v>0</v>
      </c>
      <c r="I18" s="43">
        <v>45814</v>
      </c>
      <c r="J18" s="43">
        <v>50527</v>
      </c>
      <c r="K18" s="43">
        <v>52553.56</v>
      </c>
      <c r="L18" s="43">
        <v>58278</v>
      </c>
      <c r="M18" s="43">
        <v>51774</v>
      </c>
      <c r="N18" s="43">
        <v>61427</v>
      </c>
      <c r="O18" s="43">
        <v>66087</v>
      </c>
      <c r="P18" s="43">
        <v>61107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0</v>
      </c>
      <c r="E19" s="42">
        <v>0</v>
      </c>
      <c r="F19" s="42">
        <v>0</v>
      </c>
      <c r="G19" s="42">
        <v>0</v>
      </c>
      <c r="H19" s="47">
        <v>0</v>
      </c>
      <c r="I19" s="47">
        <v>3289</v>
      </c>
      <c r="J19" s="47">
        <v>4699</v>
      </c>
      <c r="K19" s="47">
        <v>5457.3</v>
      </c>
      <c r="L19" s="47">
        <v>6235</v>
      </c>
      <c r="M19" s="47">
        <v>6538</v>
      </c>
      <c r="N19" s="47">
        <v>6422</v>
      </c>
      <c r="O19" s="47">
        <v>7088</v>
      </c>
      <c r="P19" s="47">
        <v>6775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113</v>
      </c>
      <c r="G23" s="59" t="s">
        <v>113</v>
      </c>
      <c r="H23" s="59" t="s">
        <v>113</v>
      </c>
      <c r="I23" s="59" t="s">
        <v>113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112</v>
      </c>
      <c r="E25" s="59" t="s">
        <v>112</v>
      </c>
      <c r="F25" s="59" t="s">
        <v>112</v>
      </c>
      <c r="G25" s="59" t="s">
        <v>112</v>
      </c>
      <c r="H25" s="59" t="s">
        <v>112</v>
      </c>
      <c r="I25" s="59" t="s">
        <v>112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112</v>
      </c>
      <c r="K26" s="59" t="s">
        <v>112</v>
      </c>
      <c r="L26" s="59" t="s">
        <v>112</v>
      </c>
      <c r="M26" s="59" t="s">
        <v>112</v>
      </c>
      <c r="N26" s="59" t="s">
        <v>112</v>
      </c>
      <c r="O26" s="59" t="s">
        <v>112</v>
      </c>
      <c r="P26" s="59" t="s">
        <v>112</v>
      </c>
      <c r="Q26" s="59" t="s">
        <v>112</v>
      </c>
      <c r="R26" s="59" t="s">
        <v>112</v>
      </c>
      <c r="S26" s="59" t="s">
        <v>112</v>
      </c>
      <c r="T26" s="59" t="s">
        <v>112</v>
      </c>
      <c r="U26" s="59" t="s">
        <v>112</v>
      </c>
      <c r="V26" s="59" t="s">
        <v>112</v>
      </c>
      <c r="W26" s="59" t="s">
        <v>112</v>
      </c>
      <c r="X26" s="59" t="s">
        <v>112</v>
      </c>
      <c r="Y26" s="59" t="s">
        <v>112</v>
      </c>
      <c r="Z26" s="59" t="s">
        <v>112</v>
      </c>
      <c r="AA26" s="59" t="s">
        <v>112</v>
      </c>
      <c r="AB26" s="59" t="s">
        <v>112</v>
      </c>
      <c r="AC26" s="59" t="s">
        <v>112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0</v>
      </c>
      <c r="E33" s="47">
        <v>0</v>
      </c>
      <c r="F33" s="47">
        <v>0</v>
      </c>
      <c r="G33" s="47">
        <v>0</v>
      </c>
      <c r="H33" s="43">
        <v>0</v>
      </c>
      <c r="I33" s="43">
        <v>2186</v>
      </c>
      <c r="J33" s="43">
        <v>2739</v>
      </c>
      <c r="K33" s="43">
        <v>2734.93</v>
      </c>
      <c r="L33" s="43">
        <v>3041</v>
      </c>
      <c r="M33" s="43">
        <v>3492</v>
      </c>
      <c r="N33" s="43">
        <v>4787</v>
      </c>
      <c r="O33" s="63">
        <v>5203</v>
      </c>
      <c r="P33" s="63">
        <v>4901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>
        <v>0</v>
      </c>
      <c r="E34" s="47">
        <v>0</v>
      </c>
      <c r="F34" s="47">
        <v>0</v>
      </c>
      <c r="G34" s="47">
        <v>0</v>
      </c>
      <c r="H34" s="47"/>
      <c r="I34" s="47"/>
      <c r="J34" s="47">
        <v>780</v>
      </c>
      <c r="K34" s="47">
        <v>449.02000000000004</v>
      </c>
      <c r="L34" s="47">
        <v>624</v>
      </c>
      <c r="M34" s="47">
        <v>531</v>
      </c>
      <c r="N34" s="47">
        <v>1180</v>
      </c>
      <c r="O34" s="64">
        <v>1691</v>
      </c>
      <c r="P34" s="64">
        <v>1156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>
        <v>0</v>
      </c>
      <c r="E35" s="47">
        <v>0</v>
      </c>
      <c r="F35" s="47">
        <v>0</v>
      </c>
      <c r="G35" s="47">
        <v>0</v>
      </c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>
        <v>0</v>
      </c>
      <c r="E36" s="47">
        <v>0</v>
      </c>
      <c r="F36" s="47">
        <v>0</v>
      </c>
      <c r="G36" s="47">
        <v>0</v>
      </c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21</v>
      </c>
      <c r="J37" s="47">
        <v>22</v>
      </c>
      <c r="K37" s="47">
        <v>23.62</v>
      </c>
      <c r="L37" s="47">
        <v>16</v>
      </c>
      <c r="M37" s="47">
        <v>4</v>
      </c>
      <c r="N37" s="47">
        <v>6</v>
      </c>
      <c r="O37" s="64">
        <v>14</v>
      </c>
      <c r="P37" s="64">
        <v>35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>
        <v>0</v>
      </c>
      <c r="E38" s="47">
        <v>0</v>
      </c>
      <c r="F38" s="47">
        <v>0</v>
      </c>
      <c r="G38" s="47">
        <v>0</v>
      </c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>
        <v>0</v>
      </c>
      <c r="E39" s="47">
        <v>0</v>
      </c>
      <c r="F39" s="47">
        <v>0</v>
      </c>
      <c r="G39" s="47">
        <v>0</v>
      </c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>
        <v>0</v>
      </c>
      <c r="E40" s="47">
        <v>0</v>
      </c>
      <c r="F40" s="47">
        <v>0</v>
      </c>
      <c r="G40" s="47">
        <v>0</v>
      </c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0</v>
      </c>
      <c r="E41" s="47">
        <v>0</v>
      </c>
      <c r="F41" s="47">
        <v>0</v>
      </c>
      <c r="G41" s="47">
        <v>0</v>
      </c>
      <c r="H41" s="47">
        <v>0</v>
      </c>
      <c r="I41" s="47">
        <v>752</v>
      </c>
      <c r="J41" s="47">
        <v>634</v>
      </c>
      <c r="K41" s="47">
        <v>864.71</v>
      </c>
      <c r="L41" s="47">
        <v>409</v>
      </c>
      <c r="M41" s="47">
        <v>310</v>
      </c>
      <c r="N41" s="47">
        <v>173</v>
      </c>
      <c r="O41" s="64">
        <v>206</v>
      </c>
      <c r="P41" s="64">
        <v>229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(Pars!D56+(D_LU_2!D14-Pars!D57)*Pars!D58)/Pars!D59</f>
        <v>6.8000000000000005E-2</v>
      </c>
      <c r="E43" s="66">
        <f>(Pars!E56+(D_LU_2!E14-Pars!E57)*Pars!E58)/Pars!E59</f>
        <v>6.7999932000068E-2</v>
      </c>
      <c r="F43" s="66">
        <f>(Pars!F56+(D_LU_2!F14-Pars!F57)*Pars!F58)/Pars!F59</f>
        <v>6.7999864000271998E-2</v>
      </c>
      <c r="G43" s="66">
        <f>(Pars!G56+(D_LU_2!G14-Pars!G57)*Pars!G58)/Pars!G59</f>
        <v>6.7999796000611998E-2</v>
      </c>
      <c r="H43" s="66">
        <f>(Pars!H56+(D_LU_2!H14-Pars!H57)*Pars!H58)/Pars!H59</f>
        <v>6.7999728001088E-2</v>
      </c>
      <c r="I43" s="66">
        <f>(Pars!I56+(D_LU_2!I14-Pars!I57)*Pars!I58)/Pars!I59</f>
        <v>0.32769836150819248</v>
      </c>
      <c r="J43" s="66">
        <f>(Pars!J56+(D_LU_2!J14-Pars!J57)*Pars!J58)/Pars!J59</f>
        <v>0.32515004909970541</v>
      </c>
      <c r="K43" s="66">
        <f>(Pars!K56+(D_LU_2!K14-Pars!K57)*Pars!K58)/Pars!K59</f>
        <v>0.32514972395193231</v>
      </c>
      <c r="L43" s="66">
        <f>(Pars!L56+(D_LU_2!L14-Pars!L57)*Pars!L58)/Pars!L59</f>
        <v>0.32240542075663392</v>
      </c>
      <c r="M43" s="66">
        <f>(Pars!M56+(D_LU_2!M14-Pars!M57)*Pars!M58)/Pars!M59</f>
        <v>0.3231890912981783</v>
      </c>
      <c r="N43" s="66">
        <f>(Pars!N56+(D_LU_2!N14-Pars!N57)*Pars!N58)/Pars!N59</f>
        <v>0.31970000299997003</v>
      </c>
      <c r="O43" s="66">
        <f>(Pars!O56+(D_LU_2!O14-Pars!O57)*Pars!O58)/Pars!O59</f>
        <v>0.31319255488189629</v>
      </c>
      <c r="P43" s="66">
        <f>(Pars!P56+(D_LU_2!P14-Pars!P57)*Pars!P58)/Pars!P59</f>
        <v>0.32044415467014398</v>
      </c>
      <c r="Q43" s="66">
        <f>(Pars!Q56+(D_LU_2!Q14-Pars!Q57)*Pars!Q58)/Pars!Q59</f>
        <v>6.7999116011491847E-2</v>
      </c>
      <c r="R43" s="66">
        <f>(Pars!R56+(D_LU_2!R14-Pars!R57)*Pars!R58)/Pars!R59</f>
        <v>6.7999048013327817E-2</v>
      </c>
      <c r="S43" s="66">
        <f>(Pars!S56+(D_LU_2!S14-Pars!S57)*Pars!S58)/Pars!S59</f>
        <v>6.7998980015299776E-2</v>
      </c>
      <c r="T43" s="66">
        <f>(Pars!T56+(D_LU_2!T14-Pars!T57)*Pars!T58)/Pars!T59</f>
        <v>6.7998980015299776E-2</v>
      </c>
      <c r="U43" s="66">
        <f>(Pars!U56+(D_LU_2!U14-Pars!U57)*Pars!U58)/Pars!U59</f>
        <v>6.7998980015299776E-2</v>
      </c>
      <c r="V43" s="66">
        <f>(Pars!V56+(D_LU_2!V14-Pars!V57)*Pars!V58)/Pars!V59</f>
        <v>6.7998980015299776E-2</v>
      </c>
      <c r="W43" s="66">
        <f>(Pars!W56+(D_LU_2!W14-Pars!W57)*Pars!W58)/Pars!W59</f>
        <v>6.7998980015299776E-2</v>
      </c>
      <c r="X43" s="66">
        <f>(Pars!X56+(D_LU_2!X14-Pars!X57)*Pars!X58)/Pars!X59</f>
        <v>6.7998980015299776E-2</v>
      </c>
      <c r="Y43" s="66">
        <f>(Pars!Y56+(D_LU_2!Y14-Pars!Y57)*Pars!Y58)/Pars!Y59</f>
        <v>6.7998980015299776E-2</v>
      </c>
      <c r="Z43" s="66">
        <f>(Pars!Z56+(D_LU_2!Z14-Pars!Z57)*Pars!Z58)/Pars!Z59</f>
        <v>6.7998980015299776E-2</v>
      </c>
      <c r="AA43" s="66">
        <f>(Pars!AA56+(D_LU_2!AA14-Pars!AA57)*Pars!AA58)/Pars!AA59</f>
        <v>6.7998980015299776E-2</v>
      </c>
      <c r="AB43" s="66">
        <f>(Pars!AB56+(D_LU_2!AB14-Pars!AB57)*Pars!AB58)/Pars!AB59</f>
        <v>6.7998980015299776E-2</v>
      </c>
      <c r="AC43" s="66">
        <f>(Pars!AC56+(D_LU_2!AC14-Pars!AC57)*Pars!AC58)/Pars!AC59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0</v>
      </c>
      <c r="E44" s="43">
        <f>Pars!E37*E43*E6</f>
        <v>0</v>
      </c>
      <c r="F44" s="43">
        <f>Pars!F37*F43*F6</f>
        <v>0</v>
      </c>
      <c r="G44" s="43">
        <f>Pars!G37*G43*G6</f>
        <v>0</v>
      </c>
      <c r="H44" s="43">
        <f>Pars!H37*H43*H6</f>
        <v>0</v>
      </c>
      <c r="I44" s="43">
        <f>Pars!I37*I43*I6</f>
        <v>230769.33701998158</v>
      </c>
      <c r="J44" s="43">
        <f>Pars!J37*J43*J6</f>
        <v>270717.87159677042</v>
      </c>
      <c r="K44" s="43">
        <f>Pars!K37*K43*K6</f>
        <v>286631.33120340155</v>
      </c>
      <c r="L44" s="43">
        <f>Pars!L37*L43*L6</f>
        <v>302944.49221739557</v>
      </c>
      <c r="M44" s="43">
        <f>Pars!M37*M43*M6</f>
        <v>304016.22164600517</v>
      </c>
      <c r="N44" s="43">
        <f>Pars!N37*N43*N6</f>
        <v>319037.37146041874</v>
      </c>
      <c r="O44" s="63">
        <f>Pars!O37*O43*O6</f>
        <v>327217.31748950761</v>
      </c>
      <c r="P44" s="63">
        <f>Pars!P37*P43*P6</f>
        <v>322606.93908473098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0</v>
      </c>
      <c r="E45" s="43">
        <f>E44*Pars!E36/100</f>
        <v>0</v>
      </c>
      <c r="F45" s="43">
        <f>F44*Pars!F36/100</f>
        <v>0</v>
      </c>
      <c r="G45" s="43">
        <f>G44*Pars!G36/100</f>
        <v>0</v>
      </c>
      <c r="H45" s="43">
        <f>H44*Pars!H36/100</f>
        <v>0</v>
      </c>
      <c r="I45" s="43">
        <f>I44*Pars!I36/100</f>
        <v>110769.28176959117</v>
      </c>
      <c r="J45" s="43">
        <f>J44*Pars!J36/100</f>
        <v>129944.57836644982</v>
      </c>
      <c r="K45" s="43">
        <f>K44*Pars!K36/100</f>
        <v>137583.03897763274</v>
      </c>
      <c r="L45" s="43">
        <f>L44*Pars!L36/100</f>
        <v>145413.35626434989</v>
      </c>
      <c r="M45" s="43">
        <f>M44*Pars!M36/100</f>
        <v>145927.78639008247</v>
      </c>
      <c r="N45" s="43">
        <f>N44*Pars!N36/100</f>
        <v>153137.93830100101</v>
      </c>
      <c r="O45" s="63">
        <f>O44*Pars!O36/100</f>
        <v>157064.31239496366</v>
      </c>
      <c r="P45" s="63">
        <f>P44*Pars!P36/100</f>
        <v>154851.33076067085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0</v>
      </c>
      <c r="E46" s="43">
        <f>Pars!E40*E15</f>
        <v>0</v>
      </c>
      <c r="F46" s="43">
        <f>Pars!F40*F15</f>
        <v>0</v>
      </c>
      <c r="G46" s="43">
        <f>Pars!G40*G15</f>
        <v>0</v>
      </c>
      <c r="H46" s="43">
        <f>Pars!H40*H15</f>
        <v>0</v>
      </c>
      <c r="I46" s="43">
        <f>Pars!I40*I15</f>
        <v>42784.552100000001</v>
      </c>
      <c r="J46" s="43">
        <f>Pars!J40*J15</f>
        <v>67977.479500000001</v>
      </c>
      <c r="K46" s="43">
        <f>Pars!K40*K15</f>
        <v>72203.067200000005</v>
      </c>
      <c r="L46" s="43">
        <f>Pars!L40*L15</f>
        <v>77159.6486</v>
      </c>
      <c r="M46" s="43">
        <f>Pars!M40*M15</f>
        <v>89225.194199999998</v>
      </c>
      <c r="N46" s="43">
        <f>Pars!N40*N15</f>
        <v>76096.915200000003</v>
      </c>
      <c r="O46" s="63">
        <f>Pars!O40*O15</f>
        <v>91332.044099999999</v>
      </c>
      <c r="P46" s="63">
        <f>Pars!P40*P15</f>
        <v>86157.443100000004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0</v>
      </c>
      <c r="E47" s="43">
        <f>Pars!E41*E16</f>
        <v>0</v>
      </c>
      <c r="F47" s="43">
        <f>Pars!F41*F16</f>
        <v>0</v>
      </c>
      <c r="G47" s="43">
        <f>Pars!G41*G16</f>
        <v>0</v>
      </c>
      <c r="H47" s="43">
        <f>Pars!H41*H16</f>
        <v>0</v>
      </c>
      <c r="I47" s="43">
        <f>Pars!I41*I16</f>
        <v>2979.4767999999999</v>
      </c>
      <c r="J47" s="43">
        <f>Pars!J41*J16</f>
        <v>4425.5255999999999</v>
      </c>
      <c r="K47" s="43">
        <f>Pars!K41*K16</f>
        <v>4486.0280000000002</v>
      </c>
      <c r="L47" s="43">
        <f>Pars!L41*L16</f>
        <v>4867.6904000000004</v>
      </c>
      <c r="M47" s="43">
        <f>Pars!M41*M16</f>
        <v>4611.0583999999999</v>
      </c>
      <c r="N47" s="43">
        <f>Pars!N41*N16</f>
        <v>5187.3703999999998</v>
      </c>
      <c r="O47" s="63">
        <f>Pars!O41*O16</f>
        <v>4948.38</v>
      </c>
      <c r="P47" s="63">
        <f>Pars!P41*P16</f>
        <v>5202.5551999999998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0</v>
      </c>
      <c r="E48" s="67">
        <f t="array" ref="E48">SUMPRODUCT(E33:E41,Pars!E44:E52)</f>
        <v>0</v>
      </c>
      <c r="F48" s="67">
        <f t="array" ref="F48">SUMPRODUCT(F33:F41,Pars!F44:F52)</f>
        <v>0</v>
      </c>
      <c r="G48" s="67">
        <f t="array" ref="G48">SUMPRODUCT(G33:G41,Pars!G44:G52)</f>
        <v>0</v>
      </c>
      <c r="H48" s="67">
        <f t="array" ref="H48">SUMPRODUCT(H33:H41,Pars!H44:H52)</f>
        <v>0</v>
      </c>
      <c r="I48" s="67">
        <f t="array" ref="I48">SUMPRODUCT(I33:I41,Pars!I44:I52)</f>
        <v>7112.1</v>
      </c>
      <c r="J48" s="67">
        <f t="array" ref="J48">SUMPRODUCT(J33:J41,Pars!J44:J52)</f>
        <v>14137.77</v>
      </c>
      <c r="K48" s="67">
        <f t="array" ref="K48">SUMPRODUCT(K33:K41,Pars!K44:K52)</f>
        <v>12412.910899999999</v>
      </c>
      <c r="L48" s="67">
        <f t="array" ref="L48">SUMPRODUCT(L33:L41,Pars!L44:L52)</f>
        <v>12098.51</v>
      </c>
      <c r="M48" s="67">
        <f t="array" ref="M48">SUMPRODUCT(M33:M41,Pars!M44:M52)</f>
        <v>11447.07</v>
      </c>
      <c r="N48" s="67">
        <f t="array" ref="N48">SUMPRODUCT(N33:N41,Pars!N44:N52)</f>
        <v>18362.21</v>
      </c>
      <c r="O48" s="67">
        <f t="array" ref="O48">SUMPRODUCT(O33:O41,Pars!O44:O52)</f>
        <v>23615.48</v>
      </c>
      <c r="P48" s="67">
        <f t="array" ref="P48">SUMPRODUCT(P33:P41,Pars!P44:P52)</f>
        <v>18676.550000000003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0</v>
      </c>
      <c r="E49" s="67">
        <f t="shared" ref="E49:AC49" si="1">SUM(E46:E48)</f>
        <v>0</v>
      </c>
      <c r="F49" s="67">
        <f t="shared" si="1"/>
        <v>0</v>
      </c>
      <c r="G49" s="67">
        <f t="shared" si="1"/>
        <v>0</v>
      </c>
      <c r="H49" s="67">
        <f t="shared" si="1"/>
        <v>0</v>
      </c>
      <c r="I49" s="67">
        <f t="shared" si="1"/>
        <v>52876.128899999996</v>
      </c>
      <c r="J49" s="67">
        <f t="shared" si="1"/>
        <v>86540.775099999999</v>
      </c>
      <c r="K49" s="67">
        <f t="shared" si="1"/>
        <v>89102.006100000013</v>
      </c>
      <c r="L49" s="67">
        <f t="shared" si="1"/>
        <v>94125.849000000002</v>
      </c>
      <c r="M49" s="67">
        <f t="shared" si="1"/>
        <v>105283.32259999998</v>
      </c>
      <c r="N49" s="67">
        <f t="shared" si="1"/>
        <v>99646.495599999995</v>
      </c>
      <c r="O49" s="67">
        <f t="shared" si="1"/>
        <v>119895.9041</v>
      </c>
      <c r="P49" s="67">
        <f t="shared" si="1"/>
        <v>110036.54830000001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0</v>
      </c>
      <c r="E50" s="70">
        <f t="shared" ref="E50:AC50" si="2">E45-E49</f>
        <v>0</v>
      </c>
      <c r="F50" s="70">
        <f t="shared" si="2"/>
        <v>0</v>
      </c>
      <c r="G50" s="70">
        <f t="shared" si="2"/>
        <v>0</v>
      </c>
      <c r="H50" s="70">
        <f t="shared" si="2"/>
        <v>0</v>
      </c>
      <c r="I50" s="70">
        <f t="shared" si="2"/>
        <v>57893.152869591169</v>
      </c>
      <c r="J50" s="70">
        <f t="shared" si="2"/>
        <v>43403.803266449817</v>
      </c>
      <c r="K50" s="70">
        <f t="shared" si="2"/>
        <v>48481.032877632722</v>
      </c>
      <c r="L50" s="70">
        <f t="shared" si="2"/>
        <v>51287.507264349886</v>
      </c>
      <c r="M50" s="70">
        <f t="shared" si="2"/>
        <v>40644.463790082489</v>
      </c>
      <c r="N50" s="70">
        <f t="shared" si="2"/>
        <v>53491.442701001011</v>
      </c>
      <c r="O50" s="70">
        <f t="shared" si="2"/>
        <v>37168.408294963665</v>
      </c>
      <c r="P50" s="70">
        <f t="shared" si="2"/>
        <v>44814.782460670845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16</v>
      </c>
      <c r="J56" s="47">
        <v>1025</v>
      </c>
      <c r="K56" s="47">
        <v>2732</v>
      </c>
      <c r="L56" s="47">
        <v>3798</v>
      </c>
      <c r="M56" s="47">
        <v>13478</v>
      </c>
      <c r="N56" s="47">
        <v>13967</v>
      </c>
      <c r="O56" s="64">
        <v>14715</v>
      </c>
      <c r="P56" s="64">
        <v>17918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16</v>
      </c>
      <c r="J61" s="76">
        <f t="shared" si="3"/>
        <v>1025</v>
      </c>
      <c r="K61" s="76">
        <f t="shared" si="3"/>
        <v>2732</v>
      </c>
      <c r="L61" s="76">
        <f t="shared" si="3"/>
        <v>3798</v>
      </c>
      <c r="M61" s="76">
        <f t="shared" si="3"/>
        <v>13478</v>
      </c>
      <c r="N61" s="76">
        <f t="shared" si="3"/>
        <v>13967</v>
      </c>
      <c r="O61" s="76">
        <f t="shared" si="3"/>
        <v>14715</v>
      </c>
      <c r="P61" s="76">
        <f t="shared" si="3"/>
        <v>17918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0</v>
      </c>
      <c r="E62" s="79">
        <f t="shared" ref="E62:AC62" si="4">E50+E61</f>
        <v>0</v>
      </c>
      <c r="F62" s="79">
        <f t="shared" si="4"/>
        <v>0</v>
      </c>
      <c r="G62" s="79">
        <f t="shared" si="4"/>
        <v>0</v>
      </c>
      <c r="H62" s="79">
        <f t="shared" si="4"/>
        <v>0</v>
      </c>
      <c r="I62" s="79">
        <f t="shared" si="4"/>
        <v>57909.152869591169</v>
      </c>
      <c r="J62" s="79">
        <f t="shared" si="4"/>
        <v>44428.803266449817</v>
      </c>
      <c r="K62" s="79">
        <f t="shared" si="4"/>
        <v>51213.032877632722</v>
      </c>
      <c r="L62" s="79">
        <f t="shared" si="4"/>
        <v>55085.507264349886</v>
      </c>
      <c r="M62" s="79">
        <f t="shared" si="4"/>
        <v>54122.463790082489</v>
      </c>
      <c r="N62" s="79">
        <f t="shared" si="4"/>
        <v>67458.442701001011</v>
      </c>
      <c r="O62" s="79">
        <f t="shared" si="4"/>
        <v>51883.408294963665</v>
      </c>
      <c r="P62" s="79">
        <f t="shared" si="4"/>
        <v>62732.782460670845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22" priority="5" operator="containsText" text="Nein">
      <formula>NOT(ISERROR(SEARCH("Nein",D22)))</formula>
    </cfRule>
  </conditionalFormatting>
  <conditionalFormatting sqref="D31:AC31">
    <cfRule type="cellIs" dxfId="121" priority="6" operator="equal">
      <formula>"ok"</formula>
    </cfRule>
  </conditionalFormatting>
  <conditionalFormatting sqref="H5:AC12 H14:AC16 H18:AC19 H33:AC41">
    <cfRule type="cellIs" dxfId="120" priority="4" operator="greaterThan">
      <formula>0</formula>
    </cfRule>
  </conditionalFormatting>
  <conditionalFormatting sqref="H6:AC12">
    <cfRule type="expression" dxfId="119" priority="3">
      <formula>NOT(ISBLANK(H6))</formula>
    </cfRule>
  </conditionalFormatting>
  <conditionalFormatting sqref="H18:AC19">
    <cfRule type="expression" dxfId="118" priority="2">
      <formula>NOT(ISBLANK(H18))</formula>
    </cfRule>
  </conditionalFormatting>
  <conditionalFormatting sqref="H56:AC60">
    <cfRule type="cellIs" dxfId="117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9436606F-7D9C-45BF-B68F-C51366E87AA7}">
      <formula1>"Ja, Nein"</formula1>
    </dataValidation>
  </dataValidation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9EA0D-3FCA-41B2-AB10-23AA75B72FBE}">
  <sheetPr>
    <tabColor theme="2" tint="-0.499984740745262"/>
  </sheetPr>
  <dimension ref="A1:AD134"/>
  <sheetViews>
    <sheetView zoomScale="90" zoomScaleNormal="90"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183</v>
      </c>
      <c r="D1" s="32"/>
      <c r="E1" s="32"/>
    </row>
    <row r="2" spans="1:30" x14ac:dyDescent="0.3">
      <c r="A2" s="30"/>
      <c r="B2" s="31" t="s">
        <v>86</v>
      </c>
      <c r="C2" s="33" t="s">
        <v>184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68466</v>
      </c>
      <c r="E5" s="42">
        <v>68466</v>
      </c>
      <c r="F5" s="42">
        <v>68466</v>
      </c>
      <c r="G5" s="42">
        <v>68466</v>
      </c>
      <c r="H5" s="43">
        <v>68466</v>
      </c>
      <c r="I5" s="43">
        <v>68684</v>
      </c>
      <c r="J5" s="43">
        <v>66850</v>
      </c>
      <c r="K5" s="43">
        <v>67046.571583542172</v>
      </c>
      <c r="L5" s="43">
        <v>68394</v>
      </c>
      <c r="M5" s="43">
        <v>69255</v>
      </c>
      <c r="N5" s="43">
        <v>67371</v>
      </c>
      <c r="O5" s="43">
        <v>65815</v>
      </c>
      <c r="P5" s="43">
        <v>65629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64397</v>
      </c>
      <c r="E6" s="42">
        <v>68402</v>
      </c>
      <c r="F6" s="42">
        <v>61743</v>
      </c>
      <c r="G6" s="42">
        <v>59377</v>
      </c>
      <c r="H6" s="47">
        <v>60585</v>
      </c>
      <c r="I6" s="47">
        <v>61017</v>
      </c>
      <c r="J6" s="47">
        <v>50870</v>
      </c>
      <c r="K6" s="47">
        <v>36317.900999999998</v>
      </c>
      <c r="L6" s="47">
        <v>62734</v>
      </c>
      <c r="M6" s="47">
        <v>69522</v>
      </c>
      <c r="N6" s="47">
        <v>66545</v>
      </c>
      <c r="O6" s="47">
        <v>67049</v>
      </c>
      <c r="P6" s="47">
        <v>65702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7100</v>
      </c>
      <c r="E7" s="42">
        <v>6742</v>
      </c>
      <c r="F7" s="42">
        <v>4959</v>
      </c>
      <c r="G7" s="42">
        <v>5775</v>
      </c>
      <c r="H7" s="47">
        <v>8209</v>
      </c>
      <c r="I7" s="47">
        <v>2332</v>
      </c>
      <c r="J7" s="47">
        <v>5512</v>
      </c>
      <c r="K7" s="47">
        <v>7683.2499999999991</v>
      </c>
      <c r="L7" s="47">
        <v>4899</v>
      </c>
      <c r="M7" s="47">
        <v>8565</v>
      </c>
      <c r="N7" s="47">
        <v>8970</v>
      </c>
      <c r="O7" s="47">
        <v>8046</v>
      </c>
      <c r="P7" s="47">
        <v>9723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>
        <v>15606</v>
      </c>
      <c r="G8" s="42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11.13</v>
      </c>
      <c r="E14" s="51">
        <v>11.127000000000001</v>
      </c>
      <c r="F14" s="51">
        <v>11.555999999999999</v>
      </c>
      <c r="G14" s="51">
        <v>10.9</v>
      </c>
      <c r="H14" s="43">
        <v>10.86</v>
      </c>
      <c r="I14" s="43">
        <v>11.41</v>
      </c>
      <c r="J14" s="43">
        <v>11.72</v>
      </c>
      <c r="K14" s="43">
        <v>10.61</v>
      </c>
      <c r="L14" s="43">
        <v>10.89</v>
      </c>
      <c r="M14" s="43">
        <v>11.41</v>
      </c>
      <c r="N14" s="43">
        <v>11.682</v>
      </c>
      <c r="O14" s="43">
        <v>11.62</v>
      </c>
      <c r="P14" s="43">
        <v>11.62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26440</v>
      </c>
      <c r="E15" s="42">
        <v>23607</v>
      </c>
      <c r="F15" s="42">
        <v>27842</v>
      </c>
      <c r="G15" s="42">
        <v>29480</v>
      </c>
      <c r="H15" s="47">
        <v>25729</v>
      </c>
      <c r="I15" s="47">
        <v>22645</v>
      </c>
      <c r="J15" s="47">
        <v>24932</v>
      </c>
      <c r="K15" s="47">
        <v>26494</v>
      </c>
      <c r="L15" s="47">
        <v>25388</v>
      </c>
      <c r="M15" s="47">
        <v>26042</v>
      </c>
      <c r="N15" s="47">
        <v>24762</v>
      </c>
      <c r="O15" s="47">
        <v>27705</v>
      </c>
      <c r="P15" s="47">
        <v>24108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27079</v>
      </c>
      <c r="E16" s="42">
        <v>27861</v>
      </c>
      <c r="F16" s="42">
        <v>26002</v>
      </c>
      <c r="G16" s="42">
        <v>22558</v>
      </c>
      <c r="H16" s="47">
        <v>24766</v>
      </c>
      <c r="I16" s="47">
        <v>25500</v>
      </c>
      <c r="J16" s="47">
        <v>18325</v>
      </c>
      <c r="K16" s="47">
        <v>11899</v>
      </c>
      <c r="L16" s="47">
        <v>26464</v>
      </c>
      <c r="M16" s="47">
        <v>29442</v>
      </c>
      <c r="N16" s="47">
        <v>28578</v>
      </c>
      <c r="O16" s="47">
        <v>29377</v>
      </c>
      <c r="P16" s="47">
        <v>29030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13972</v>
      </c>
      <c r="E18" s="42">
        <v>13357</v>
      </c>
      <c r="F18" s="42">
        <v>11833</v>
      </c>
      <c r="G18" s="42">
        <v>11425</v>
      </c>
      <c r="H18" s="43">
        <v>11968</v>
      </c>
      <c r="I18" s="43">
        <v>12016</v>
      </c>
      <c r="J18" s="43">
        <v>10754</v>
      </c>
      <c r="K18" s="43">
        <v>7223.96</v>
      </c>
      <c r="L18" s="43">
        <v>12576</v>
      </c>
      <c r="M18" s="43">
        <v>11984</v>
      </c>
      <c r="N18" s="43">
        <v>13540</v>
      </c>
      <c r="O18" s="43">
        <v>13945</v>
      </c>
      <c r="P18" s="43">
        <v>14311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1425</v>
      </c>
      <c r="E19" s="42">
        <v>1725</v>
      </c>
      <c r="F19" s="42">
        <v>1575</v>
      </c>
      <c r="G19" s="42">
        <v>1412</v>
      </c>
      <c r="H19" s="47">
        <v>1438</v>
      </c>
      <c r="I19" s="47">
        <v>1509</v>
      </c>
      <c r="J19" s="47">
        <v>1262</v>
      </c>
      <c r="K19" s="47">
        <v>884.94</v>
      </c>
      <c r="L19" s="47">
        <v>1384</v>
      </c>
      <c r="M19" s="47">
        <v>1665</v>
      </c>
      <c r="N19" s="47">
        <v>1355</v>
      </c>
      <c r="O19" s="47">
        <v>1141</v>
      </c>
      <c r="P19" s="47">
        <v>1047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112</v>
      </c>
      <c r="E22" s="59" t="s">
        <v>112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112</v>
      </c>
      <c r="G23" s="59" t="s">
        <v>112</v>
      </c>
      <c r="H23" s="59" t="s">
        <v>112</v>
      </c>
      <c r="I23" s="59" t="s">
        <v>112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112</v>
      </c>
      <c r="K24" s="59" t="s">
        <v>112</v>
      </c>
      <c r="L24" s="59" t="s">
        <v>112</v>
      </c>
      <c r="M24" s="59" t="s">
        <v>112</v>
      </c>
      <c r="N24" s="59" t="s">
        <v>112</v>
      </c>
      <c r="O24" s="59" t="s">
        <v>112</v>
      </c>
      <c r="P24" s="59" t="s">
        <v>112</v>
      </c>
      <c r="Q24" s="59" t="s">
        <v>112</v>
      </c>
      <c r="R24" s="59" t="s">
        <v>112</v>
      </c>
      <c r="S24" s="59" t="s">
        <v>112</v>
      </c>
      <c r="T24" s="59" t="s">
        <v>112</v>
      </c>
      <c r="U24" s="59" t="s">
        <v>112</v>
      </c>
      <c r="V24" s="59" t="s">
        <v>112</v>
      </c>
      <c r="W24" s="59" t="s">
        <v>112</v>
      </c>
      <c r="X24" s="59" t="s">
        <v>112</v>
      </c>
      <c r="Y24" s="59" t="s">
        <v>112</v>
      </c>
      <c r="Z24" s="59" t="s">
        <v>112</v>
      </c>
      <c r="AA24" s="59" t="s">
        <v>112</v>
      </c>
      <c r="AB24" s="59" t="s">
        <v>112</v>
      </c>
      <c r="AC24" s="59" t="s">
        <v>112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572.27495640000006</v>
      </c>
      <c r="E33" s="47">
        <v>547.08535590000008</v>
      </c>
      <c r="F33" s="47">
        <v>1065</v>
      </c>
      <c r="G33" s="47">
        <v>1028</v>
      </c>
      <c r="H33" s="43">
        <v>1077</v>
      </c>
      <c r="I33" s="43">
        <v>1081</v>
      </c>
      <c r="J33" s="43">
        <v>968</v>
      </c>
      <c r="K33" s="43">
        <v>650.15639999999996</v>
      </c>
      <c r="L33" s="43">
        <v>1132</v>
      </c>
      <c r="M33" s="43">
        <v>1216</v>
      </c>
      <c r="N33" s="43">
        <v>1219</v>
      </c>
      <c r="O33" s="63">
        <v>1255</v>
      </c>
      <c r="P33" s="63">
        <v>1288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129</v>
      </c>
      <c r="K34" s="47">
        <v>86.687520000000006</v>
      </c>
      <c r="L34" s="47">
        <v>151</v>
      </c>
      <c r="M34" s="47">
        <v>162</v>
      </c>
      <c r="N34" s="47">
        <v>162</v>
      </c>
      <c r="O34" s="64">
        <v>167</v>
      </c>
      <c r="P34" s="64">
        <v>172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64"/>
      <c r="P37" s="64">
        <v>24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/>
      <c r="E41" s="47"/>
      <c r="F41" s="47">
        <v>272</v>
      </c>
      <c r="G41" s="47">
        <v>263</v>
      </c>
      <c r="H41" s="47">
        <v>275</v>
      </c>
      <c r="I41" s="47">
        <v>276</v>
      </c>
      <c r="J41" s="47">
        <v>118</v>
      </c>
      <c r="K41" s="47">
        <v>79.463560000000001</v>
      </c>
      <c r="L41" s="47">
        <v>138</v>
      </c>
      <c r="M41" s="47">
        <v>149</v>
      </c>
      <c r="N41" s="47">
        <v>149</v>
      </c>
      <c r="O41" s="64">
        <v>153</v>
      </c>
      <c r="P41" s="64">
        <v>157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(Pars!D56+(D_NE_1!D14-Pars!D57)*Pars!D58)/Pars!D59</f>
        <v>0.28614800000000001</v>
      </c>
      <c r="E43" s="66">
        <f>(Pars!E56+(D_NE_1!E14-Pars!E57)*Pars!E58)/Pars!E59</f>
        <v>0.2860889139110861</v>
      </c>
      <c r="F43" s="66">
        <f>(Pars!F56+(D_NE_1!F14-Pars!F57)*Pars!F58)/Pars!F59</f>
        <v>0.29449701100597797</v>
      </c>
      <c r="G43" s="66">
        <f>(Pars!G56+(D_NE_1!G14-Pars!G57)*Pars!G58)/Pars!G59</f>
        <v>0.28163915508253473</v>
      </c>
      <c r="H43" s="66">
        <f>(Pars!H56+(D_NE_1!H14-Pars!H57)*Pars!H58)/Pars!H59</f>
        <v>0.28085487658049368</v>
      </c>
      <c r="I43" s="66">
        <f>(Pars!I56+(D_NE_1!I14-Pars!I57)*Pars!I58)/Pars!I59</f>
        <v>0.29163454182729087</v>
      </c>
      <c r="J43" s="66">
        <f>(Pars!J56+(D_NE_1!J14-Pars!J57)*Pars!J58)/Pars!J59</f>
        <v>0.29771021373871759</v>
      </c>
      <c r="K43" s="66">
        <f>(Pars!K56+(D_NE_1!K14-Pars!K57)*Pars!K58)/Pars!K59</f>
        <v>0.27595406832152175</v>
      </c>
      <c r="L43" s="66">
        <f>(Pars!L56+(D_NE_1!L14-Pars!L57)*Pars!L58)/Pars!L59</f>
        <v>0.28144174846601228</v>
      </c>
      <c r="M43" s="66">
        <f>(Pars!M56+(D_NE_1!M14-Pars!M57)*Pars!M58)/Pars!M59</f>
        <v>0.2916333752996223</v>
      </c>
      <c r="N43" s="66">
        <f>(Pars!N56+(D_NE_1!N14-Pars!N57)*Pars!N58)/Pars!N59</f>
        <v>0.29696423035769642</v>
      </c>
      <c r="O43" s="66">
        <f>(Pars!O56+(D_NE_1!O14-Pars!O57)*Pars!O58)/Pars!O59</f>
        <v>0.2957487467637856</v>
      </c>
      <c r="P43" s="66">
        <f>(Pars!P56+(D_NE_1!P14-Pars!P57)*Pars!P58)/Pars!P59</f>
        <v>0.29574845101858777</v>
      </c>
      <c r="Q43" s="66">
        <f>(Pars!Q56+(D_NE_1!Q14-Pars!Q57)*Pars!Q58)/Pars!Q59</f>
        <v>6.7999116011491847E-2</v>
      </c>
      <c r="R43" s="66">
        <f>(Pars!R56+(D_NE_1!R14-Pars!R57)*Pars!R58)/Pars!R59</f>
        <v>6.7999048013327817E-2</v>
      </c>
      <c r="S43" s="66">
        <f>(Pars!S56+(D_NE_1!S14-Pars!S57)*Pars!S58)/Pars!S59</f>
        <v>6.7998980015299776E-2</v>
      </c>
      <c r="T43" s="66">
        <f>(Pars!T56+(D_NE_1!T14-Pars!T57)*Pars!T58)/Pars!T59</f>
        <v>6.7998980015299776E-2</v>
      </c>
      <c r="U43" s="66">
        <f>(Pars!U56+(D_NE_1!U14-Pars!U57)*Pars!U58)/Pars!U59</f>
        <v>6.7998980015299776E-2</v>
      </c>
      <c r="V43" s="66">
        <f>(Pars!V56+(D_NE_1!V14-Pars!V57)*Pars!V58)/Pars!V59</f>
        <v>6.7998980015299776E-2</v>
      </c>
      <c r="W43" s="66">
        <f>(Pars!W56+(D_NE_1!W14-Pars!W57)*Pars!W58)/Pars!W59</f>
        <v>6.7998980015299776E-2</v>
      </c>
      <c r="X43" s="66">
        <f>(Pars!X56+(D_NE_1!X14-Pars!X57)*Pars!X58)/Pars!X59</f>
        <v>6.7998980015299776E-2</v>
      </c>
      <c r="Y43" s="66">
        <f>(Pars!Y56+(D_NE_1!Y14-Pars!Y57)*Pars!Y58)/Pars!Y59</f>
        <v>6.7998980015299776E-2</v>
      </c>
      <c r="Z43" s="66">
        <f>(Pars!Z56+(D_NE_1!Z14-Pars!Z57)*Pars!Z58)/Pars!Z59</f>
        <v>6.7998980015299776E-2</v>
      </c>
      <c r="AA43" s="66">
        <f>(Pars!AA56+(D_NE_1!AA14-Pars!AA57)*Pars!AA58)/Pars!AA59</f>
        <v>6.7998980015299776E-2</v>
      </c>
      <c r="AB43" s="66">
        <f>(Pars!AB56+(D_NE_1!AB14-Pars!AB57)*Pars!AB58)/Pars!AB59</f>
        <v>6.7998980015299776E-2</v>
      </c>
      <c r="AC43" s="66">
        <f>(Pars!AC56+(D_NE_1!AC14-Pars!AC57)*Pars!AC58)/Pars!AC59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67565.933438666674</v>
      </c>
      <c r="E44" s="43">
        <f>Pars!E37*E43*E6</f>
        <v>71753.197594269077</v>
      </c>
      <c r="F44" s="43">
        <f>Pars!F37*F43*F6</f>
        <v>66671.472818654365</v>
      </c>
      <c r="G44" s="43">
        <f>Pars!G37*G43*G6</f>
        <v>61317.256408230773</v>
      </c>
      <c r="H44" s="43">
        <f>Pars!H37*H43*H6</f>
        <v>62390.506557973764</v>
      </c>
      <c r="I44" s="43">
        <f>Pars!I37*I43*I6</f>
        <v>65247.104408477957</v>
      </c>
      <c r="J44" s="43">
        <f>Pars!J37*J43*J6</f>
        <v>55529.90143392473</v>
      </c>
      <c r="K44" s="43">
        <f>Pars!K37*K43*K6</f>
        <v>36747.599290776961</v>
      </c>
      <c r="L44" s="43">
        <f>Pars!L37*L43*L6</f>
        <v>64738.544376978316</v>
      </c>
      <c r="M44" s="43">
        <f>Pars!M37*M43*M6</f>
        <v>74341.430231127917</v>
      </c>
      <c r="N44" s="43">
        <f>Pars!N37*N43*N6</f>
        <v>72458.777266894002</v>
      </c>
      <c r="O44" s="63">
        <f>Pars!O37*O43*O6</f>
        <v>72708.744979805226</v>
      </c>
      <c r="P44" s="63">
        <f>Pars!P37*P43*P6</f>
        <v>71247.970672351919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32431.648050560001</v>
      </c>
      <c r="E45" s="43">
        <f>E44*Pars!E36/100</f>
        <v>34441.53484524916</v>
      </c>
      <c r="F45" s="43">
        <f>F44*Pars!F36/100</f>
        <v>32002.306952954092</v>
      </c>
      <c r="G45" s="43">
        <f>G44*Pars!G36/100</f>
        <v>29432.283075950771</v>
      </c>
      <c r="H45" s="43">
        <f>H44*Pars!H36/100</f>
        <v>29947.443147827405</v>
      </c>
      <c r="I45" s="43">
        <f>I44*Pars!I36/100</f>
        <v>31318.61011606942</v>
      </c>
      <c r="J45" s="43">
        <f>J44*Pars!J36/100</f>
        <v>26654.352688283871</v>
      </c>
      <c r="K45" s="43">
        <f>K44*Pars!K36/100</f>
        <v>17638.847659572941</v>
      </c>
      <c r="L45" s="43">
        <f>L44*Pars!L36/100</f>
        <v>31074.501300949592</v>
      </c>
      <c r="M45" s="43">
        <f>M44*Pars!M36/100</f>
        <v>35683.886510941404</v>
      </c>
      <c r="N45" s="43">
        <f>N44*Pars!N36/100</f>
        <v>34780.213088109122</v>
      </c>
      <c r="O45" s="63">
        <f>O44*Pars!O36/100</f>
        <v>34900.19759030651</v>
      </c>
      <c r="P45" s="63">
        <f>P44*Pars!P36/100</f>
        <v>34199.025922728921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5930.4920000000002</v>
      </c>
      <c r="E46" s="43">
        <f>Pars!E40*E15</f>
        <v>5295.0501000000004</v>
      </c>
      <c r="F46" s="43">
        <f>Pars!F40*F15</f>
        <v>6244.9606000000003</v>
      </c>
      <c r="G46" s="43">
        <f>Pars!G40*G15</f>
        <v>6612.3639999999996</v>
      </c>
      <c r="H46" s="43">
        <f>Pars!H40*H15</f>
        <v>5771.0146999999997</v>
      </c>
      <c r="I46" s="43">
        <f>Pars!I40*I15</f>
        <v>5079.2735000000002</v>
      </c>
      <c r="J46" s="43">
        <f>Pars!J40*J15</f>
        <v>5592.2475999999997</v>
      </c>
      <c r="K46" s="43">
        <f>Pars!K40*K15</f>
        <v>5942.6041999999998</v>
      </c>
      <c r="L46" s="43">
        <f>Pars!L40*L15</f>
        <v>5694.5284000000001</v>
      </c>
      <c r="M46" s="43">
        <f>Pars!M40*M15</f>
        <v>5841.2205999999996</v>
      </c>
      <c r="N46" s="43">
        <f>Pars!N40*N15</f>
        <v>5554.1166000000003</v>
      </c>
      <c r="O46" s="63">
        <f>Pars!O40*O15</f>
        <v>6214.2314999999999</v>
      </c>
      <c r="P46" s="63">
        <f>Pars!P40*P15</f>
        <v>5407.4243999999999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801.53840000000002</v>
      </c>
      <c r="E47" s="43">
        <f>Pars!E41*E16</f>
        <v>824.68560000000002</v>
      </c>
      <c r="F47" s="43">
        <f>Pars!F41*F16</f>
        <v>769.65920000000006</v>
      </c>
      <c r="G47" s="43">
        <f>Pars!G41*G16</f>
        <v>667.71680000000003</v>
      </c>
      <c r="H47" s="43">
        <f>Pars!H41*H16</f>
        <v>733.07360000000006</v>
      </c>
      <c r="I47" s="43">
        <f>Pars!I41*I16</f>
        <v>754.80000000000007</v>
      </c>
      <c r="J47" s="43">
        <f>Pars!J41*J16</f>
        <v>542.42000000000007</v>
      </c>
      <c r="K47" s="43">
        <f>Pars!K41*K16</f>
        <v>352.21039999999999</v>
      </c>
      <c r="L47" s="43">
        <f>Pars!L41*L16</f>
        <v>783.33440000000007</v>
      </c>
      <c r="M47" s="43">
        <f>Pars!M41*M16</f>
        <v>871.48320000000001</v>
      </c>
      <c r="N47" s="43">
        <f>Pars!N41*N16</f>
        <v>845.90880000000004</v>
      </c>
      <c r="O47" s="63">
        <f>Pars!O41*O16</f>
        <v>869.55920000000003</v>
      </c>
      <c r="P47" s="63">
        <f>Pars!P41*P16</f>
        <v>859.28800000000001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864.13518416400007</v>
      </c>
      <c r="E48" s="67">
        <f t="array" ref="E48">SUMPRODUCT(E33:E41,Pars!E44:E52)</f>
        <v>826.0988874090001</v>
      </c>
      <c r="F48" s="67">
        <f t="array" ref="F48">SUMPRODUCT(F33:F41,Pars!F44:F52)</f>
        <v>2968.15</v>
      </c>
      <c r="G48" s="67">
        <f t="array" ref="G48">SUMPRODUCT(G33:G41,Pars!G44:G52)</f>
        <v>2867.2799999999997</v>
      </c>
      <c r="H48" s="67">
        <f t="array" ref="H48">SUMPRODUCT(H33:H41,Pars!H44:H52)</f>
        <v>3001.27</v>
      </c>
      <c r="I48" s="67">
        <f t="array" ref="I48">SUMPRODUCT(I33:I41,Pars!I44:I52)</f>
        <v>3012.31</v>
      </c>
      <c r="J48" s="67">
        <f t="array" ref="J48">SUMPRODUCT(J33:J41,Pars!J44:J52)</f>
        <v>3172.69</v>
      </c>
      <c r="K48" s="67">
        <f t="array" ref="K48">SUMPRODUCT(K33:K41,Pars!K44:K52)</f>
        <v>2132.3685127999997</v>
      </c>
      <c r="L48" s="67">
        <f t="array" ref="L48">SUMPRODUCT(L33:L41,Pars!L44:L52)</f>
        <v>3711.5099999999998</v>
      </c>
      <c r="M48" s="67">
        <f t="array" ref="M48">SUMPRODUCT(M33:M41,Pars!M44:M52)</f>
        <v>3988.94</v>
      </c>
      <c r="N48" s="67">
        <f t="array" ref="N48">SUMPRODUCT(N33:N41,Pars!N44:N52)</f>
        <v>3993.4700000000003</v>
      </c>
      <c r="O48" s="67">
        <f t="array" ref="O48">SUMPRODUCT(O33:O41,Pars!O44:O52)</f>
        <v>4111.28</v>
      </c>
      <c r="P48" s="67">
        <f t="array" ref="P48">SUMPRODUCT(P33:P41,Pars!P44:P52)</f>
        <v>4283.12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7596.1655841640004</v>
      </c>
      <c r="E49" s="67">
        <f t="shared" ref="E49:AC49" si="1">SUM(E46:E48)</f>
        <v>6945.8345874090001</v>
      </c>
      <c r="F49" s="67">
        <f t="shared" si="1"/>
        <v>9982.7698</v>
      </c>
      <c r="G49" s="67">
        <f t="shared" si="1"/>
        <v>10147.360799999999</v>
      </c>
      <c r="H49" s="67">
        <f t="shared" si="1"/>
        <v>9505.3582999999999</v>
      </c>
      <c r="I49" s="67">
        <f t="shared" si="1"/>
        <v>8846.3834999999999</v>
      </c>
      <c r="J49" s="67">
        <f t="shared" si="1"/>
        <v>9307.3575999999994</v>
      </c>
      <c r="K49" s="67">
        <f t="shared" si="1"/>
        <v>8427.1831127999994</v>
      </c>
      <c r="L49" s="67">
        <f t="shared" si="1"/>
        <v>10189.372799999999</v>
      </c>
      <c r="M49" s="67">
        <f t="shared" si="1"/>
        <v>10701.6438</v>
      </c>
      <c r="N49" s="67">
        <f t="shared" si="1"/>
        <v>10393.4954</v>
      </c>
      <c r="O49" s="67">
        <f t="shared" si="1"/>
        <v>11195.0707</v>
      </c>
      <c r="P49" s="67">
        <f t="shared" si="1"/>
        <v>10549.832399999999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24835.482466396003</v>
      </c>
      <c r="E50" s="70">
        <f t="shared" ref="E50:AC50" si="2">E45-E49</f>
        <v>27495.700257840159</v>
      </c>
      <c r="F50" s="70">
        <f t="shared" si="2"/>
        <v>22019.537152954093</v>
      </c>
      <c r="G50" s="70">
        <f t="shared" si="2"/>
        <v>19284.922275950772</v>
      </c>
      <c r="H50" s="70">
        <f t="shared" si="2"/>
        <v>20442.084847827406</v>
      </c>
      <c r="I50" s="70">
        <f t="shared" si="2"/>
        <v>22472.22661606942</v>
      </c>
      <c r="J50" s="70">
        <f t="shared" si="2"/>
        <v>17346.995088283871</v>
      </c>
      <c r="K50" s="70">
        <f t="shared" si="2"/>
        <v>9211.6645467729413</v>
      </c>
      <c r="L50" s="70">
        <f t="shared" si="2"/>
        <v>20885.128500949591</v>
      </c>
      <c r="M50" s="70">
        <f t="shared" si="2"/>
        <v>24982.242710941406</v>
      </c>
      <c r="N50" s="70">
        <f t="shared" si="2"/>
        <v>24386.717688109122</v>
      </c>
      <c r="O50" s="70">
        <f t="shared" si="2"/>
        <v>23705.12689030651</v>
      </c>
      <c r="P50" s="70">
        <f t="shared" si="2"/>
        <v>23649.193522728921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24835.482466396003</v>
      </c>
      <c r="E62" s="79">
        <f t="shared" ref="E62:AC62" si="4">E50+E61</f>
        <v>27495.700257840159</v>
      </c>
      <c r="F62" s="79">
        <f t="shared" si="4"/>
        <v>22019.537152954093</v>
      </c>
      <c r="G62" s="79">
        <f t="shared" si="4"/>
        <v>19284.922275950772</v>
      </c>
      <c r="H62" s="79">
        <f t="shared" si="4"/>
        <v>20442.084847827406</v>
      </c>
      <c r="I62" s="79">
        <f t="shared" si="4"/>
        <v>22472.22661606942</v>
      </c>
      <c r="J62" s="79">
        <f t="shared" si="4"/>
        <v>17346.995088283871</v>
      </c>
      <c r="K62" s="79">
        <f t="shared" si="4"/>
        <v>9211.6645467729413</v>
      </c>
      <c r="L62" s="79">
        <f t="shared" si="4"/>
        <v>20885.128500949591</v>
      </c>
      <c r="M62" s="79">
        <f t="shared" si="4"/>
        <v>24982.242710941406</v>
      </c>
      <c r="N62" s="79">
        <f t="shared" si="4"/>
        <v>24386.717688109122</v>
      </c>
      <c r="O62" s="79">
        <f t="shared" si="4"/>
        <v>23705.12689030651</v>
      </c>
      <c r="P62" s="79">
        <f t="shared" si="4"/>
        <v>23649.193522728921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16" priority="5" operator="containsText" text="Nein">
      <formula>NOT(ISERROR(SEARCH("Nein",D22)))</formula>
    </cfRule>
  </conditionalFormatting>
  <conditionalFormatting sqref="D31:AC31">
    <cfRule type="cellIs" dxfId="115" priority="6" operator="equal">
      <formula>"ok"</formula>
    </cfRule>
  </conditionalFormatting>
  <conditionalFormatting sqref="H5:AC12 H14:AC16 H18:AC19 H33:AC41">
    <cfRule type="cellIs" dxfId="114" priority="4" operator="greaterThan">
      <formula>0</formula>
    </cfRule>
  </conditionalFormatting>
  <conditionalFormatting sqref="H6:AC12">
    <cfRule type="expression" dxfId="113" priority="3">
      <formula>NOT(ISBLANK(H6))</formula>
    </cfRule>
  </conditionalFormatting>
  <conditionalFormatting sqref="H18:AC19">
    <cfRule type="expression" dxfId="112" priority="2">
      <formula>NOT(ISBLANK(H18))</formula>
    </cfRule>
  </conditionalFormatting>
  <conditionalFormatting sqref="H56:AC60">
    <cfRule type="cellIs" dxfId="111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D7A4D9A8-AD35-4E24-980C-521758CEC534}">
      <formula1>"Ja, Nein"</formula1>
    </dataValidation>
  </dataValidations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92550-E0EC-41F3-A19C-7741FAC2E5EE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185</v>
      </c>
      <c r="D1" s="32"/>
      <c r="E1" s="32"/>
    </row>
    <row r="2" spans="1:30" x14ac:dyDescent="0.3">
      <c r="A2" s="30"/>
      <c r="B2" s="31" t="s">
        <v>86</v>
      </c>
      <c r="C2" s="33" t="s">
        <v>186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50000</v>
      </c>
      <c r="E5" s="42">
        <v>50000</v>
      </c>
      <c r="F5" s="42">
        <v>50000</v>
      </c>
      <c r="G5" s="42">
        <v>50000</v>
      </c>
      <c r="H5" s="43">
        <v>50000</v>
      </c>
      <c r="I5" s="43">
        <v>50000</v>
      </c>
      <c r="J5" s="43">
        <v>50000</v>
      </c>
      <c r="K5" s="43">
        <v>50000</v>
      </c>
      <c r="L5" s="43">
        <v>50000</v>
      </c>
      <c r="M5" s="43">
        <v>50000</v>
      </c>
      <c r="N5" s="43">
        <v>50000</v>
      </c>
      <c r="O5" s="43">
        <v>50000</v>
      </c>
      <c r="P5" s="43">
        <v>56692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46860</v>
      </c>
      <c r="E6" s="42">
        <v>50564</v>
      </c>
      <c r="F6" s="42">
        <v>54141</v>
      </c>
      <c r="G6" s="42">
        <v>52431</v>
      </c>
      <c r="H6" s="47">
        <v>50638</v>
      </c>
      <c r="I6" s="47">
        <v>52373</v>
      </c>
      <c r="J6" s="47">
        <v>56321</v>
      </c>
      <c r="K6" s="47">
        <v>56155.982999999993</v>
      </c>
      <c r="L6" s="47">
        <v>58267</v>
      </c>
      <c r="M6" s="47">
        <v>53097</v>
      </c>
      <c r="N6" s="47">
        <v>52652</v>
      </c>
      <c r="O6" s="47">
        <v>53538</v>
      </c>
      <c r="P6" s="47">
        <v>53654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0</v>
      </c>
      <c r="E7" s="42">
        <v>5207</v>
      </c>
      <c r="F7" s="42">
        <v>5813</v>
      </c>
      <c r="G7" s="42">
        <v>5622</v>
      </c>
      <c r="H7" s="47">
        <v>5763</v>
      </c>
      <c r="I7" s="47">
        <v>5656</v>
      </c>
      <c r="J7" s="47">
        <v>6126</v>
      </c>
      <c r="K7" s="47">
        <v>7683.2499999999991</v>
      </c>
      <c r="L7" s="47">
        <v>6438</v>
      </c>
      <c r="M7" s="47">
        <v>5547</v>
      </c>
      <c r="N7" s="47">
        <v>5572</v>
      </c>
      <c r="O7" s="47">
        <v>5686</v>
      </c>
      <c r="P7" s="47">
        <v>4020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13.125999999999999</v>
      </c>
      <c r="E14" s="51">
        <v>12.315</v>
      </c>
      <c r="F14" s="51">
        <v>11.196999999999999</v>
      </c>
      <c r="G14" s="51">
        <v>11.28</v>
      </c>
      <c r="H14" s="43">
        <v>11.87</v>
      </c>
      <c r="I14" s="43">
        <v>11.23</v>
      </c>
      <c r="J14" s="43">
        <v>11.38</v>
      </c>
      <c r="K14" s="43">
        <v>11.38</v>
      </c>
      <c r="L14" s="43">
        <v>10.89</v>
      </c>
      <c r="M14" s="43">
        <v>11.34</v>
      </c>
      <c r="N14" s="43">
        <v>11.326000000000001</v>
      </c>
      <c r="O14" s="43">
        <v>11.32</v>
      </c>
      <c r="P14" s="43">
        <v>11.29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63900</v>
      </c>
      <c r="E15" s="42">
        <v>62700</v>
      </c>
      <c r="F15" s="42">
        <v>62596</v>
      </c>
      <c r="G15" s="42">
        <v>66095</v>
      </c>
      <c r="H15" s="47">
        <v>65219</v>
      </c>
      <c r="I15" s="47">
        <v>66340</v>
      </c>
      <c r="J15" s="47">
        <v>73716</v>
      </c>
      <c r="K15" s="47">
        <v>72065</v>
      </c>
      <c r="L15" s="47">
        <v>69173</v>
      </c>
      <c r="M15" s="47">
        <v>68897</v>
      </c>
      <c r="N15" s="47">
        <v>66711</v>
      </c>
      <c r="O15" s="47">
        <v>77578</v>
      </c>
      <c r="P15" s="47">
        <v>69977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18358</v>
      </c>
      <c r="E16" s="42">
        <v>18309</v>
      </c>
      <c r="F16" s="42">
        <v>16903</v>
      </c>
      <c r="G16" s="42">
        <v>16900</v>
      </c>
      <c r="H16" s="47">
        <v>18942</v>
      </c>
      <c r="I16" s="47">
        <v>15111</v>
      </c>
      <c r="J16" s="47">
        <v>15636</v>
      </c>
      <c r="K16" s="47">
        <v>15549</v>
      </c>
      <c r="L16" s="47">
        <v>14982</v>
      </c>
      <c r="M16" s="47">
        <v>13190</v>
      </c>
      <c r="N16" s="47">
        <v>13732</v>
      </c>
      <c r="O16" s="47">
        <v>11966</v>
      </c>
      <c r="P16" s="47">
        <v>13030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8962</v>
      </c>
      <c r="E18" s="42">
        <v>9634</v>
      </c>
      <c r="F18" s="42">
        <v>9520</v>
      </c>
      <c r="G18" s="42">
        <v>8896</v>
      </c>
      <c r="H18" s="43">
        <v>8877</v>
      </c>
      <c r="I18" s="43">
        <v>8923</v>
      </c>
      <c r="J18" s="43">
        <v>9338</v>
      </c>
      <c r="K18" s="43">
        <v>9382.2199999999993</v>
      </c>
      <c r="L18" s="43">
        <v>9957</v>
      </c>
      <c r="M18" s="43">
        <v>8127</v>
      </c>
      <c r="N18" s="43">
        <v>9109</v>
      </c>
      <c r="O18" s="43">
        <v>9769</v>
      </c>
      <c r="P18" s="43">
        <v>10210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1227</v>
      </c>
      <c r="E19" s="42">
        <v>1279</v>
      </c>
      <c r="F19" s="42">
        <v>1366</v>
      </c>
      <c r="G19" s="42">
        <v>1165</v>
      </c>
      <c r="H19" s="47">
        <v>1139</v>
      </c>
      <c r="I19" s="47">
        <v>1171</v>
      </c>
      <c r="J19" s="47">
        <v>2491</v>
      </c>
      <c r="K19" s="47">
        <v>1081.3320509999999</v>
      </c>
      <c r="L19" s="47">
        <v>1146</v>
      </c>
      <c r="M19" s="47">
        <v>1128</v>
      </c>
      <c r="N19" s="47">
        <v>1114</v>
      </c>
      <c r="O19" s="47">
        <v>1140</v>
      </c>
      <c r="P19" s="47">
        <v>1098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112</v>
      </c>
      <c r="E22" s="59" t="s">
        <v>112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112</v>
      </c>
      <c r="G23" s="59" t="s">
        <v>112</v>
      </c>
      <c r="H23" s="59" t="s">
        <v>112</v>
      </c>
      <c r="I23" s="59" t="s">
        <v>112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112</v>
      </c>
      <c r="K24" s="59" t="s">
        <v>112</v>
      </c>
      <c r="L24" s="59" t="s">
        <v>112</v>
      </c>
      <c r="M24" s="59" t="s">
        <v>112</v>
      </c>
      <c r="N24" s="59" t="s">
        <v>112</v>
      </c>
      <c r="O24" s="59" t="s">
        <v>112</v>
      </c>
      <c r="P24" s="59" t="s">
        <v>112</v>
      </c>
      <c r="Q24" s="59" t="s">
        <v>112</v>
      </c>
      <c r="R24" s="59" t="s">
        <v>112</v>
      </c>
      <c r="S24" s="59" t="s">
        <v>112</v>
      </c>
      <c r="T24" s="59" t="s">
        <v>112</v>
      </c>
      <c r="U24" s="59" t="s">
        <v>112</v>
      </c>
      <c r="V24" s="59" t="s">
        <v>112</v>
      </c>
      <c r="W24" s="59" t="s">
        <v>112</v>
      </c>
      <c r="X24" s="59" t="s">
        <v>112</v>
      </c>
      <c r="Y24" s="59" t="s">
        <v>112</v>
      </c>
      <c r="Z24" s="59" t="s">
        <v>112</v>
      </c>
      <c r="AA24" s="59" t="s">
        <v>112</v>
      </c>
      <c r="AB24" s="59" t="s">
        <v>112</v>
      </c>
      <c r="AC24" s="59" t="s">
        <v>112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367.07186940000008</v>
      </c>
      <c r="E33" s="47">
        <v>394.59611580000006</v>
      </c>
      <c r="F33" s="47">
        <v>857</v>
      </c>
      <c r="G33" s="47">
        <v>801</v>
      </c>
      <c r="H33" s="43">
        <v>799</v>
      </c>
      <c r="I33" s="43">
        <v>803</v>
      </c>
      <c r="J33" s="43">
        <v>840</v>
      </c>
      <c r="K33" s="43">
        <v>844.39979999999991</v>
      </c>
      <c r="L33" s="43">
        <v>896</v>
      </c>
      <c r="M33" s="43">
        <v>825</v>
      </c>
      <c r="N33" s="43">
        <v>830</v>
      </c>
      <c r="O33" s="63">
        <v>879</v>
      </c>
      <c r="P33" s="63">
        <v>919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112</v>
      </c>
      <c r="K34" s="47">
        <v>113</v>
      </c>
      <c r="L34" s="47">
        <v>119</v>
      </c>
      <c r="M34" s="47">
        <v>110</v>
      </c>
      <c r="N34" s="47">
        <v>115</v>
      </c>
      <c r="O34" s="64">
        <v>117</v>
      </c>
      <c r="P34" s="64">
        <v>123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/>
      <c r="E41" s="47"/>
      <c r="F41" s="47">
        <v>219</v>
      </c>
      <c r="G41" s="47">
        <v>205</v>
      </c>
      <c r="H41" s="47">
        <v>204</v>
      </c>
      <c r="I41" s="47">
        <v>205</v>
      </c>
      <c r="J41" s="47">
        <v>103</v>
      </c>
      <c r="K41" s="47">
        <v>102.79105999999999</v>
      </c>
      <c r="L41" s="47">
        <v>110</v>
      </c>
      <c r="M41" s="47">
        <v>101</v>
      </c>
      <c r="N41" s="47">
        <v>105</v>
      </c>
      <c r="O41" s="64">
        <v>107</v>
      </c>
      <c r="P41" s="64">
        <v>112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(Pars!D56+(D_NE_2!D14-Pars!D57)*Pars!D58)/Pars!D59</f>
        <v>0.32526959999999999</v>
      </c>
      <c r="E43" s="66">
        <f>(Pars!E56+(D_NE_2!E14-Pars!E57)*Pars!E58)/Pars!E59</f>
        <v>0.30937369062630937</v>
      </c>
      <c r="F43" s="66">
        <f>(Pars!F56+(D_NE_2!F14-Pars!F57)*Pars!F58)/Pars!F59</f>
        <v>0.28746062507874981</v>
      </c>
      <c r="G43" s="66">
        <f>(Pars!G56+(D_NE_2!G14-Pars!G57)*Pars!G58)/Pars!G59</f>
        <v>0.28908713273860176</v>
      </c>
      <c r="H43" s="66">
        <f>(Pars!H56+(D_NE_2!H14-Pars!H57)*Pars!H58)/Pars!H59</f>
        <v>0.30065079739681039</v>
      </c>
      <c r="I43" s="66">
        <f>(Pars!I56+(D_NE_2!I14-Pars!I57)*Pars!I58)/Pars!I59</f>
        <v>0.28810655946720265</v>
      </c>
      <c r="J43" s="66">
        <f>(Pars!J56+(D_NE_2!J14-Pars!J57)*Pars!J58)/Pars!J59</f>
        <v>0.29104625372247767</v>
      </c>
      <c r="K43" s="66">
        <f>(Pars!K56+(D_NE_2!K14-Pars!K57)*Pars!K58)/Pars!K59</f>
        <v>0.29104596267826127</v>
      </c>
      <c r="L43" s="66">
        <f>(Pars!L56+(D_NE_2!L14-Pars!L57)*Pars!L58)/Pars!L59</f>
        <v>0.28144174846601228</v>
      </c>
      <c r="M43" s="66">
        <f>(Pars!M56+(D_NE_2!M14-Pars!M57)*Pars!M58)/Pars!M59</f>
        <v>0.29026138764751119</v>
      </c>
      <c r="N43" s="66">
        <f>(Pars!N56+(D_NE_2!N14-Pars!N57)*Pars!N58)/Pars!N59</f>
        <v>0.28998670013299871</v>
      </c>
      <c r="O43" s="66">
        <f>(Pars!O56+(D_NE_2!O14-Pars!O57)*Pars!O58)/Pars!O59</f>
        <v>0.28986881144307414</v>
      </c>
      <c r="P43" s="66">
        <f>(Pars!P56+(D_NE_2!P14-Pars!P57)*Pars!P58)/Pars!P59</f>
        <v>0.28928052863365639</v>
      </c>
      <c r="Q43" s="66">
        <f>(Pars!Q56+(D_NE_2!Q14-Pars!Q57)*Pars!Q58)/Pars!Q59</f>
        <v>6.7999116011491847E-2</v>
      </c>
      <c r="R43" s="66">
        <f>(Pars!R56+(D_NE_2!R14-Pars!R57)*Pars!R58)/Pars!R59</f>
        <v>6.7999048013327817E-2</v>
      </c>
      <c r="S43" s="66">
        <f>(Pars!S56+(D_NE_2!S14-Pars!S57)*Pars!S58)/Pars!S59</f>
        <v>6.7998980015299776E-2</v>
      </c>
      <c r="T43" s="66">
        <f>(Pars!T56+(D_NE_2!T14-Pars!T57)*Pars!T58)/Pars!T59</f>
        <v>6.7998980015299776E-2</v>
      </c>
      <c r="U43" s="66">
        <f>(Pars!U56+(D_NE_2!U14-Pars!U57)*Pars!U58)/Pars!U59</f>
        <v>6.7998980015299776E-2</v>
      </c>
      <c r="V43" s="66">
        <f>(Pars!V56+(D_NE_2!V14-Pars!V57)*Pars!V58)/Pars!V59</f>
        <v>6.7998980015299776E-2</v>
      </c>
      <c r="W43" s="66">
        <f>(Pars!W56+(D_NE_2!W14-Pars!W57)*Pars!W58)/Pars!W59</f>
        <v>6.7998980015299776E-2</v>
      </c>
      <c r="X43" s="66">
        <f>(Pars!X56+(D_NE_2!X14-Pars!X57)*Pars!X58)/Pars!X59</f>
        <v>6.7998980015299776E-2</v>
      </c>
      <c r="Y43" s="66">
        <f>(Pars!Y56+(D_NE_2!Y14-Pars!Y57)*Pars!Y58)/Pars!Y59</f>
        <v>6.7998980015299776E-2</v>
      </c>
      <c r="Z43" s="66">
        <f>(Pars!Z56+(D_NE_2!Z14-Pars!Z57)*Pars!Z58)/Pars!Z59</f>
        <v>6.7998980015299776E-2</v>
      </c>
      <c r="AA43" s="66">
        <f>(Pars!AA56+(D_NE_2!AA14-Pars!AA57)*Pars!AA58)/Pars!AA59</f>
        <v>6.7998980015299776E-2</v>
      </c>
      <c r="AB43" s="66">
        <f>(Pars!AB56+(D_NE_2!AB14-Pars!AB57)*Pars!AB58)/Pars!AB59</f>
        <v>6.7998980015299776E-2</v>
      </c>
      <c r="AC43" s="66">
        <f>(Pars!AC56+(D_NE_2!AC14-Pars!AC57)*Pars!AC58)/Pars!AC59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55887.822671999995</v>
      </c>
      <c r="E44" s="43">
        <f>Pars!E37*E43*E6</f>
        <v>57358.294740371923</v>
      </c>
      <c r="F44" s="43">
        <f>Pars!F37*F43*F6</f>
        <v>57065.820908758171</v>
      </c>
      <c r="G44" s="43">
        <f>Pars!G37*G43*G6</f>
        <v>55576.134007597975</v>
      </c>
      <c r="H44" s="43">
        <f>Pars!H37*H43*H6</f>
        <v>55822.635288125508</v>
      </c>
      <c r="I44" s="43">
        <f>Pars!I37*I43*I6</f>
        <v>55326.351076244609</v>
      </c>
      <c r="J44" s="43">
        <f>Pars!J37*J43*J6</f>
        <v>60104.058871646761</v>
      </c>
      <c r="K44" s="43">
        <f>Pars!K37*K43*K6</f>
        <v>59927.897818723264</v>
      </c>
      <c r="L44" s="43">
        <f>Pars!L37*L43*L6</f>
        <v>60128.809978853496</v>
      </c>
      <c r="M44" s="43">
        <f>Pars!M37*M43*M6</f>
        <v>56510.699299706306</v>
      </c>
      <c r="N44" s="43">
        <f>Pars!N37*N43*N6</f>
        <v>55984.059029809701</v>
      </c>
      <c r="O44" s="63">
        <f>Pars!O37*O43*O6</f>
        <v>56902.986899144111</v>
      </c>
      <c r="P44" s="63">
        <f>Pars!P37*P43*P6</f>
        <v>56910.544105470726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26826.15488256</v>
      </c>
      <c r="E45" s="43">
        <f>E44*Pars!E36/100</f>
        <v>27531.981475378521</v>
      </c>
      <c r="F45" s="43">
        <f>F44*Pars!F36/100</f>
        <v>27391.594036203922</v>
      </c>
      <c r="G45" s="43">
        <f>G44*Pars!G36/100</f>
        <v>26676.544323647027</v>
      </c>
      <c r="H45" s="43">
        <f>H44*Pars!H36/100</f>
        <v>26794.864938300241</v>
      </c>
      <c r="I45" s="43">
        <f>I44*Pars!I36/100</f>
        <v>26556.648516597412</v>
      </c>
      <c r="J45" s="43">
        <f>J44*Pars!J36/100</f>
        <v>28849.948258390446</v>
      </c>
      <c r="K45" s="43">
        <f>K44*Pars!K36/100</f>
        <v>28765.390952987167</v>
      </c>
      <c r="L45" s="43">
        <f>L44*Pars!L36/100</f>
        <v>28861.828789849678</v>
      </c>
      <c r="M45" s="43">
        <f>M44*Pars!M36/100</f>
        <v>27125.135663859026</v>
      </c>
      <c r="N45" s="43">
        <f>N44*Pars!N36/100</f>
        <v>26872.348334308659</v>
      </c>
      <c r="O45" s="63">
        <f>O44*Pars!O36/100</f>
        <v>27313.433711589176</v>
      </c>
      <c r="P45" s="63">
        <f>P44*Pars!P36/100</f>
        <v>27317.061170625948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14332.77</v>
      </c>
      <c r="E46" s="43">
        <f>Pars!E40*E15</f>
        <v>14063.61</v>
      </c>
      <c r="F46" s="43">
        <f>Pars!F40*F15</f>
        <v>14040.282800000001</v>
      </c>
      <c r="G46" s="43">
        <f>Pars!G40*G15</f>
        <v>14825.1085</v>
      </c>
      <c r="H46" s="43">
        <f>Pars!H40*H15</f>
        <v>14628.6217</v>
      </c>
      <c r="I46" s="43">
        <f>Pars!I40*I15</f>
        <v>14880.062</v>
      </c>
      <c r="J46" s="43">
        <f>Pars!J40*J15</f>
        <v>16534.498800000001</v>
      </c>
      <c r="K46" s="43">
        <f>Pars!K40*K15</f>
        <v>16164.1795</v>
      </c>
      <c r="L46" s="43">
        <f>Pars!L40*L15</f>
        <v>15515.5039</v>
      </c>
      <c r="M46" s="43">
        <f>Pars!M40*M15</f>
        <v>15453.597100000001</v>
      </c>
      <c r="N46" s="43">
        <f>Pars!N40*N15</f>
        <v>14963.2773</v>
      </c>
      <c r="O46" s="63">
        <f>Pars!O40*O15</f>
        <v>17400.7454</v>
      </c>
      <c r="P46" s="63">
        <f>Pars!P40*P15</f>
        <v>15695.8411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543.39679999999998</v>
      </c>
      <c r="E47" s="43">
        <f>Pars!E41*E16</f>
        <v>541.94640000000004</v>
      </c>
      <c r="F47" s="43">
        <f>Pars!F41*F16</f>
        <v>500.3288</v>
      </c>
      <c r="G47" s="43">
        <f>Pars!G41*G16</f>
        <v>500.24</v>
      </c>
      <c r="H47" s="43">
        <f>Pars!H41*H16</f>
        <v>560.68320000000006</v>
      </c>
      <c r="I47" s="43">
        <f>Pars!I41*I16</f>
        <v>447.28560000000004</v>
      </c>
      <c r="J47" s="43">
        <f>Pars!J41*J16</f>
        <v>462.82560000000001</v>
      </c>
      <c r="K47" s="43">
        <f>Pars!K41*K16</f>
        <v>460.25040000000001</v>
      </c>
      <c r="L47" s="43">
        <f>Pars!L41*L16</f>
        <v>443.46720000000005</v>
      </c>
      <c r="M47" s="43">
        <f>Pars!M41*M16</f>
        <v>390.42400000000004</v>
      </c>
      <c r="N47" s="43">
        <f>Pars!N41*N16</f>
        <v>406.46719999999999</v>
      </c>
      <c r="O47" s="63">
        <f>Pars!O41*O16</f>
        <v>354.1936</v>
      </c>
      <c r="P47" s="63">
        <f>Pars!P41*P16</f>
        <v>385.68800000000005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554.27852279400008</v>
      </c>
      <c r="E48" s="67">
        <f t="array" ref="E48">SUMPRODUCT(E33:E41,Pars!E44:E52)</f>
        <v>595.84013485800006</v>
      </c>
      <c r="F48" s="67">
        <f t="array" ref="F48">SUMPRODUCT(F33:F41,Pars!F44:F52)</f>
        <v>2389.0699999999997</v>
      </c>
      <c r="G48" s="67">
        <f t="array" ref="G48">SUMPRODUCT(G33:G41,Pars!G44:G52)</f>
        <v>2234.5100000000002</v>
      </c>
      <c r="H48" s="67">
        <f t="array" ref="H48">SUMPRODUCT(H33:H41,Pars!H44:H52)</f>
        <v>2226.4899999999998</v>
      </c>
      <c r="I48" s="67">
        <f t="array" ref="I48">SUMPRODUCT(I33:I41,Pars!I44:I52)</f>
        <v>2237.5299999999997</v>
      </c>
      <c r="J48" s="67">
        <f t="array" ref="J48">SUMPRODUCT(J33:J41,Pars!J44:J52)</f>
        <v>2756.6800000000003</v>
      </c>
      <c r="K48" s="67">
        <f t="array" ref="K48">SUMPRODUCT(K33:K41,Pars!K44:K52)</f>
        <v>2770.9689979999998</v>
      </c>
      <c r="L48" s="67">
        <f t="array" ref="L48">SUMPRODUCT(L33:L41,Pars!L44:L52)</f>
        <v>2937.0699999999997</v>
      </c>
      <c r="M48" s="67">
        <f t="array" ref="M48">SUMPRODUCT(M33:M41,Pars!M44:M52)</f>
        <v>2706.65</v>
      </c>
      <c r="N48" s="67">
        <f t="array" ref="N48">SUMPRODUCT(N33:N41,Pars!N44:N52)</f>
        <v>2777.6499999999996</v>
      </c>
      <c r="O48" s="67">
        <f t="array" ref="O48">SUMPRODUCT(O33:O41,Pars!O44:O52)</f>
        <v>2879.02</v>
      </c>
      <c r="P48" s="67">
        <f t="array" ref="P48">SUMPRODUCT(P33:P41,Pars!P44:P52)</f>
        <v>3016.56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15430.445322794001</v>
      </c>
      <c r="E49" s="67">
        <f t="shared" ref="E49:AC49" si="1">SUM(E46:E48)</f>
        <v>15201.396534858002</v>
      </c>
      <c r="F49" s="67">
        <f t="shared" si="1"/>
        <v>16929.6816</v>
      </c>
      <c r="G49" s="67">
        <f t="shared" si="1"/>
        <v>17559.858500000002</v>
      </c>
      <c r="H49" s="67">
        <f t="shared" si="1"/>
        <v>17415.794900000001</v>
      </c>
      <c r="I49" s="67">
        <f t="shared" si="1"/>
        <v>17564.8776</v>
      </c>
      <c r="J49" s="67">
        <f t="shared" si="1"/>
        <v>19754.004400000002</v>
      </c>
      <c r="K49" s="67">
        <f t="shared" si="1"/>
        <v>19395.398897999999</v>
      </c>
      <c r="L49" s="67">
        <f t="shared" si="1"/>
        <v>18896.041099999999</v>
      </c>
      <c r="M49" s="67">
        <f t="shared" si="1"/>
        <v>18550.671100000003</v>
      </c>
      <c r="N49" s="67">
        <f t="shared" si="1"/>
        <v>18147.394499999999</v>
      </c>
      <c r="O49" s="67">
        <f t="shared" si="1"/>
        <v>20633.958999999999</v>
      </c>
      <c r="P49" s="67">
        <f t="shared" si="1"/>
        <v>19098.089100000001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11395.709559765999</v>
      </c>
      <c r="E50" s="70">
        <f t="shared" ref="E50:AC50" si="2">E45-E49</f>
        <v>12330.584940520519</v>
      </c>
      <c r="F50" s="70">
        <f t="shared" si="2"/>
        <v>10461.912436203922</v>
      </c>
      <c r="G50" s="70">
        <f t="shared" si="2"/>
        <v>9116.6858236470252</v>
      </c>
      <c r="H50" s="70">
        <f t="shared" si="2"/>
        <v>9379.0700383002404</v>
      </c>
      <c r="I50" s="70">
        <f t="shared" si="2"/>
        <v>8991.770916597412</v>
      </c>
      <c r="J50" s="70">
        <f t="shared" si="2"/>
        <v>9095.9438583904448</v>
      </c>
      <c r="K50" s="70">
        <f t="shared" si="2"/>
        <v>9369.9920549871676</v>
      </c>
      <c r="L50" s="70">
        <f t="shared" si="2"/>
        <v>9965.7876898496797</v>
      </c>
      <c r="M50" s="70">
        <f t="shared" si="2"/>
        <v>8574.4645638590227</v>
      </c>
      <c r="N50" s="70">
        <f t="shared" si="2"/>
        <v>8724.9538343086606</v>
      </c>
      <c r="O50" s="70">
        <f t="shared" si="2"/>
        <v>6679.4747115891769</v>
      </c>
      <c r="P50" s="70">
        <f t="shared" si="2"/>
        <v>8218.9720706259468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11395.709559765999</v>
      </c>
      <c r="E62" s="79">
        <f t="shared" ref="E62:AC62" si="4">E50+E61</f>
        <v>12330.584940520519</v>
      </c>
      <c r="F62" s="79">
        <f t="shared" si="4"/>
        <v>10461.912436203922</v>
      </c>
      <c r="G62" s="79">
        <f t="shared" si="4"/>
        <v>9116.6858236470252</v>
      </c>
      <c r="H62" s="79">
        <f t="shared" si="4"/>
        <v>9379.0700383002404</v>
      </c>
      <c r="I62" s="79">
        <f t="shared" si="4"/>
        <v>8991.770916597412</v>
      </c>
      <c r="J62" s="79">
        <f t="shared" si="4"/>
        <v>9095.9438583904448</v>
      </c>
      <c r="K62" s="79">
        <f t="shared" si="4"/>
        <v>9369.9920549871676</v>
      </c>
      <c r="L62" s="79">
        <f t="shared" si="4"/>
        <v>9965.7876898496797</v>
      </c>
      <c r="M62" s="79">
        <f t="shared" si="4"/>
        <v>8574.4645638590227</v>
      </c>
      <c r="N62" s="79">
        <f t="shared" si="4"/>
        <v>8724.9538343086606</v>
      </c>
      <c r="O62" s="79">
        <f t="shared" si="4"/>
        <v>6679.4747115891769</v>
      </c>
      <c r="P62" s="79">
        <f t="shared" si="4"/>
        <v>8218.9720706259468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10" priority="5" operator="containsText" text="Nein">
      <formula>NOT(ISERROR(SEARCH("Nein",D22)))</formula>
    </cfRule>
  </conditionalFormatting>
  <conditionalFormatting sqref="D31:AC31">
    <cfRule type="cellIs" dxfId="109" priority="6" operator="equal">
      <formula>"ok"</formula>
    </cfRule>
  </conditionalFormatting>
  <conditionalFormatting sqref="H5:AC12 H14:AC16 H18:AC19 H33:AC41">
    <cfRule type="cellIs" dxfId="108" priority="4" operator="greaterThan">
      <formula>0</formula>
    </cfRule>
  </conditionalFormatting>
  <conditionalFormatting sqref="H6:AC12">
    <cfRule type="expression" dxfId="107" priority="3">
      <formula>NOT(ISBLANK(H6))</formula>
    </cfRule>
  </conditionalFormatting>
  <conditionalFormatting sqref="H18:AC19">
    <cfRule type="expression" dxfId="106" priority="2">
      <formula>NOT(ISBLANK(H18))</formula>
    </cfRule>
  </conditionalFormatting>
  <conditionalFormatting sqref="H56:AC60">
    <cfRule type="cellIs" dxfId="105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D6D69436-67DE-4173-9A2D-346551029EA8}">
      <formula1>"Ja, Nein"</formula1>
    </dataValidation>
  </dataValidation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B1B5F-1D2A-46FE-8E41-125541EF908F}">
  <sheetPr>
    <tabColor theme="2" tint="-0.499984740745262"/>
  </sheetPr>
  <dimension ref="A1:AD134"/>
  <sheetViews>
    <sheetView topLeftCell="A5"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187</v>
      </c>
      <c r="D1" s="32"/>
      <c r="E1" s="32"/>
    </row>
    <row r="2" spans="1:30" x14ac:dyDescent="0.3">
      <c r="A2" s="30"/>
      <c r="B2" s="31" t="s">
        <v>86</v>
      </c>
      <c r="C2" s="33" t="s">
        <v>188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112322</v>
      </c>
      <c r="E5" s="42">
        <v>112322</v>
      </c>
      <c r="F5" s="42">
        <v>112322</v>
      </c>
      <c r="G5" s="42">
        <v>46622</v>
      </c>
      <c r="H5" s="43">
        <v>66303</v>
      </c>
      <c r="I5" s="43">
        <v>130373</v>
      </c>
      <c r="J5" s="43">
        <v>128579</v>
      </c>
      <c r="K5" s="43">
        <v>128726.28300166962</v>
      </c>
      <c r="L5" s="43">
        <v>127864</v>
      </c>
      <c r="M5" s="43">
        <v>89170</v>
      </c>
      <c r="N5" s="43">
        <v>72657</v>
      </c>
      <c r="O5" s="43">
        <v>84647</v>
      </c>
      <c r="P5" s="43">
        <v>104643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120000</v>
      </c>
      <c r="E6" s="42">
        <v>62001</v>
      </c>
      <c r="F6" s="42">
        <v>63195</v>
      </c>
      <c r="G6" s="42">
        <v>50775</v>
      </c>
      <c r="H6" s="47">
        <v>66792</v>
      </c>
      <c r="I6" s="47">
        <v>81808</v>
      </c>
      <c r="J6" s="47">
        <v>85601</v>
      </c>
      <c r="K6" s="47">
        <v>86750</v>
      </c>
      <c r="L6" s="47">
        <v>84554</v>
      </c>
      <c r="M6" s="47">
        <v>88430</v>
      </c>
      <c r="N6" s="47">
        <v>77726</v>
      </c>
      <c r="O6" s="47">
        <v>75646</v>
      </c>
      <c r="P6" s="47">
        <v>101791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/>
      <c r="E7" s="42">
        <v>0</v>
      </c>
      <c r="F7" s="42">
        <v>0</v>
      </c>
      <c r="G7" s="42">
        <v>1213</v>
      </c>
      <c r="H7" s="47">
        <v>0</v>
      </c>
      <c r="I7" s="47">
        <v>0</v>
      </c>
      <c r="J7" s="47">
        <v>0</v>
      </c>
      <c r="K7" s="47">
        <v>0</v>
      </c>
      <c r="L7" s="47">
        <v>0</v>
      </c>
      <c r="M7" s="47">
        <v>0</v>
      </c>
      <c r="N7" s="47">
        <v>0</v>
      </c>
      <c r="O7" s="47">
        <v>0</v>
      </c>
      <c r="P7" s="47">
        <v>0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/>
      <c r="J8" s="47">
        <v>5048</v>
      </c>
      <c r="K8" s="47">
        <v>6709</v>
      </c>
      <c r="L8" s="47">
        <v>4055</v>
      </c>
      <c r="M8" s="47">
        <v>2771</v>
      </c>
      <c r="N8" s="47">
        <v>1259</v>
      </c>
      <c r="O8" s="47">
        <v>3751</v>
      </c>
      <c r="P8" s="47">
        <v>17526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>
        <v>3000</v>
      </c>
      <c r="E9" s="42">
        <v>3907</v>
      </c>
      <c r="F9" s="42">
        <v>2888</v>
      </c>
      <c r="G9" s="42">
        <v>514</v>
      </c>
      <c r="H9" s="47"/>
      <c r="I9" s="47">
        <v>768</v>
      </c>
      <c r="J9" s="47">
        <v>612</v>
      </c>
      <c r="K9" s="47">
        <v>811</v>
      </c>
      <c r="L9" s="47">
        <v>2047</v>
      </c>
      <c r="M9" s="47">
        <v>4315</v>
      </c>
      <c r="N9" s="47">
        <v>4165</v>
      </c>
      <c r="O9" s="47">
        <v>4543</v>
      </c>
      <c r="P9" s="47">
        <v>4759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>
        <v>15000</v>
      </c>
      <c r="E10" s="42">
        <v>16073</v>
      </c>
      <c r="F10" s="42">
        <v>12375</v>
      </c>
      <c r="G10" s="42"/>
      <c r="H10" s="47">
        <v>3576</v>
      </c>
      <c r="I10" s="47">
        <v>5191</v>
      </c>
      <c r="J10" s="47">
        <v>3819</v>
      </c>
      <c r="K10" s="47">
        <v>6461</v>
      </c>
      <c r="L10" s="47">
        <v>7438</v>
      </c>
      <c r="M10" s="47">
        <v>7145</v>
      </c>
      <c r="N10" s="47">
        <v>2040</v>
      </c>
      <c r="O10" s="47">
        <v>2120</v>
      </c>
      <c r="P10" s="47">
        <v>3878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10.478</v>
      </c>
      <c r="E14" s="51">
        <v>10.48</v>
      </c>
      <c r="F14" s="51">
        <v>10.506</v>
      </c>
      <c r="G14" s="51">
        <v>9.08</v>
      </c>
      <c r="H14" s="43">
        <v>10.97</v>
      </c>
      <c r="I14" s="43">
        <v>12.12</v>
      </c>
      <c r="J14" s="43">
        <v>12.23</v>
      </c>
      <c r="K14" s="43">
        <v>12.53</v>
      </c>
      <c r="L14" s="43">
        <v>12.75</v>
      </c>
      <c r="M14" s="43">
        <v>12.04</v>
      </c>
      <c r="N14" s="43">
        <v>11.449</v>
      </c>
      <c r="O14" s="43">
        <v>11.41</v>
      </c>
      <c r="P14" s="43">
        <v>11.38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55000</v>
      </c>
      <c r="E15" s="42">
        <v>56462</v>
      </c>
      <c r="F15" s="42">
        <v>53917</v>
      </c>
      <c r="G15" s="42">
        <v>50347</v>
      </c>
      <c r="H15" s="47">
        <v>51882</v>
      </c>
      <c r="I15" s="47">
        <v>55828</v>
      </c>
      <c r="J15" s="47">
        <v>55449</v>
      </c>
      <c r="K15" s="47">
        <v>56029</v>
      </c>
      <c r="L15" s="47">
        <v>59435</v>
      </c>
      <c r="M15" s="47">
        <f>56093+5136</f>
        <v>61229</v>
      </c>
      <c r="N15" s="47">
        <v>61511</v>
      </c>
      <c r="O15" s="47">
        <v>63758</v>
      </c>
      <c r="P15" s="47">
        <f>50708+10147</f>
        <v>60855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9000</v>
      </c>
      <c r="E16" s="42">
        <v>9643</v>
      </c>
      <c r="F16" s="42">
        <v>10853</v>
      </c>
      <c r="G16" s="42">
        <v>8075</v>
      </c>
      <c r="H16" s="47">
        <v>21381</v>
      </c>
      <c r="I16" s="47">
        <v>36289</v>
      </c>
      <c r="J16" s="47">
        <v>40039</v>
      </c>
      <c r="K16" s="47">
        <v>41019</v>
      </c>
      <c r="L16" s="47">
        <v>39065</v>
      </c>
      <c r="M16" s="47">
        <v>37651</v>
      </c>
      <c r="N16" s="47">
        <v>27071</v>
      </c>
      <c r="O16" s="47">
        <v>24932</v>
      </c>
      <c r="P16" s="47">
        <v>45152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f>0.21*D6</f>
        <v>25200</v>
      </c>
      <c r="E18" s="42">
        <f>0.21*E6</f>
        <v>13020.21</v>
      </c>
      <c r="F18" s="42">
        <f>0.21*F6</f>
        <v>13270.949999999999</v>
      </c>
      <c r="G18" s="42">
        <v>13166</v>
      </c>
      <c r="H18" s="43">
        <v>17224</v>
      </c>
      <c r="I18" s="43">
        <v>22505</v>
      </c>
      <c r="J18" s="43">
        <v>21631</v>
      </c>
      <c r="K18" s="43">
        <v>21575</v>
      </c>
      <c r="L18" s="43">
        <v>21314</v>
      </c>
      <c r="M18" s="43">
        <v>20369</v>
      </c>
      <c r="N18" s="43">
        <v>17042</v>
      </c>
      <c r="O18" s="43">
        <v>15895</v>
      </c>
      <c r="P18" s="43">
        <v>24343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f>0.021*D6</f>
        <v>2520</v>
      </c>
      <c r="E19" s="42">
        <f>0.021*E6</f>
        <v>1302.0210000000002</v>
      </c>
      <c r="F19" s="42">
        <f>0.021*F6</f>
        <v>1327.095</v>
      </c>
      <c r="G19" s="42">
        <v>1340</v>
      </c>
      <c r="H19" s="47">
        <v>1649</v>
      </c>
      <c r="I19" s="47">
        <v>2362</v>
      </c>
      <c r="J19" s="47">
        <v>2491</v>
      </c>
      <c r="K19" s="47">
        <v>2469</v>
      </c>
      <c r="L19" s="47">
        <v>2480</v>
      </c>
      <c r="M19" s="47">
        <v>2748</v>
      </c>
      <c r="N19" s="47">
        <v>2205</v>
      </c>
      <c r="O19" s="47">
        <v>1858</v>
      </c>
      <c r="P19" s="47">
        <v>2019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112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113</v>
      </c>
      <c r="G23" s="59" t="s">
        <v>113</v>
      </c>
      <c r="H23" s="59" t="s">
        <v>113</v>
      </c>
      <c r="I23" s="59" t="s">
        <v>113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112</v>
      </c>
      <c r="F25" s="59" t="s">
        <v>112</v>
      </c>
      <c r="G25" s="59" t="s">
        <v>112</v>
      </c>
      <c r="H25" s="59" t="s">
        <v>112</v>
      </c>
      <c r="I25" s="59" t="s">
        <v>112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112</v>
      </c>
      <c r="K26" s="59" t="s">
        <v>112</v>
      </c>
      <c r="L26" s="59" t="s">
        <v>112</v>
      </c>
      <c r="M26" s="59" t="s">
        <v>112</v>
      </c>
      <c r="N26" s="59" t="s">
        <v>112</v>
      </c>
      <c r="O26" s="59" t="s">
        <v>112</v>
      </c>
      <c r="P26" s="59" t="s">
        <v>112</v>
      </c>
      <c r="Q26" s="59" t="s">
        <v>112</v>
      </c>
      <c r="R26" s="59" t="s">
        <v>112</v>
      </c>
      <c r="S26" s="59" t="s">
        <v>112</v>
      </c>
      <c r="T26" s="59" t="s">
        <v>112</v>
      </c>
      <c r="U26" s="59" t="s">
        <v>112</v>
      </c>
      <c r="V26" s="59" t="s">
        <v>112</v>
      </c>
      <c r="W26" s="59" t="s">
        <v>112</v>
      </c>
      <c r="X26" s="59" t="s">
        <v>112</v>
      </c>
      <c r="Y26" s="59" t="s">
        <v>112</v>
      </c>
      <c r="Z26" s="59" t="s">
        <v>112</v>
      </c>
      <c r="AA26" s="59" t="s">
        <v>112</v>
      </c>
      <c r="AB26" s="59" t="s">
        <v>112</v>
      </c>
      <c r="AC26" s="59" t="s">
        <v>112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1032.1592400000002</v>
      </c>
      <c r="E33" s="47">
        <v>711.05450043600013</v>
      </c>
      <c r="F33" s="47">
        <v>724.74781302000008</v>
      </c>
      <c r="G33" s="47">
        <v>705</v>
      </c>
      <c r="H33" s="43">
        <v>787</v>
      </c>
      <c r="I33" s="43">
        <v>1250</v>
      </c>
      <c r="J33" s="43">
        <v>1540</v>
      </c>
      <c r="K33" s="43">
        <v>1230</v>
      </c>
      <c r="L33" s="43">
        <v>1257</v>
      </c>
      <c r="M33" s="43">
        <v>1523</v>
      </c>
      <c r="N33" s="43">
        <v>1193</v>
      </c>
      <c r="O33" s="63">
        <v>1176</v>
      </c>
      <c r="P33" s="63">
        <v>1631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220</v>
      </c>
      <c r="K34" s="47">
        <v>410</v>
      </c>
      <c r="L34" s="47">
        <v>490</v>
      </c>
      <c r="M34" s="47">
        <v>426</v>
      </c>
      <c r="N34" s="47">
        <v>333</v>
      </c>
      <c r="O34" s="64">
        <v>366</v>
      </c>
      <c r="P34" s="64">
        <v>609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>
        <v>0</v>
      </c>
      <c r="E37" s="47">
        <v>17.674935075</v>
      </c>
      <c r="F37" s="47">
        <v>18.015314625000002</v>
      </c>
      <c r="G37" s="47">
        <v>18.1905</v>
      </c>
      <c r="H37" s="47">
        <v>22.385175</v>
      </c>
      <c r="I37" s="47">
        <v>20</v>
      </c>
      <c r="J37" s="47">
        <v>22</v>
      </c>
      <c r="K37" s="47">
        <v>20</v>
      </c>
      <c r="L37" s="47">
        <v>25</v>
      </c>
      <c r="M37" s="47">
        <v>25</v>
      </c>
      <c r="N37" s="47">
        <v>25</v>
      </c>
      <c r="O37" s="64">
        <v>15</v>
      </c>
      <c r="P37" s="64">
        <v>41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0</v>
      </c>
      <c r="E41" s="47">
        <v>154.04535956249998</v>
      </c>
      <c r="F41" s="47">
        <v>157.01192718749996</v>
      </c>
      <c r="G41" s="47">
        <v>312</v>
      </c>
      <c r="H41" s="47">
        <v>311</v>
      </c>
      <c r="I41" s="47">
        <v>379</v>
      </c>
      <c r="J41" s="47">
        <v>180</v>
      </c>
      <c r="K41" s="47">
        <v>65</v>
      </c>
      <c r="L41" s="47">
        <v>128</v>
      </c>
      <c r="M41" s="47">
        <v>89</v>
      </c>
      <c r="N41" s="47">
        <v>49</v>
      </c>
      <c r="O41" s="64">
        <v>67</v>
      </c>
      <c r="P41" s="64">
        <v>90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(Pars!D56+(D_SG_1!D14-Pars!D57)*Pars!D58)/Pars!D59</f>
        <v>0.27336879999999997</v>
      </c>
      <c r="E43" s="66">
        <f>(Pars!E56+(D_SG_1!E14-Pars!E57)*Pars!E58)/Pars!E59</f>
        <v>0.27340772659227341</v>
      </c>
      <c r="F43" s="66">
        <f>(Pars!F56+(D_SG_1!F14-Pars!F57)*Pars!F58)/Pars!F59</f>
        <v>0.27391705216589562</v>
      </c>
      <c r="G43" s="66">
        <f>(Pars!G56+(D_SG_1!G14-Pars!G57)*Pars!G58)/Pars!G59</f>
        <v>0.24596726209821371</v>
      </c>
      <c r="H43" s="66">
        <f>(Pars!H56+(D_SG_1!H14-Pars!H57)*Pars!H58)/Pars!H59</f>
        <v>0.28301086795652819</v>
      </c>
      <c r="I43" s="66">
        <f>(Pars!I56+(D_SG_1!I14-Pars!I57)*Pars!I58)/Pars!I59</f>
        <v>0.30555047224763876</v>
      </c>
      <c r="J43" s="66">
        <f>(Pars!J56+(D_SG_1!J14-Pars!J57)*Pars!J58)/Pars!J59</f>
        <v>0.30770615376307742</v>
      </c>
      <c r="K43" s="66">
        <f>(Pars!K56+(D_SG_1!K14-Pars!K57)*Pars!K58)/Pars!K59</f>
        <v>0.31358580489936572</v>
      </c>
      <c r="L43" s="66">
        <f>(Pars!L56+(D_SG_1!L14-Pars!L57)*Pars!L58)/Pars!L59</f>
        <v>0.31789745682034543</v>
      </c>
      <c r="M43" s="66">
        <f>(Pars!M56+(D_SG_1!M14-Pars!M57)*Pars!M58)/Pars!M59</f>
        <v>0.30398126416862248</v>
      </c>
      <c r="N43" s="66">
        <f>(Pars!N56+(D_SG_1!N14-Pars!N57)*Pars!N58)/Pars!N59</f>
        <v>0.29239747602523974</v>
      </c>
      <c r="O43" s="66">
        <f>(Pars!O56+(D_SG_1!O14-Pars!O57)*Pars!O58)/Pars!O59</f>
        <v>0.29163279203928755</v>
      </c>
      <c r="P43" s="66">
        <f>(Pars!P56+(D_SG_1!P14-Pars!P57)*Pars!P58)/Pars!P59</f>
        <v>0.29104450746591043</v>
      </c>
      <c r="Q43" s="66">
        <f>(Pars!Q56+(D_SG_1!Q14-Pars!Q57)*Pars!Q58)/Pars!Q59</f>
        <v>6.7999116011491847E-2</v>
      </c>
      <c r="R43" s="66">
        <f>(Pars!R56+(D_SG_1!R14-Pars!R57)*Pars!R58)/Pars!R59</f>
        <v>6.7999048013327817E-2</v>
      </c>
      <c r="S43" s="66">
        <f>(Pars!S56+(D_SG_1!S14-Pars!S57)*Pars!S58)/Pars!S59</f>
        <v>6.7998980015299776E-2</v>
      </c>
      <c r="T43" s="66">
        <f>(Pars!T56+(D_SG_1!T14-Pars!T57)*Pars!T58)/Pars!T59</f>
        <v>6.7998980015299776E-2</v>
      </c>
      <c r="U43" s="66">
        <f>(Pars!U56+(D_SG_1!U14-Pars!U57)*Pars!U58)/Pars!U59</f>
        <v>6.7998980015299776E-2</v>
      </c>
      <c r="V43" s="66">
        <f>(Pars!V56+(D_SG_1!V14-Pars!V57)*Pars!V58)/Pars!V59</f>
        <v>6.7998980015299776E-2</v>
      </c>
      <c r="W43" s="66">
        <f>(Pars!W56+(D_SG_1!W14-Pars!W57)*Pars!W58)/Pars!W59</f>
        <v>6.7998980015299776E-2</v>
      </c>
      <c r="X43" s="66">
        <f>(Pars!X56+(D_SG_1!X14-Pars!X57)*Pars!X58)/Pars!X59</f>
        <v>6.7998980015299776E-2</v>
      </c>
      <c r="Y43" s="66">
        <f>(Pars!Y56+(D_SG_1!Y14-Pars!Y57)*Pars!Y58)/Pars!Y59</f>
        <v>6.7998980015299776E-2</v>
      </c>
      <c r="Z43" s="66">
        <f>(Pars!Z56+(D_SG_1!Z14-Pars!Z57)*Pars!Z58)/Pars!Z59</f>
        <v>6.7998980015299776E-2</v>
      </c>
      <c r="AA43" s="66">
        <f>(Pars!AA56+(D_SG_1!AA14-Pars!AA57)*Pars!AA58)/Pars!AA59</f>
        <v>6.7998980015299776E-2</v>
      </c>
      <c r="AB43" s="66">
        <f>(Pars!AB56+(D_SG_1!AB14-Pars!AB57)*Pars!AB58)/Pars!AB59</f>
        <v>6.7998980015299776E-2</v>
      </c>
      <c r="AC43" s="66">
        <f>(Pars!AC56+(D_SG_1!AC14-Pars!AC57)*Pars!AC58)/Pars!AC59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120282.27199999997</v>
      </c>
      <c r="E44" s="43">
        <f>Pars!E37*E43*E6</f>
        <v>62155.692340307651</v>
      </c>
      <c r="F44" s="43">
        <f>Pars!F37*F43*F6</f>
        <v>63470.689742620503</v>
      </c>
      <c r="G44" s="43">
        <f>Pars!G37*G43*G6</f>
        <v>45792.955021134934</v>
      </c>
      <c r="H44" s="43">
        <f>Pars!H37*H43*H6</f>
        <v>69310.493606025586</v>
      </c>
      <c r="I44" s="43">
        <f>Pars!I37*I43*I6</f>
        <v>91653.734456661041</v>
      </c>
      <c r="J44" s="43">
        <f>Pars!J37*J43*J6</f>
        <v>96579.833050335015</v>
      </c>
      <c r="K44" s="43">
        <f>Pars!K37*K43*K6</f>
        <v>99746.418108406579</v>
      </c>
      <c r="L44" s="43">
        <f>Pars!L37*L43*L6</f>
        <v>98558.172401287447</v>
      </c>
      <c r="M44" s="43">
        <f>Pars!M37*M43*M6</f>
        <v>98563.898364914698</v>
      </c>
      <c r="N44" s="43">
        <f>Pars!N37*N43*N6</f>
        <v>83331.916145638534</v>
      </c>
      <c r="O44" s="63">
        <f>Pars!O37*O43*O6</f>
        <v>80889.79868421446</v>
      </c>
      <c r="P44" s="63">
        <f>Pars!P37*P43*P6</f>
        <v>108627.60868469578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57735.490559999977</v>
      </c>
      <c r="E45" s="43">
        <f>E44*Pars!E36/100</f>
        <v>29834.732323347675</v>
      </c>
      <c r="F45" s="43">
        <f>F44*Pars!F36/100</f>
        <v>30465.93107645784</v>
      </c>
      <c r="G45" s="43">
        <f>G44*Pars!G36/100</f>
        <v>21980.618410144769</v>
      </c>
      <c r="H45" s="43">
        <f>H44*Pars!H36/100</f>
        <v>33269.036930892282</v>
      </c>
      <c r="I45" s="43">
        <f>I44*Pars!I36/100</f>
        <v>43993.792539197297</v>
      </c>
      <c r="J45" s="43">
        <f>J44*Pars!J36/100</f>
        <v>46358.319864160811</v>
      </c>
      <c r="K45" s="43">
        <f>K44*Pars!K36/100</f>
        <v>47878.280692035158</v>
      </c>
      <c r="L45" s="43">
        <f>L44*Pars!L36/100</f>
        <v>47307.922752617967</v>
      </c>
      <c r="M45" s="43">
        <f>M44*Pars!M36/100</f>
        <v>47310.671215159055</v>
      </c>
      <c r="N45" s="43">
        <f>N44*Pars!N36/100</f>
        <v>39999.319749906499</v>
      </c>
      <c r="O45" s="63">
        <f>O44*Pars!O36/100</f>
        <v>38827.103368422941</v>
      </c>
      <c r="P45" s="63">
        <f>P44*Pars!P36/100</f>
        <v>52141.252168653969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12336.5</v>
      </c>
      <c r="E46" s="43">
        <f>Pars!E40*E15</f>
        <v>12664.426600000001</v>
      </c>
      <c r="F46" s="43">
        <f>Pars!F40*F15</f>
        <v>12093.5831</v>
      </c>
      <c r="G46" s="43">
        <f>Pars!G40*G15</f>
        <v>11292.8321</v>
      </c>
      <c r="H46" s="43">
        <f>Pars!H40*H15</f>
        <v>11637.132600000001</v>
      </c>
      <c r="I46" s="43">
        <f>Pars!I40*I15</f>
        <v>12522.2204</v>
      </c>
      <c r="J46" s="43">
        <f>Pars!J40*J15</f>
        <v>12437.2107</v>
      </c>
      <c r="K46" s="43">
        <f>Pars!K40*K15</f>
        <v>12567.304700000001</v>
      </c>
      <c r="L46" s="43">
        <f>Pars!L40*L15</f>
        <v>13331.270500000001</v>
      </c>
      <c r="M46" s="43">
        <f>Pars!M40*M15</f>
        <v>13733.664699999999</v>
      </c>
      <c r="N46" s="43">
        <f>Pars!N40*N15</f>
        <v>13796.917299999999</v>
      </c>
      <c r="O46" s="63">
        <f>Pars!O40*O15</f>
        <v>14300.919400000001</v>
      </c>
      <c r="P46" s="63">
        <f>Pars!P40*P15</f>
        <v>13649.7765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266.40000000000003</v>
      </c>
      <c r="E47" s="43">
        <f>Pars!E41*E16</f>
        <v>285.43279999999999</v>
      </c>
      <c r="F47" s="43">
        <f>Pars!F41*F16</f>
        <v>321.24880000000002</v>
      </c>
      <c r="G47" s="43">
        <f>Pars!G41*G16</f>
        <v>239.02</v>
      </c>
      <c r="H47" s="43">
        <f>Pars!H41*H16</f>
        <v>632.87760000000003</v>
      </c>
      <c r="I47" s="43">
        <f>Pars!I41*I16</f>
        <v>1074.1544000000001</v>
      </c>
      <c r="J47" s="43">
        <f>Pars!J41*J16</f>
        <v>1185.1544000000001</v>
      </c>
      <c r="K47" s="43">
        <f>Pars!K41*K16</f>
        <v>1214.1624000000002</v>
      </c>
      <c r="L47" s="43">
        <f>Pars!L41*L16</f>
        <v>1156.3240000000001</v>
      </c>
      <c r="M47" s="43">
        <f>Pars!M41*M16</f>
        <v>1114.4696000000001</v>
      </c>
      <c r="N47" s="43">
        <f>Pars!N41*N16</f>
        <v>801.30160000000001</v>
      </c>
      <c r="O47" s="63">
        <f>Pars!O41*O16</f>
        <v>737.98720000000003</v>
      </c>
      <c r="P47" s="63">
        <f>Pars!P41*P16</f>
        <v>1336.4992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1558.5604524000003</v>
      </c>
      <c r="E48" s="67">
        <f t="array" ref="E48">SUMPRODUCT(E33:E41,Pars!E44:E52)</f>
        <v>1887.0459350538601</v>
      </c>
      <c r="F48" s="67">
        <f t="array" ref="F48">SUMPRODUCT(F33:F41,Pars!F44:F52)</f>
        <v>1923.3862012826999</v>
      </c>
      <c r="G48" s="67">
        <f t="array" ref="G48">SUMPRODUCT(G33:G41,Pars!G44:G52)</f>
        <v>2668.9348199999999</v>
      </c>
      <c r="H48" s="67">
        <f t="array" ref="H48">SUMPRODUCT(H33:H41,Pars!H44:H52)</f>
        <v>2797.9898270000003</v>
      </c>
      <c r="I48" s="67">
        <f t="array" ref="I48">SUMPRODUCT(I33:I41,Pars!I44:I52)</f>
        <v>3831.3</v>
      </c>
      <c r="J48" s="67">
        <f t="array" ref="J48">SUMPRODUCT(J33:J41,Pars!J44:J52)</f>
        <v>5190.88</v>
      </c>
      <c r="K48" s="67">
        <f t="array" ref="K48">SUMPRODUCT(K33:K41,Pars!K44:K52)</f>
        <v>5794</v>
      </c>
      <c r="L48" s="67">
        <f t="array" ref="L48">SUMPRODUCT(L33:L41,Pars!L44:L52)</f>
        <v>6857.1699999999992</v>
      </c>
      <c r="M48" s="67">
        <f t="array" ref="M48">SUMPRODUCT(M33:M41,Pars!M44:M52)</f>
        <v>6507.67</v>
      </c>
      <c r="N48" s="67">
        <f t="array" ref="N48">SUMPRODUCT(N33:N41,Pars!N44:N52)</f>
        <v>5001.2</v>
      </c>
      <c r="O48" s="67">
        <f t="array" ref="O48">SUMPRODUCT(O33:O41,Pars!O44:O52)</f>
        <v>5327.9000000000005</v>
      </c>
      <c r="P48" s="67">
        <f t="array" ref="P48">SUMPRODUCT(P33:P41,Pars!P44:P52)</f>
        <v>8305.0600000000013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14161.460452400001</v>
      </c>
      <c r="E49" s="67">
        <f t="shared" ref="E49:AC49" si="1">SUM(E46:E48)</f>
        <v>14836.905335053862</v>
      </c>
      <c r="F49" s="67">
        <f t="shared" si="1"/>
        <v>14338.218101282699</v>
      </c>
      <c r="G49" s="67">
        <f t="shared" si="1"/>
        <v>14200.78692</v>
      </c>
      <c r="H49" s="67">
        <f t="shared" si="1"/>
        <v>15068.000027000002</v>
      </c>
      <c r="I49" s="67">
        <f t="shared" si="1"/>
        <v>17427.674800000001</v>
      </c>
      <c r="J49" s="67">
        <f t="shared" si="1"/>
        <v>18813.2451</v>
      </c>
      <c r="K49" s="67">
        <f t="shared" si="1"/>
        <v>19575.467100000002</v>
      </c>
      <c r="L49" s="67">
        <f t="shared" si="1"/>
        <v>21344.764500000001</v>
      </c>
      <c r="M49" s="67">
        <f t="shared" si="1"/>
        <v>21355.8043</v>
      </c>
      <c r="N49" s="67">
        <f t="shared" si="1"/>
        <v>19599.418900000001</v>
      </c>
      <c r="O49" s="67">
        <f t="shared" si="1"/>
        <v>20366.8066</v>
      </c>
      <c r="P49" s="67">
        <f t="shared" si="1"/>
        <v>23291.335700000003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43574.030107599974</v>
      </c>
      <c r="E50" s="70">
        <f t="shared" ref="E50:AC50" si="2">E45-E49</f>
        <v>14997.826988293813</v>
      </c>
      <c r="F50" s="70">
        <f t="shared" si="2"/>
        <v>16127.712975175142</v>
      </c>
      <c r="G50" s="70">
        <f t="shared" si="2"/>
        <v>7779.8314901447684</v>
      </c>
      <c r="H50" s="70">
        <f t="shared" si="2"/>
        <v>18201.03690389228</v>
      </c>
      <c r="I50" s="70">
        <f t="shared" si="2"/>
        <v>26566.117739197296</v>
      </c>
      <c r="J50" s="70">
        <f t="shared" si="2"/>
        <v>27545.07476416081</v>
      </c>
      <c r="K50" s="70">
        <f t="shared" si="2"/>
        <v>28302.813592035156</v>
      </c>
      <c r="L50" s="70">
        <f t="shared" si="2"/>
        <v>25963.158252617966</v>
      </c>
      <c r="M50" s="70">
        <f t="shared" si="2"/>
        <v>25954.866915159055</v>
      </c>
      <c r="N50" s="70">
        <f t="shared" si="2"/>
        <v>20399.900849906498</v>
      </c>
      <c r="O50" s="70">
        <f t="shared" si="2"/>
        <v>18460.296768422941</v>
      </c>
      <c r="P50" s="70">
        <f t="shared" si="2"/>
        <v>28849.916468653966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30</v>
      </c>
      <c r="L56" s="47">
        <v>139</v>
      </c>
      <c r="M56" s="47">
        <v>316</v>
      </c>
      <c r="N56" s="47">
        <v>346</v>
      </c>
      <c r="O56" s="64">
        <v>244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30</v>
      </c>
      <c r="L61" s="76">
        <f t="shared" si="3"/>
        <v>139</v>
      </c>
      <c r="M61" s="76">
        <f t="shared" si="3"/>
        <v>316</v>
      </c>
      <c r="N61" s="76">
        <f t="shared" si="3"/>
        <v>346</v>
      </c>
      <c r="O61" s="76">
        <f t="shared" si="3"/>
        <v>244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43574.030107599974</v>
      </c>
      <c r="E62" s="79">
        <f t="shared" ref="E62:AC62" si="4">E50+E61</f>
        <v>14997.826988293813</v>
      </c>
      <c r="F62" s="79">
        <f t="shared" si="4"/>
        <v>16127.712975175142</v>
      </c>
      <c r="G62" s="79">
        <f t="shared" si="4"/>
        <v>7779.8314901447684</v>
      </c>
      <c r="H62" s="79">
        <f t="shared" si="4"/>
        <v>18201.03690389228</v>
      </c>
      <c r="I62" s="79">
        <f t="shared" si="4"/>
        <v>26566.117739197296</v>
      </c>
      <c r="J62" s="79">
        <f t="shared" si="4"/>
        <v>27545.07476416081</v>
      </c>
      <c r="K62" s="79">
        <f t="shared" si="4"/>
        <v>28332.813592035156</v>
      </c>
      <c r="L62" s="79">
        <f t="shared" si="4"/>
        <v>26102.158252617966</v>
      </c>
      <c r="M62" s="79">
        <f t="shared" si="4"/>
        <v>26270.866915159055</v>
      </c>
      <c r="N62" s="79">
        <f t="shared" si="4"/>
        <v>20745.900849906498</v>
      </c>
      <c r="O62" s="79">
        <f t="shared" si="4"/>
        <v>18704.296768422941</v>
      </c>
      <c r="P62" s="79">
        <f t="shared" si="4"/>
        <v>28849.916468653966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04" priority="5" operator="containsText" text="Nein">
      <formula>NOT(ISERROR(SEARCH("Nein",D22)))</formula>
    </cfRule>
  </conditionalFormatting>
  <conditionalFormatting sqref="D31:AC31">
    <cfRule type="cellIs" dxfId="103" priority="6" operator="equal">
      <formula>"ok"</formula>
    </cfRule>
  </conditionalFormatting>
  <conditionalFormatting sqref="H5:AC12 H14:AC16 H18:AC19 H33:AC41">
    <cfRule type="cellIs" dxfId="102" priority="4" operator="greaterThan">
      <formula>0</formula>
    </cfRule>
  </conditionalFormatting>
  <conditionalFormatting sqref="H6:AC12">
    <cfRule type="expression" dxfId="101" priority="3">
      <formula>NOT(ISBLANK(H6))</formula>
    </cfRule>
  </conditionalFormatting>
  <conditionalFormatting sqref="H18:AC19">
    <cfRule type="expression" dxfId="100" priority="2">
      <formula>NOT(ISBLANK(H18))</formula>
    </cfRule>
  </conditionalFormatting>
  <conditionalFormatting sqref="H56:AC60">
    <cfRule type="cellIs" dxfId="99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074A0CDB-0E48-4D3C-90E0-9F86F6ED4131}">
      <formula1>"Ja, Nein"</formula1>
    </dataValidation>
  </dataValidation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734C-2DD9-439D-915D-3CE13F7004DD}">
  <sheetPr>
    <tabColor theme="2" tint="-0.499984740745262"/>
  </sheetPr>
  <dimension ref="A1:AD134"/>
  <sheetViews>
    <sheetView topLeftCell="B1" zoomScaleNormal="100"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189</v>
      </c>
      <c r="D1" s="32"/>
      <c r="E1" s="32"/>
    </row>
    <row r="2" spans="1:30" x14ac:dyDescent="0.3">
      <c r="A2" s="30"/>
      <c r="B2" s="31" t="s">
        <v>86</v>
      </c>
      <c r="C2" s="33" t="s">
        <v>190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174927</v>
      </c>
      <c r="E5" s="42">
        <v>174927</v>
      </c>
      <c r="F5" s="42">
        <v>174927</v>
      </c>
      <c r="G5" s="42">
        <v>174927</v>
      </c>
      <c r="H5" s="43">
        <v>174927</v>
      </c>
      <c r="I5" s="43">
        <v>178660</v>
      </c>
      <c r="J5" s="43">
        <v>178660</v>
      </c>
      <c r="K5" s="43">
        <v>178660.04962779157</v>
      </c>
      <c r="L5" s="43">
        <v>178660</v>
      </c>
      <c r="M5" s="43">
        <v>178660</v>
      </c>
      <c r="N5" s="43">
        <v>180645</v>
      </c>
      <c r="O5" s="43">
        <v>180645</v>
      </c>
      <c r="P5" s="43">
        <v>180645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191471</v>
      </c>
      <c r="E6" s="42">
        <v>179083</v>
      </c>
      <c r="F6" s="42">
        <v>183854</v>
      </c>
      <c r="G6" s="42">
        <v>176005</v>
      </c>
      <c r="H6" s="47">
        <v>178374</v>
      </c>
      <c r="I6" s="47">
        <v>189206</v>
      </c>
      <c r="J6" s="47">
        <v>186538</v>
      </c>
      <c r="K6" s="47">
        <v>181893.18</v>
      </c>
      <c r="L6" s="47">
        <v>189088</v>
      </c>
      <c r="M6" s="47">
        <v>182164</v>
      </c>
      <c r="N6" s="47">
        <v>176692</v>
      </c>
      <c r="O6" s="47">
        <v>180305</v>
      </c>
      <c r="P6" s="47">
        <v>186321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4430</v>
      </c>
      <c r="E7" s="42">
        <v>2981</v>
      </c>
      <c r="F7" s="42">
        <v>2850</v>
      </c>
      <c r="G7" s="42">
        <v>3358</v>
      </c>
      <c r="H7" s="47">
        <v>3191</v>
      </c>
      <c r="I7" s="47">
        <v>3139</v>
      </c>
      <c r="J7" s="47">
        <v>3305</v>
      </c>
      <c r="K7" s="47">
        <v>3079</v>
      </c>
      <c r="L7" s="47">
        <v>4783</v>
      </c>
      <c r="M7" s="47">
        <v>4512</v>
      </c>
      <c r="N7" s="47">
        <v>2805</v>
      </c>
      <c r="O7" s="47">
        <v>2949</v>
      </c>
      <c r="P7" s="47">
        <v>2854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>
        <v>1783</v>
      </c>
      <c r="H8" s="47">
        <v>560</v>
      </c>
      <c r="I8" s="47"/>
      <c r="J8" s="47"/>
      <c r="K8" s="47">
        <v>630</v>
      </c>
      <c r="L8" s="47">
        <v>491</v>
      </c>
      <c r="M8" s="47">
        <v>0</v>
      </c>
      <c r="N8" s="47">
        <v>0</v>
      </c>
      <c r="O8" s="47"/>
      <c r="P8" s="47">
        <v>887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>
        <v>3000</v>
      </c>
      <c r="E9" s="42">
        <v>4366</v>
      </c>
      <c r="F9" s="42">
        <v>1704</v>
      </c>
      <c r="G9" s="42">
        <v>2696</v>
      </c>
      <c r="H9" s="47">
        <v>2908</v>
      </c>
      <c r="I9" s="47">
        <v>2417</v>
      </c>
      <c r="J9" s="47">
        <v>1972</v>
      </c>
      <c r="K9" s="47">
        <v>2208</v>
      </c>
      <c r="L9" s="47">
        <v>3910</v>
      </c>
      <c r="M9" s="47">
        <v>3691</v>
      </c>
      <c r="N9" s="47">
        <v>1444</v>
      </c>
      <c r="O9" s="47">
        <v>2505</v>
      </c>
      <c r="P9" s="47">
        <v>4047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>
        <v>31000</v>
      </c>
      <c r="E10" s="42">
        <v>31311</v>
      </c>
      <c r="F10" s="42">
        <v>31882</v>
      </c>
      <c r="G10" s="42">
        <v>30700</v>
      </c>
      <c r="H10" s="47">
        <v>29045</v>
      </c>
      <c r="I10" s="47">
        <v>36710</v>
      </c>
      <c r="J10" s="47">
        <v>40063</v>
      </c>
      <c r="K10" s="47">
        <v>42249</v>
      </c>
      <c r="L10" s="47">
        <v>46624</v>
      </c>
      <c r="M10" s="47">
        <v>46142</v>
      </c>
      <c r="N10" s="47">
        <v>44806</v>
      </c>
      <c r="O10" s="47">
        <v>47334</v>
      </c>
      <c r="P10" s="47">
        <v>49640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12.353999999999999</v>
      </c>
      <c r="E14" s="51">
        <v>12.801</v>
      </c>
      <c r="F14" s="51">
        <v>12.992000000000001</v>
      </c>
      <c r="G14" s="51">
        <v>13.13</v>
      </c>
      <c r="H14" s="43">
        <v>12.55</v>
      </c>
      <c r="I14" s="43">
        <v>11.95</v>
      </c>
      <c r="J14" s="43">
        <v>12.38</v>
      </c>
      <c r="K14" s="43">
        <v>12.33</v>
      </c>
      <c r="L14" s="43">
        <v>11.89</v>
      </c>
      <c r="M14" s="43">
        <v>12.68</v>
      </c>
      <c r="N14" s="43">
        <v>12.65</v>
      </c>
      <c r="O14" s="43">
        <v>12.93</v>
      </c>
      <c r="P14" s="43">
        <v>12.68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171800</v>
      </c>
      <c r="E15" s="42">
        <v>163024</v>
      </c>
      <c r="F15" s="42">
        <v>184957</v>
      </c>
      <c r="G15" s="42">
        <v>197358</v>
      </c>
      <c r="H15" s="47">
        <v>191353</v>
      </c>
      <c r="I15" s="47">
        <f>119020+87951</f>
        <v>206971</v>
      </c>
      <c r="J15" s="47">
        <v>213407</v>
      </c>
      <c r="K15" s="47">
        <v>218134</v>
      </c>
      <c r="L15" s="47">
        <v>219995</v>
      </c>
      <c r="M15" s="47">
        <f>146000+110458</f>
        <v>256458</v>
      </c>
      <c r="N15" s="47">
        <v>274718</v>
      </c>
      <c r="O15" s="47">
        <v>287454</v>
      </c>
      <c r="P15" s="47">
        <f>142580+118637</f>
        <v>261217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87704</v>
      </c>
      <c r="E16" s="42">
        <v>88895</v>
      </c>
      <c r="F16" s="42">
        <v>84143</v>
      </c>
      <c r="G16" s="42">
        <v>77588</v>
      </c>
      <c r="H16" s="47">
        <v>85227</v>
      </c>
      <c r="I16" s="47">
        <v>81204</v>
      </c>
      <c r="J16" s="47">
        <v>82712</v>
      </c>
      <c r="K16" s="47">
        <v>79969</v>
      </c>
      <c r="L16" s="47">
        <v>83740</v>
      </c>
      <c r="M16" s="47">
        <v>73700</v>
      </c>
      <c r="N16" s="47">
        <v>67938</v>
      </c>
      <c r="O16" s="47">
        <v>72966</v>
      </c>
      <c r="P16" s="47">
        <f>73393</f>
        <v>73393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50118</v>
      </c>
      <c r="E18" s="42">
        <v>48059</v>
      </c>
      <c r="F18" s="42">
        <v>48004</v>
      </c>
      <c r="G18" s="42">
        <v>46180</v>
      </c>
      <c r="H18" s="43">
        <v>46223</v>
      </c>
      <c r="I18" s="43">
        <v>47360</v>
      </c>
      <c r="J18" s="43">
        <v>47919</v>
      </c>
      <c r="K18" s="43">
        <v>47682.77</v>
      </c>
      <c r="L18" s="43">
        <v>44797</v>
      </c>
      <c r="M18" s="43">
        <v>38190</v>
      </c>
      <c r="N18" s="43">
        <v>45235</v>
      </c>
      <c r="O18" s="43">
        <v>48029</v>
      </c>
      <c r="P18" s="43">
        <v>46619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4324</v>
      </c>
      <c r="E19" s="42">
        <v>3962</v>
      </c>
      <c r="F19" s="42">
        <v>3677</v>
      </c>
      <c r="G19" s="42">
        <v>3520</v>
      </c>
      <c r="H19" s="47">
        <v>3567</v>
      </c>
      <c r="I19" s="47">
        <v>3734</v>
      </c>
      <c r="J19" s="47">
        <v>3731</v>
      </c>
      <c r="K19" s="47">
        <v>3637.86</v>
      </c>
      <c r="L19" s="47">
        <v>3782</v>
      </c>
      <c r="M19" s="47">
        <v>3584</v>
      </c>
      <c r="N19" s="47">
        <v>3534</v>
      </c>
      <c r="O19" s="47">
        <v>3606</v>
      </c>
      <c r="P19" s="47">
        <v>3682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113</v>
      </c>
      <c r="G23" s="59" t="s">
        <v>113</v>
      </c>
      <c r="H23" s="59" t="s">
        <v>113</v>
      </c>
      <c r="I23" s="59" t="s">
        <v>113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112</v>
      </c>
      <c r="E25" s="59" t="s">
        <v>112</v>
      </c>
      <c r="F25" s="59" t="s">
        <v>112</v>
      </c>
      <c r="G25" s="59" t="s">
        <v>112</v>
      </c>
      <c r="H25" s="59" t="s">
        <v>112</v>
      </c>
      <c r="I25" s="59" t="s">
        <v>112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112</v>
      </c>
      <c r="K26" s="59" t="s">
        <v>112</v>
      </c>
      <c r="L26" s="59" t="s">
        <v>112</v>
      </c>
      <c r="M26" s="59" t="s">
        <v>112</v>
      </c>
      <c r="N26" s="59" t="s">
        <v>112</v>
      </c>
      <c r="O26" s="59" t="s">
        <v>112</v>
      </c>
      <c r="P26" s="59" t="s">
        <v>112</v>
      </c>
      <c r="Q26" s="59" t="s">
        <v>112</v>
      </c>
      <c r="R26" s="59" t="s">
        <v>112</v>
      </c>
      <c r="S26" s="59" t="s">
        <v>112</v>
      </c>
      <c r="T26" s="59" t="s">
        <v>112</v>
      </c>
      <c r="U26" s="59" t="s">
        <v>112</v>
      </c>
      <c r="V26" s="59" t="s">
        <v>112</v>
      </c>
      <c r="W26" s="59" t="s">
        <v>112</v>
      </c>
      <c r="X26" s="59" t="s">
        <v>112</v>
      </c>
      <c r="Y26" s="59" t="s">
        <v>112</v>
      </c>
      <c r="Z26" s="59" t="s">
        <v>112</v>
      </c>
      <c r="AA26" s="59" t="s">
        <v>112</v>
      </c>
      <c r="AB26" s="59" t="s">
        <v>112</v>
      </c>
      <c r="AC26" s="59" t="s">
        <v>112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2500</v>
      </c>
      <c r="E33" s="47">
        <v>2361</v>
      </c>
      <c r="F33" s="47">
        <v>3288</v>
      </c>
      <c r="G33" s="47">
        <v>3221</v>
      </c>
      <c r="H33" s="43">
        <v>3413</v>
      </c>
      <c r="I33" s="43">
        <v>3150</v>
      </c>
      <c r="J33" s="43">
        <v>3118</v>
      </c>
      <c r="K33" s="43">
        <v>3209</v>
      </c>
      <c r="L33" s="43">
        <v>3690</v>
      </c>
      <c r="M33" s="43">
        <v>3536</v>
      </c>
      <c r="N33" s="43">
        <v>3648</v>
      </c>
      <c r="O33" s="63">
        <v>4025</v>
      </c>
      <c r="P33" s="63">
        <v>3722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281</v>
      </c>
      <c r="K34" s="47">
        <v>277.77</v>
      </c>
      <c r="L34" s="47">
        <v>266</v>
      </c>
      <c r="M34" s="47">
        <v>252</v>
      </c>
      <c r="N34" s="47">
        <v>320</v>
      </c>
      <c r="O34" s="64">
        <v>890</v>
      </c>
      <c r="P34" s="64">
        <v>600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>
        <v>58.698299999999996</v>
      </c>
      <c r="E37" s="47">
        <v>53.784149999999997</v>
      </c>
      <c r="F37" s="47">
        <v>49.915275000000001</v>
      </c>
      <c r="G37" s="47">
        <v>47.783999999999999</v>
      </c>
      <c r="H37" s="47">
        <v>48.422024999999991</v>
      </c>
      <c r="I37" s="47">
        <v>50</v>
      </c>
      <c r="J37" s="47">
        <v>55</v>
      </c>
      <c r="K37" s="47">
        <v>54.947726400000001</v>
      </c>
      <c r="L37" s="47">
        <v>56</v>
      </c>
      <c r="M37" s="47">
        <v>59</v>
      </c>
      <c r="N37" s="47">
        <v>60</v>
      </c>
      <c r="O37" s="64">
        <v>52</v>
      </c>
      <c r="P37" s="64">
        <v>45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120</v>
      </c>
      <c r="E41" s="47">
        <v>168</v>
      </c>
      <c r="F41" s="47">
        <v>494</v>
      </c>
      <c r="G41" s="47">
        <v>664</v>
      </c>
      <c r="H41" s="47">
        <v>674</v>
      </c>
      <c r="I41" s="47">
        <v>667</v>
      </c>
      <c r="J41" s="47">
        <v>316</v>
      </c>
      <c r="K41" s="47">
        <v>313</v>
      </c>
      <c r="L41" s="47">
        <v>299</v>
      </c>
      <c r="M41" s="47">
        <v>304</v>
      </c>
      <c r="N41" s="47">
        <v>360</v>
      </c>
      <c r="O41" s="64">
        <v>1013</v>
      </c>
      <c r="P41" s="64">
        <v>676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(Pars!D56+(D_SG_2!D14-Pars!D57)*Pars!D58)/Pars!D59</f>
        <v>0.31013839999999998</v>
      </c>
      <c r="E43" s="66">
        <f>(Pars!E56+(D_SG_2!E14-Pars!E57)*Pars!E58)/Pars!E59</f>
        <v>0.31889928110071886</v>
      </c>
      <c r="F43" s="66">
        <f>(Pars!F56+(D_SG_2!F14-Pars!F57)*Pars!F58)/Pars!F59</f>
        <v>0.32264255471489056</v>
      </c>
      <c r="G43" s="66">
        <f>(Pars!G56+(D_SG_2!G14-Pars!G57)*Pars!G58)/Pars!G59</f>
        <v>0.32534702395892812</v>
      </c>
      <c r="H43" s="66">
        <f>(Pars!H56+(D_SG_2!H14-Pars!H57)*Pars!H58)/Pars!H59</f>
        <v>0.31397874408502369</v>
      </c>
      <c r="I43" s="66">
        <f>(Pars!I56+(D_SG_2!I14-Pars!I57)*Pars!I58)/Pars!I59</f>
        <v>0.30221848890755548</v>
      </c>
      <c r="J43" s="66">
        <f>(Pars!J56+(D_SG_2!J14-Pars!J57)*Pars!J58)/Pars!J59</f>
        <v>0.31064613612318326</v>
      </c>
      <c r="K43" s="66">
        <f>(Pars!K56+(D_SG_2!K14-Pars!K57)*Pars!K58)/Pars!K59</f>
        <v>0.30966583233917361</v>
      </c>
      <c r="L43" s="66">
        <f>(Pars!L56+(D_SG_2!L14-Pars!L57)*Pars!L58)/Pars!L59</f>
        <v>0.30104159166726668</v>
      </c>
      <c r="M43" s="66">
        <f>(Pars!M56+(D_SG_2!M14-Pars!M57)*Pars!M58)/Pars!M59</f>
        <v>0.31652515127363856</v>
      </c>
      <c r="N43" s="66">
        <f>(Pars!N56+(D_SG_2!N14-Pars!N57)*Pars!N58)/Pars!N59</f>
        <v>0.31593684063159366</v>
      </c>
      <c r="O43" s="66">
        <f>(Pars!O56+(D_SG_2!O14-Pars!O57)*Pars!O58)/Pars!O59</f>
        <v>0.32142446433089233</v>
      </c>
      <c r="P43" s="66">
        <f>(Pars!P56+(D_SG_2!P14-Pars!P57)*Pars!P58)/Pars!P59</f>
        <v>0.31652420170957951</v>
      </c>
      <c r="Q43" s="66">
        <f>(Pars!Q56+(D_SG_2!Q14-Pars!Q57)*Pars!Q58)/Pars!Q59</f>
        <v>6.7999116011491847E-2</v>
      </c>
      <c r="R43" s="66">
        <f>(Pars!R56+(D_SG_2!R14-Pars!R57)*Pars!R58)/Pars!R59</f>
        <v>6.7999048013327817E-2</v>
      </c>
      <c r="S43" s="66">
        <f>(Pars!S56+(D_SG_2!S14-Pars!S57)*Pars!S58)/Pars!S59</f>
        <v>6.7998980015299776E-2</v>
      </c>
      <c r="T43" s="66">
        <f>(Pars!T56+(D_SG_2!T14-Pars!T57)*Pars!T58)/Pars!T59</f>
        <v>6.7998980015299776E-2</v>
      </c>
      <c r="U43" s="66">
        <f>(Pars!U56+(D_SG_2!U14-Pars!U57)*Pars!U58)/Pars!U59</f>
        <v>6.7998980015299776E-2</v>
      </c>
      <c r="V43" s="66">
        <f>(Pars!V56+(D_SG_2!V14-Pars!V57)*Pars!V58)/Pars!V59</f>
        <v>6.7998980015299776E-2</v>
      </c>
      <c r="W43" s="66">
        <f>(Pars!W56+(D_SG_2!W14-Pars!W57)*Pars!W58)/Pars!W59</f>
        <v>6.7998980015299776E-2</v>
      </c>
      <c r="X43" s="66">
        <f>(Pars!X56+(D_SG_2!X14-Pars!X57)*Pars!X58)/Pars!X59</f>
        <v>6.7998980015299776E-2</v>
      </c>
      <c r="Y43" s="66">
        <f>(Pars!Y56+(D_SG_2!Y14-Pars!Y57)*Pars!Y58)/Pars!Y59</f>
        <v>6.7998980015299776E-2</v>
      </c>
      <c r="Z43" s="66">
        <f>(Pars!Z56+(D_SG_2!Z14-Pars!Z57)*Pars!Z58)/Pars!Z59</f>
        <v>6.7998980015299776E-2</v>
      </c>
      <c r="AA43" s="66">
        <f>(Pars!AA56+(D_SG_2!AA14-Pars!AA57)*Pars!AA58)/Pars!AA59</f>
        <v>6.7998980015299776E-2</v>
      </c>
      <c r="AB43" s="66">
        <f>(Pars!AB56+(D_SG_2!AB14-Pars!AB57)*Pars!AB58)/Pars!AB59</f>
        <v>6.7998980015299776E-2</v>
      </c>
      <c r="AC43" s="66">
        <f>(Pars!AC56+(D_SG_2!AC14-Pars!AC57)*Pars!AC58)/Pars!AC59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217735.86848346665</v>
      </c>
      <c r="E44" s="43">
        <f>Pars!E37*E43*E6</f>
        <v>209401.27984365346</v>
      </c>
      <c r="F44" s="43">
        <f>Pars!F37*F43*F6</f>
        <v>217503.45560002211</v>
      </c>
      <c r="G44" s="43">
        <f>Pars!G37*G43*G6</f>
        <v>209963.24415693418</v>
      </c>
      <c r="H44" s="43">
        <f>Pars!H37*H43*H6</f>
        <v>205354.0298238807</v>
      </c>
      <c r="I44" s="43">
        <f>Pars!I37*I43*I6</f>
        <v>209665.68851155744</v>
      </c>
      <c r="J44" s="43">
        <f>Pars!J37*J43*J6</f>
        <v>212473.46611386997</v>
      </c>
      <c r="K44" s="43">
        <f>Pars!K37*K43*K6</f>
        <v>206529.04426557009</v>
      </c>
      <c r="L44" s="43">
        <f>Pars!L37*L43*L6</f>
        <v>208718.95911232708</v>
      </c>
      <c r="M44" s="43">
        <f>Pars!M37*M43*M6</f>
        <v>211418.12140757398</v>
      </c>
      <c r="N44" s="43">
        <f>Pars!N37*N43*N6</f>
        <v>204686.21156455099</v>
      </c>
      <c r="O44" s="63">
        <f>Pars!O37*O43*O6</f>
        <v>212499.606150999</v>
      </c>
      <c r="P44" s="63">
        <f>Pars!P37*P43*P6</f>
        <v>216242.05455134541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104513.21687206399</v>
      </c>
      <c r="E45" s="43">
        <f>E44*Pars!E36/100</f>
        <v>100512.61432495367</v>
      </c>
      <c r="F45" s="43">
        <f>F44*Pars!F36/100</f>
        <v>104401.6586880106</v>
      </c>
      <c r="G45" s="43">
        <f>G44*Pars!G36/100</f>
        <v>100782.3571953284</v>
      </c>
      <c r="H45" s="43">
        <f>H44*Pars!H36/100</f>
        <v>98569.934315462742</v>
      </c>
      <c r="I45" s="43">
        <f>I44*Pars!I36/100</f>
        <v>100639.53048554757</v>
      </c>
      <c r="J45" s="43">
        <f>J44*Pars!J36/100</f>
        <v>101987.26373465758</v>
      </c>
      <c r="K45" s="43">
        <f>K44*Pars!K36/100</f>
        <v>99133.941247473645</v>
      </c>
      <c r="L45" s="43">
        <f>L44*Pars!L36/100</f>
        <v>100185.100373917</v>
      </c>
      <c r="M45" s="43">
        <f>M44*Pars!M36/100</f>
        <v>101480.6982756355</v>
      </c>
      <c r="N45" s="43">
        <f>N44*Pars!N36/100</f>
        <v>98249.381550984472</v>
      </c>
      <c r="O45" s="63">
        <f>O44*Pars!O36/100</f>
        <v>101999.81095247953</v>
      </c>
      <c r="P45" s="63">
        <f>P44*Pars!P36/100</f>
        <v>103796.18618464581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38534.74</v>
      </c>
      <c r="E46" s="43">
        <f>Pars!E40*E15</f>
        <v>36566.283199999998</v>
      </c>
      <c r="F46" s="43">
        <f>Pars!F40*F15</f>
        <v>41485.855100000001</v>
      </c>
      <c r="G46" s="43">
        <f>Pars!G40*G15</f>
        <v>44267.399400000002</v>
      </c>
      <c r="H46" s="43">
        <f>Pars!H40*H15</f>
        <v>42920.477899999998</v>
      </c>
      <c r="I46" s="43">
        <f>Pars!I40*I15</f>
        <v>46423.595300000001</v>
      </c>
      <c r="J46" s="43">
        <f>Pars!J40*J15</f>
        <v>47867.1901</v>
      </c>
      <c r="K46" s="43">
        <f>Pars!K40*K15</f>
        <v>48927.456200000001</v>
      </c>
      <c r="L46" s="43">
        <f>Pars!L40*L15</f>
        <v>49344.878499999999</v>
      </c>
      <c r="M46" s="43">
        <f>Pars!M40*M15</f>
        <v>57523.529399999999</v>
      </c>
      <c r="N46" s="43">
        <f>Pars!N40*N15</f>
        <v>61619.2474</v>
      </c>
      <c r="O46" s="63">
        <f>Pars!O40*O15</f>
        <v>64475.932200000003</v>
      </c>
      <c r="P46" s="63">
        <f>Pars!P40*P15</f>
        <v>58590.973100000003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2596.0383999999999</v>
      </c>
      <c r="E47" s="43">
        <f>Pars!E41*E16</f>
        <v>2631.2919999999999</v>
      </c>
      <c r="F47" s="43">
        <f>Pars!F41*F16</f>
        <v>2490.6328000000003</v>
      </c>
      <c r="G47" s="43">
        <f>Pars!G41*G16</f>
        <v>2296.6048000000001</v>
      </c>
      <c r="H47" s="43">
        <f>Pars!H41*H16</f>
        <v>2522.7192</v>
      </c>
      <c r="I47" s="43">
        <f>Pars!I41*I16</f>
        <v>2403.6384000000003</v>
      </c>
      <c r="J47" s="43">
        <f>Pars!J41*J16</f>
        <v>2448.2752</v>
      </c>
      <c r="K47" s="43">
        <f>Pars!K41*K16</f>
        <v>2367.0824000000002</v>
      </c>
      <c r="L47" s="43">
        <f>Pars!L41*L16</f>
        <v>2478.7040000000002</v>
      </c>
      <c r="M47" s="43">
        <f>Pars!M41*M16</f>
        <v>2181.52</v>
      </c>
      <c r="N47" s="43">
        <f>Pars!N41*N16</f>
        <v>2010.9648000000002</v>
      </c>
      <c r="O47" s="63">
        <f>Pars!O41*O16</f>
        <v>2159.7936</v>
      </c>
      <c r="P47" s="63">
        <f>Pars!P41*P16</f>
        <v>2172.4328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4518.2238520000001</v>
      </c>
      <c r="E48" s="67">
        <f t="array" ref="E48">SUMPRODUCT(E33:E41,Pars!E44:E52)</f>
        <v>4536.3433260000002</v>
      </c>
      <c r="F48" s="67">
        <f t="array" ref="F48">SUMPRODUCT(F33:F41,Pars!F44:F52)</f>
        <v>7556.6732709999997</v>
      </c>
      <c r="G48" s="67">
        <f t="array" ref="G48">SUMPRODUCT(G33:G41,Pars!G44:G52)</f>
        <v>8300.3029600000009</v>
      </c>
      <c r="H48" s="67">
        <f t="array" ref="H48">SUMPRODUCT(H33:H41,Pars!H44:H52)</f>
        <v>8641.7797410000003</v>
      </c>
      <c r="I48" s="67">
        <f t="array" ref="I48">SUMPRODUCT(I33:I41,Pars!I44:I52)</f>
        <v>8213.5</v>
      </c>
      <c r="J48" s="67">
        <f t="array" ref="J48">SUMPRODUCT(J33:J41,Pars!J44:J52)</f>
        <v>8864.27</v>
      </c>
      <c r="K48" s="67">
        <f t="array" ref="K48">SUMPRODUCT(K33:K41,Pars!K44:K52)</f>
        <v>8958.4837524159993</v>
      </c>
      <c r="L48" s="67">
        <f t="array" ref="L48">SUMPRODUCT(L33:L41,Pars!L44:L52)</f>
        <v>9515.08</v>
      </c>
      <c r="M48" s="67">
        <f t="array" ref="M48">SUMPRODUCT(M33:M41,Pars!M44:M52)</f>
        <v>9193.2000000000007</v>
      </c>
      <c r="N48" s="67">
        <f t="array" ref="N48">SUMPRODUCT(N33:N41,Pars!N44:N52)</f>
        <v>10235.68</v>
      </c>
      <c r="O48" s="67">
        <f t="array" ref="O48">SUMPRODUCT(O33:O41,Pars!O44:O52)</f>
        <v>19003.729999999996</v>
      </c>
      <c r="P48" s="67">
        <f t="array" ref="P48">SUMPRODUCT(P33:P41,Pars!P44:P52)</f>
        <v>14324.02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45649.002251999998</v>
      </c>
      <c r="E49" s="67">
        <f t="shared" ref="E49:AC49" si="1">SUM(E46:E48)</f>
        <v>43733.918526000001</v>
      </c>
      <c r="F49" s="67">
        <f t="shared" si="1"/>
        <v>51533.161171</v>
      </c>
      <c r="G49" s="67">
        <f t="shared" si="1"/>
        <v>54864.307160000004</v>
      </c>
      <c r="H49" s="67">
        <f t="shared" si="1"/>
        <v>54084.976840999996</v>
      </c>
      <c r="I49" s="67">
        <f t="shared" si="1"/>
        <v>57040.733700000004</v>
      </c>
      <c r="J49" s="67">
        <f t="shared" si="1"/>
        <v>59179.7353</v>
      </c>
      <c r="K49" s="67">
        <f t="shared" si="1"/>
        <v>60253.022352415996</v>
      </c>
      <c r="L49" s="67">
        <f t="shared" si="1"/>
        <v>61338.662499999999</v>
      </c>
      <c r="M49" s="67">
        <f t="shared" si="1"/>
        <v>68898.249400000001</v>
      </c>
      <c r="N49" s="67">
        <f t="shared" si="1"/>
        <v>73865.892200000002</v>
      </c>
      <c r="O49" s="67">
        <f t="shared" si="1"/>
        <v>85639.455799999996</v>
      </c>
      <c r="P49" s="67">
        <f t="shared" si="1"/>
        <v>75087.425900000002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58864.214620063991</v>
      </c>
      <c r="E50" s="70">
        <f t="shared" ref="E50:AC50" si="2">E45-E49</f>
        <v>56778.695798953668</v>
      </c>
      <c r="F50" s="70">
        <f t="shared" si="2"/>
        <v>52868.497517010604</v>
      </c>
      <c r="G50" s="70">
        <f t="shared" si="2"/>
        <v>45918.050035328393</v>
      </c>
      <c r="H50" s="70">
        <f t="shared" si="2"/>
        <v>44484.957474462746</v>
      </c>
      <c r="I50" s="70">
        <f t="shared" si="2"/>
        <v>43598.796785547565</v>
      </c>
      <c r="J50" s="70">
        <f t="shared" si="2"/>
        <v>42807.528434657579</v>
      </c>
      <c r="K50" s="70">
        <f t="shared" si="2"/>
        <v>38880.91889505765</v>
      </c>
      <c r="L50" s="70">
        <f t="shared" si="2"/>
        <v>38846.437873916999</v>
      </c>
      <c r="M50" s="70">
        <f t="shared" si="2"/>
        <v>32582.448875635499</v>
      </c>
      <c r="N50" s="70">
        <f t="shared" si="2"/>
        <v>24383.48935098447</v>
      </c>
      <c r="O50" s="70">
        <f t="shared" si="2"/>
        <v>16360.355152479533</v>
      </c>
      <c r="P50" s="70">
        <f t="shared" si="2"/>
        <v>28708.760284645803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58864.214620063991</v>
      </c>
      <c r="E62" s="79">
        <f t="shared" ref="E62:AC62" si="4">E50+E61</f>
        <v>56778.695798953668</v>
      </c>
      <c r="F62" s="79">
        <f t="shared" si="4"/>
        <v>52868.497517010604</v>
      </c>
      <c r="G62" s="79">
        <f t="shared" si="4"/>
        <v>45918.050035328393</v>
      </c>
      <c r="H62" s="79">
        <f t="shared" si="4"/>
        <v>44484.957474462746</v>
      </c>
      <c r="I62" s="79">
        <f t="shared" si="4"/>
        <v>43598.796785547565</v>
      </c>
      <c r="J62" s="79">
        <f t="shared" si="4"/>
        <v>42807.528434657579</v>
      </c>
      <c r="K62" s="79">
        <f t="shared" si="4"/>
        <v>38880.91889505765</v>
      </c>
      <c r="L62" s="79">
        <f t="shared" si="4"/>
        <v>38846.437873916999</v>
      </c>
      <c r="M62" s="79">
        <f t="shared" si="4"/>
        <v>32582.448875635499</v>
      </c>
      <c r="N62" s="79">
        <f t="shared" si="4"/>
        <v>24383.48935098447</v>
      </c>
      <c r="O62" s="79">
        <f t="shared" si="4"/>
        <v>16360.355152479533</v>
      </c>
      <c r="P62" s="79">
        <f t="shared" si="4"/>
        <v>28708.760284645803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98" priority="5" operator="containsText" text="Nein">
      <formula>NOT(ISERROR(SEARCH("Nein",D22)))</formula>
    </cfRule>
  </conditionalFormatting>
  <conditionalFormatting sqref="D31:AC31">
    <cfRule type="cellIs" dxfId="97" priority="6" operator="equal">
      <formula>"ok"</formula>
    </cfRule>
  </conditionalFormatting>
  <conditionalFormatting sqref="H5:AC12 H14:AC16 H18:AC19 H33:AC41">
    <cfRule type="cellIs" dxfId="96" priority="4" operator="greaterThan">
      <formula>0</formula>
    </cfRule>
  </conditionalFormatting>
  <conditionalFormatting sqref="H6:AC12">
    <cfRule type="expression" dxfId="95" priority="3">
      <formula>NOT(ISBLANK(H6))</formula>
    </cfRule>
  </conditionalFormatting>
  <conditionalFormatting sqref="H18:AC19">
    <cfRule type="expression" dxfId="94" priority="2">
      <formula>NOT(ISBLANK(H18))</formula>
    </cfRule>
  </conditionalFormatting>
  <conditionalFormatting sqref="H56:AC60">
    <cfRule type="cellIs" dxfId="93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C07AAF56-F51A-40FF-AF04-9AC3D15429C2}">
      <formula1>"Ja, Nein"</formula1>
    </dataValidation>
  </dataValidation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5FD98-6C26-4425-98CD-79B7CEC2168E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191</v>
      </c>
      <c r="D1" s="32"/>
      <c r="E1" s="32"/>
    </row>
    <row r="2" spans="1:30" x14ac:dyDescent="0.3">
      <c r="A2" s="30"/>
      <c r="B2" s="31" t="s">
        <v>86</v>
      </c>
      <c r="C2" s="33" t="s">
        <v>192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70322</v>
      </c>
      <c r="E5" s="42">
        <v>70322</v>
      </c>
      <c r="F5" s="42">
        <v>70322</v>
      </c>
      <c r="G5" s="42">
        <v>70322</v>
      </c>
      <c r="H5" s="43">
        <v>70322</v>
      </c>
      <c r="I5" s="43">
        <v>70211</v>
      </c>
      <c r="J5" s="43">
        <v>69819</v>
      </c>
      <c r="K5" s="43">
        <v>70137.90393000195</v>
      </c>
      <c r="L5" s="43">
        <v>70322</v>
      </c>
      <c r="M5" s="43">
        <v>68674</v>
      </c>
      <c r="N5" s="43">
        <v>68145</v>
      </c>
      <c r="O5" s="43">
        <v>77059</v>
      </c>
      <c r="P5" s="43">
        <v>77276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72779</v>
      </c>
      <c r="E6" s="42">
        <v>72727</v>
      </c>
      <c r="F6" s="42">
        <v>72782</v>
      </c>
      <c r="G6" s="42">
        <v>74542</v>
      </c>
      <c r="H6" s="47">
        <v>70363</v>
      </c>
      <c r="I6" s="47">
        <v>72430</v>
      </c>
      <c r="J6" s="47">
        <v>73433</v>
      </c>
      <c r="K6" s="47">
        <v>74324</v>
      </c>
      <c r="L6" s="47">
        <v>77717</v>
      </c>
      <c r="M6" s="47">
        <v>80071</v>
      </c>
      <c r="N6" s="47">
        <v>83026</v>
      </c>
      <c r="O6" s="47">
        <v>85128</v>
      </c>
      <c r="P6" s="47">
        <v>77853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5600</v>
      </c>
      <c r="E7" s="42">
        <v>4972</v>
      </c>
      <c r="F7" s="42">
        <v>5697</v>
      </c>
      <c r="G7" s="42">
        <v>5838</v>
      </c>
      <c r="H7" s="47">
        <v>4643</v>
      </c>
      <c r="I7" s="47">
        <v>5011</v>
      </c>
      <c r="J7" s="47">
        <v>5463</v>
      </c>
      <c r="K7" s="47">
        <v>5566</v>
      </c>
      <c r="L7" s="47">
        <v>5353</v>
      </c>
      <c r="M7" s="47">
        <v>5115</v>
      </c>
      <c r="N7" s="47">
        <v>5658</v>
      </c>
      <c r="O7" s="47">
        <v>5934</v>
      </c>
      <c r="P7" s="47">
        <v>5235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10.629</v>
      </c>
      <c r="E14" s="51">
        <v>10.701000000000001</v>
      </c>
      <c r="F14" s="51">
        <v>10.465</v>
      </c>
      <c r="G14" s="51">
        <v>11.37</v>
      </c>
      <c r="H14" s="43">
        <v>11.64</v>
      </c>
      <c r="I14" s="43">
        <v>10.89</v>
      </c>
      <c r="J14" s="43">
        <v>11.12</v>
      </c>
      <c r="K14" s="43">
        <v>10.96</v>
      </c>
      <c r="L14" s="43">
        <v>11.22</v>
      </c>
      <c r="M14" s="43">
        <v>11.23</v>
      </c>
      <c r="N14" s="43">
        <v>10.888999999999999</v>
      </c>
      <c r="O14" s="43">
        <v>10.43</v>
      </c>
      <c r="P14" s="43">
        <v>10.36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64205</v>
      </c>
      <c r="E15" s="42">
        <v>59476</v>
      </c>
      <c r="F15" s="42">
        <v>58968</v>
      </c>
      <c r="G15" s="42">
        <v>65929</v>
      </c>
      <c r="H15" s="47">
        <v>59639</v>
      </c>
      <c r="I15" s="47">
        <v>65365</v>
      </c>
      <c r="J15" s="47">
        <v>72086</v>
      </c>
      <c r="K15" s="47">
        <v>80572</v>
      </c>
      <c r="L15" s="47">
        <v>94940</v>
      </c>
      <c r="M15" s="47">
        <v>105469</v>
      </c>
      <c r="N15" s="47">
        <v>109763</v>
      </c>
      <c r="O15" s="47">
        <v>122455</v>
      </c>
      <c r="P15" s="47">
        <v>108673</v>
      </c>
      <c r="Q15" s="47">
        <v>150000</v>
      </c>
      <c r="R15" s="47">
        <v>150000</v>
      </c>
      <c r="S15" s="47">
        <v>150000</v>
      </c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24696</v>
      </c>
      <c r="E16" s="42">
        <v>26438</v>
      </c>
      <c r="F16" s="42">
        <v>18574</v>
      </c>
      <c r="G16" s="42">
        <v>23113</v>
      </c>
      <c r="H16" s="47">
        <v>20869</v>
      </c>
      <c r="I16" s="47">
        <v>18232</v>
      </c>
      <c r="J16" s="47">
        <v>18981</v>
      </c>
      <c r="K16" s="47">
        <v>18095</v>
      </c>
      <c r="L16" s="47">
        <v>12332</v>
      </c>
      <c r="M16" s="47">
        <v>20106</v>
      </c>
      <c r="N16" s="47">
        <v>5953</v>
      </c>
      <c r="O16" s="47">
        <v>12677</v>
      </c>
      <c r="P16" s="47">
        <v>14089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15362</v>
      </c>
      <c r="E18" s="42">
        <v>15078</v>
      </c>
      <c r="F18" s="42">
        <v>14756</v>
      </c>
      <c r="G18" s="42">
        <v>15314</v>
      </c>
      <c r="H18" s="43">
        <v>13719</v>
      </c>
      <c r="I18" s="43">
        <v>13716</v>
      </c>
      <c r="J18" s="43">
        <v>14240</v>
      </c>
      <c r="K18" s="43">
        <v>14510</v>
      </c>
      <c r="L18" s="43">
        <v>15099</v>
      </c>
      <c r="M18" s="43">
        <v>14134</v>
      </c>
      <c r="N18" s="43">
        <v>16399</v>
      </c>
      <c r="O18" s="43">
        <v>16655</v>
      </c>
      <c r="P18" s="43">
        <v>11641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1885</v>
      </c>
      <c r="E19" s="42">
        <v>1865</v>
      </c>
      <c r="F19" s="42">
        <v>1947</v>
      </c>
      <c r="G19" s="42">
        <v>1983</v>
      </c>
      <c r="H19" s="47">
        <v>1795</v>
      </c>
      <c r="I19" s="47">
        <v>1723</v>
      </c>
      <c r="J19" s="47">
        <v>1807</v>
      </c>
      <c r="K19" s="47">
        <v>1878</v>
      </c>
      <c r="L19" s="47">
        <v>2025</v>
      </c>
      <c r="M19" s="47">
        <v>2127</v>
      </c>
      <c r="N19" s="47">
        <v>2276</v>
      </c>
      <c r="O19" s="47">
        <v>2323</v>
      </c>
      <c r="P19" s="47">
        <v>1854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113</v>
      </c>
      <c r="G23" s="59" t="s">
        <v>113</v>
      </c>
      <c r="H23" s="59" t="s">
        <v>113</v>
      </c>
      <c r="I23" s="59" t="s">
        <v>113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112</v>
      </c>
      <c r="E25" s="59" t="s">
        <v>112</v>
      </c>
      <c r="F25" s="59" t="s">
        <v>112</v>
      </c>
      <c r="G25" s="59" t="s">
        <v>112</v>
      </c>
      <c r="H25" s="59" t="s">
        <v>112</v>
      </c>
      <c r="I25" s="59" t="s">
        <v>112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112</v>
      </c>
      <c r="K26" s="59" t="s">
        <v>112</v>
      </c>
      <c r="L26" s="59" t="s">
        <v>112</v>
      </c>
      <c r="M26" s="59" t="s">
        <v>112</v>
      </c>
      <c r="N26" s="59" t="s">
        <v>112</v>
      </c>
      <c r="O26" s="59" t="s">
        <v>112</v>
      </c>
      <c r="P26" s="59" t="s">
        <v>112</v>
      </c>
      <c r="Q26" s="59" t="s">
        <v>112</v>
      </c>
      <c r="R26" s="59" t="s">
        <v>112</v>
      </c>
      <c r="S26" s="59" t="s">
        <v>112</v>
      </c>
      <c r="T26" s="59" t="s">
        <v>112</v>
      </c>
      <c r="U26" s="59" t="s">
        <v>112</v>
      </c>
      <c r="V26" s="59" t="s">
        <v>112</v>
      </c>
      <c r="W26" s="59" t="s">
        <v>112</v>
      </c>
      <c r="X26" s="59" t="s">
        <v>112</v>
      </c>
      <c r="Y26" s="59" t="s">
        <v>112</v>
      </c>
      <c r="Z26" s="59" t="s">
        <v>112</v>
      </c>
      <c r="AA26" s="59" t="s">
        <v>112</v>
      </c>
      <c r="AB26" s="59" t="s">
        <v>112</v>
      </c>
      <c r="AC26" s="59" t="s">
        <v>112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838.94339919999993</v>
      </c>
      <c r="E33" s="47">
        <v>617.57527860000005</v>
      </c>
      <c r="F33" s="47">
        <v>604.38657720000015</v>
      </c>
      <c r="G33" s="47">
        <v>1179</v>
      </c>
      <c r="H33" s="43">
        <v>1111</v>
      </c>
      <c r="I33" s="43">
        <v>1416</v>
      </c>
      <c r="J33" s="43">
        <v>1357</v>
      </c>
      <c r="K33" s="43">
        <v>1575</v>
      </c>
      <c r="L33" s="43">
        <v>1922</v>
      </c>
      <c r="M33" s="43">
        <v>1544</v>
      </c>
      <c r="N33" s="43">
        <v>1712</v>
      </c>
      <c r="O33" s="63">
        <v>1081</v>
      </c>
      <c r="P33" s="63">
        <v>963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160</v>
      </c>
      <c r="K34" s="47">
        <v>160</v>
      </c>
      <c r="L34" s="47">
        <v>161</v>
      </c>
      <c r="M34" s="47">
        <v>136</v>
      </c>
      <c r="N34" s="47">
        <v>201</v>
      </c>
      <c r="O34" s="64">
        <v>282</v>
      </c>
      <c r="P34" s="64">
        <v>254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>
        <v>10</v>
      </c>
      <c r="E37" s="47">
        <v>10</v>
      </c>
      <c r="F37" s="47">
        <v>10</v>
      </c>
      <c r="G37" s="47">
        <v>10</v>
      </c>
      <c r="H37" s="47">
        <v>10</v>
      </c>
      <c r="I37" s="47">
        <v>11</v>
      </c>
      <c r="J37" s="47">
        <v>19</v>
      </c>
      <c r="K37" s="47">
        <v>21.850400124734481</v>
      </c>
      <c r="L37" s="47">
        <v>24</v>
      </c>
      <c r="M37" s="47">
        <v>26</v>
      </c>
      <c r="N37" s="47">
        <v>26</v>
      </c>
      <c r="O37" s="64">
        <v>32</v>
      </c>
      <c r="P37" s="64">
        <v>26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181.75166250000001</v>
      </c>
      <c r="E41" s="47">
        <v>178.39158750000001</v>
      </c>
      <c r="F41" s="47">
        <v>174.58192499999998</v>
      </c>
      <c r="G41" s="47">
        <v>245</v>
      </c>
      <c r="H41" s="47">
        <v>220</v>
      </c>
      <c r="I41" s="47">
        <v>289</v>
      </c>
      <c r="J41" s="47">
        <v>63</v>
      </c>
      <c r="K41" s="47">
        <v>63</v>
      </c>
      <c r="L41" s="47">
        <v>80</v>
      </c>
      <c r="M41" s="47">
        <v>171</v>
      </c>
      <c r="N41" s="47">
        <v>191</v>
      </c>
      <c r="O41" s="64">
        <v>158</v>
      </c>
      <c r="P41" s="64">
        <v>153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(Pars!D56+(D_SG_3!D14-Pars!D57)*Pars!D58)/Pars!D59</f>
        <v>0.27632839999999997</v>
      </c>
      <c r="E43" s="66">
        <f>(Pars!E56+(D_SG_3!E14-Pars!E57)*Pars!E58)/Pars!E59</f>
        <v>0.27773932226067777</v>
      </c>
      <c r="F43" s="66">
        <f>(Pars!F56+(D_SG_3!F14-Pars!F57)*Pars!F58)/Pars!F59</f>
        <v>0.27311345377309243</v>
      </c>
      <c r="G43" s="66">
        <f>(Pars!G56+(D_SG_3!G14-Pars!G57)*Pars!G58)/Pars!G59</f>
        <v>0.29085112744661767</v>
      </c>
      <c r="H43" s="66">
        <f>(Pars!H56+(D_SG_3!H14-Pars!H57)*Pars!H58)/Pars!H59</f>
        <v>0.29614281542873827</v>
      </c>
      <c r="I43" s="66">
        <f>(Pars!I56+(D_SG_3!I14-Pars!I57)*Pars!I58)/Pars!I59</f>
        <v>0.28144259278703604</v>
      </c>
      <c r="J43" s="66">
        <f>(Pars!J56+(D_SG_3!J14-Pars!J57)*Pars!J58)/Pars!J59</f>
        <v>0.28595028429829422</v>
      </c>
      <c r="K43" s="66">
        <f>(Pars!K56+(D_SG_3!K14-Pars!K57)*Pars!K58)/Pars!K59</f>
        <v>0.28281402030185787</v>
      </c>
      <c r="L43" s="66">
        <f>(Pars!L56+(D_SG_3!L14-Pars!L57)*Pars!L58)/Pars!L59</f>
        <v>0.28790969672242622</v>
      </c>
      <c r="M43" s="66">
        <f>(Pars!M56+(D_SG_3!M14-Pars!M57)*Pars!M58)/Pars!M59</f>
        <v>0.28810540705133653</v>
      </c>
      <c r="N43" s="66">
        <f>(Pars!N56+(D_SG_3!N14-Pars!N57)*Pars!N58)/Pars!N59</f>
        <v>0.28142158578414211</v>
      </c>
      <c r="O43" s="66">
        <f>(Pars!O56+(D_SG_3!O14-Pars!O57)*Pars!O58)/Pars!O59</f>
        <v>0.27242500332496344</v>
      </c>
      <c r="P43" s="66">
        <f>(Pars!P56+(D_SG_3!P14-Pars!P57)*Pars!P58)/Pars!P59</f>
        <v>0.27105274736703161</v>
      </c>
      <c r="Q43" s="66">
        <f>(Pars!Q56+(D_SG_3!Q14-Pars!Q57)*Pars!Q58)/Pars!Q59</f>
        <v>6.7999116011491847E-2</v>
      </c>
      <c r="R43" s="66">
        <f>(Pars!R56+(D_SG_3!R14-Pars!R57)*Pars!R58)/Pars!R59</f>
        <v>6.7999048013327817E-2</v>
      </c>
      <c r="S43" s="66">
        <f>(Pars!S56+(D_SG_3!S14-Pars!S57)*Pars!S58)/Pars!S59</f>
        <v>6.7998980015299776E-2</v>
      </c>
      <c r="T43" s="66">
        <f>(Pars!T56+(D_SG_3!T14-Pars!T57)*Pars!T58)/Pars!T59</f>
        <v>6.7998980015299776E-2</v>
      </c>
      <c r="U43" s="66">
        <f>(Pars!U56+(D_SG_3!U14-Pars!U57)*Pars!U58)/Pars!U59</f>
        <v>6.7998980015299776E-2</v>
      </c>
      <c r="V43" s="66">
        <f>(Pars!V56+(D_SG_3!V14-Pars!V57)*Pars!V58)/Pars!V59</f>
        <v>6.7998980015299776E-2</v>
      </c>
      <c r="W43" s="66">
        <f>(Pars!W56+(D_SG_3!W14-Pars!W57)*Pars!W58)/Pars!W59</f>
        <v>6.7998980015299776E-2</v>
      </c>
      <c r="X43" s="66">
        <f>(Pars!X56+(D_SG_3!X14-Pars!X57)*Pars!X58)/Pars!X59</f>
        <v>6.7998980015299776E-2</v>
      </c>
      <c r="Y43" s="66">
        <f>(Pars!Y56+(D_SG_3!Y14-Pars!Y57)*Pars!Y58)/Pars!Y59</f>
        <v>6.7998980015299776E-2</v>
      </c>
      <c r="Z43" s="66">
        <f>(Pars!Z56+(D_SG_3!Z14-Pars!Z57)*Pars!Z58)/Pars!Z59</f>
        <v>6.7998980015299776E-2</v>
      </c>
      <c r="AA43" s="66">
        <f>(Pars!AA56+(D_SG_3!AA14-Pars!AA57)*Pars!AA58)/Pars!AA59</f>
        <v>6.7998980015299776E-2</v>
      </c>
      <c r="AB43" s="66">
        <f>(Pars!AB56+(D_SG_3!AB14-Pars!AB57)*Pars!AB58)/Pars!AB59</f>
        <v>6.7998980015299776E-2</v>
      </c>
      <c r="AC43" s="66">
        <f>(Pars!AC56+(D_SG_3!AC14-Pars!AC57)*Pars!AC58)/Pars!AC59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73739.98361986666</v>
      </c>
      <c r="E44" s="43">
        <f>Pars!E37*E43*E6</f>
        <v>74063.541530191811</v>
      </c>
      <c r="F44" s="43">
        <f>Pars!F37*F43*F6</f>
        <v>72885.059105881766</v>
      </c>
      <c r="G44" s="43">
        <f>Pars!G37*G43*G6</f>
        <v>79495.624054461179</v>
      </c>
      <c r="H44" s="43">
        <f>Pars!H37*H43*H6</f>
        <v>76404.155380711803</v>
      </c>
      <c r="I44" s="43">
        <f>Pars!I37*I43*I6</f>
        <v>74744.585650405061</v>
      </c>
      <c r="J44" s="43">
        <f>Pars!J37*J43*J6</f>
        <v>76993.353165214343</v>
      </c>
      <c r="K44" s="43">
        <f>Pars!K37*K43*K6</f>
        <v>77072.853898022702</v>
      </c>
      <c r="L44" s="43">
        <f>Pars!L37*L43*L6</f>
        <v>82043.418967314923</v>
      </c>
      <c r="M44" s="43">
        <f>Pars!M37*M43*M6</f>
        <v>84585.922842694403</v>
      </c>
      <c r="N44" s="43">
        <f>Pars!N37*N43*N6</f>
        <v>85672.798131485324</v>
      </c>
      <c r="O44" s="63">
        <f>Pars!O37*O43*O6</f>
        <v>85033.650837840789</v>
      </c>
      <c r="P44" s="63">
        <f>Pars!P37*P43*P6</f>
        <v>77374.98831614021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35395.192137535996</v>
      </c>
      <c r="E45" s="43">
        <f>E44*Pars!E36/100</f>
        <v>35550.499934492072</v>
      </c>
      <c r="F45" s="43">
        <f>F44*Pars!F36/100</f>
        <v>34984.828370823248</v>
      </c>
      <c r="G45" s="43">
        <f>G44*Pars!G36/100</f>
        <v>38157.899546141365</v>
      </c>
      <c r="H45" s="43">
        <f>H44*Pars!H36/100</f>
        <v>36673.994582741667</v>
      </c>
      <c r="I45" s="43">
        <f>I44*Pars!I36/100</f>
        <v>35877.401112194428</v>
      </c>
      <c r="J45" s="43">
        <f>J44*Pars!J36/100</f>
        <v>36956.809519302886</v>
      </c>
      <c r="K45" s="43">
        <f>K44*Pars!K36/100</f>
        <v>36994.969871050896</v>
      </c>
      <c r="L45" s="43">
        <f>L44*Pars!L36/100</f>
        <v>39380.841104311163</v>
      </c>
      <c r="M45" s="43">
        <f>M44*Pars!M36/100</f>
        <v>40601.242964493315</v>
      </c>
      <c r="N45" s="43">
        <f>N44*Pars!N36/100</f>
        <v>41122.943103112957</v>
      </c>
      <c r="O45" s="63">
        <f>O44*Pars!O36/100</f>
        <v>40816.152402163578</v>
      </c>
      <c r="P45" s="63">
        <f>P44*Pars!P36/100</f>
        <v>37139.994391747307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14401.181500000001</v>
      </c>
      <c r="E46" s="43">
        <f>Pars!E40*E15</f>
        <v>13340.4668</v>
      </c>
      <c r="F46" s="43">
        <f>Pars!F40*F15</f>
        <v>13226.5224</v>
      </c>
      <c r="G46" s="43">
        <f>Pars!G40*G15</f>
        <v>14787.8747</v>
      </c>
      <c r="H46" s="43">
        <f>Pars!H40*H15</f>
        <v>13377.027700000001</v>
      </c>
      <c r="I46" s="43">
        <f>Pars!I40*I15</f>
        <v>14661.369500000001</v>
      </c>
      <c r="J46" s="43">
        <f>Pars!J40*J15</f>
        <v>16168.889800000001</v>
      </c>
      <c r="K46" s="43">
        <f>Pars!K40*K15</f>
        <v>18072.299599999998</v>
      </c>
      <c r="L46" s="43">
        <f>Pars!L40*L15</f>
        <v>21295.042000000001</v>
      </c>
      <c r="M46" s="43">
        <f>Pars!M40*M15</f>
        <v>23656.6967</v>
      </c>
      <c r="N46" s="43">
        <f>Pars!N40*N15</f>
        <v>24619.840899999999</v>
      </c>
      <c r="O46" s="63">
        <f>Pars!O40*O15</f>
        <v>27466.656500000001</v>
      </c>
      <c r="P46" s="63">
        <f>Pars!P40*P15</f>
        <v>24375.353899999998</v>
      </c>
      <c r="Q46" s="63">
        <f>Pars!Q40*Q15</f>
        <v>33645</v>
      </c>
      <c r="R46" s="63">
        <f>Pars!R40*R15</f>
        <v>33645</v>
      </c>
      <c r="S46" s="63">
        <f>Pars!S40*S15</f>
        <v>33645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731.00160000000005</v>
      </c>
      <c r="E47" s="43">
        <f>Pars!E41*E16</f>
        <v>782.56479999999999</v>
      </c>
      <c r="F47" s="43">
        <f>Pars!F41*F16</f>
        <v>549.79039999999998</v>
      </c>
      <c r="G47" s="43">
        <f>Pars!G41*G16</f>
        <v>684.14480000000003</v>
      </c>
      <c r="H47" s="43">
        <f>Pars!H41*H16</f>
        <v>617.72239999999999</v>
      </c>
      <c r="I47" s="43">
        <f>Pars!I41*I16</f>
        <v>539.66719999999998</v>
      </c>
      <c r="J47" s="43">
        <f>Pars!J41*J16</f>
        <v>561.83760000000007</v>
      </c>
      <c r="K47" s="43">
        <f>Pars!K41*K16</f>
        <v>535.61200000000008</v>
      </c>
      <c r="L47" s="43">
        <f>Pars!L41*L16</f>
        <v>365.02719999999999</v>
      </c>
      <c r="M47" s="43">
        <f>Pars!M41*M16</f>
        <v>595.13760000000002</v>
      </c>
      <c r="N47" s="43">
        <f>Pars!N41*N16</f>
        <v>176.2088</v>
      </c>
      <c r="O47" s="63">
        <f>Pars!O41*O16</f>
        <v>375.23920000000004</v>
      </c>
      <c r="P47" s="63">
        <f>Pars!P41*P16</f>
        <v>417.03440000000001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2199.9628452920001</v>
      </c>
      <c r="E48" s="67">
        <f t="array" ref="E48">SUMPRODUCT(E33:E41,Pars!E44:E52)</f>
        <v>1848.8966081860001</v>
      </c>
      <c r="F48" s="67">
        <f t="array" ref="F48">SUMPRODUCT(F33:F41,Pars!F44:F52)</f>
        <v>1809.9333565720001</v>
      </c>
      <c r="G48" s="67">
        <f t="array" ref="G48">SUMPRODUCT(G33:G41,Pars!G44:G52)</f>
        <v>3029.69</v>
      </c>
      <c r="H48" s="67">
        <f t="array" ref="H48">SUMPRODUCT(H33:H41,Pars!H44:H52)</f>
        <v>2802.01</v>
      </c>
      <c r="I48" s="67">
        <f t="array" ref="I48">SUMPRODUCT(I33:I41,Pars!I44:I52)</f>
        <v>3610</v>
      </c>
      <c r="J48" s="67">
        <f t="array" ref="J48">SUMPRODUCT(J33:J41,Pars!J44:J52)</f>
        <v>3800.8300000000004</v>
      </c>
      <c r="K48" s="67">
        <f t="array" ref="K48">SUMPRODUCT(K33:K41,Pars!K44:K52)</f>
        <v>4136.9649763043517</v>
      </c>
      <c r="L48" s="67">
        <f t="array" ref="L48">SUMPRODUCT(L33:L41,Pars!L44:L52)</f>
        <v>4759.87</v>
      </c>
      <c r="M48" s="67">
        <f t="array" ref="M48">SUMPRODUCT(M33:M41,Pars!M44:M52)</f>
        <v>4431.7199999999993</v>
      </c>
      <c r="N48" s="67">
        <f t="array" ref="N48">SUMPRODUCT(N33:N41,Pars!N44:N52)</f>
        <v>5350.2499999999991</v>
      </c>
      <c r="O48" s="67">
        <f t="array" ref="O48">SUMPRODUCT(O33:O41,Pars!O44:O52)</f>
        <v>4950.97</v>
      </c>
      <c r="P48" s="67">
        <f t="array" ref="P48">SUMPRODUCT(P33:P41,Pars!P44:P52)</f>
        <v>4489.83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17332.145945291999</v>
      </c>
      <c r="E49" s="67">
        <f t="shared" ref="E49:AC49" si="1">SUM(E46:E48)</f>
        <v>15971.928208186</v>
      </c>
      <c r="F49" s="67">
        <f t="shared" si="1"/>
        <v>15586.246156572</v>
      </c>
      <c r="G49" s="67">
        <f t="shared" si="1"/>
        <v>18501.709500000001</v>
      </c>
      <c r="H49" s="67">
        <f t="shared" si="1"/>
        <v>16796.7601</v>
      </c>
      <c r="I49" s="67">
        <f t="shared" si="1"/>
        <v>18811.036700000001</v>
      </c>
      <c r="J49" s="67">
        <f t="shared" si="1"/>
        <v>20531.557400000002</v>
      </c>
      <c r="K49" s="67">
        <f t="shared" si="1"/>
        <v>22744.876576304352</v>
      </c>
      <c r="L49" s="67">
        <f t="shared" si="1"/>
        <v>26419.939200000001</v>
      </c>
      <c r="M49" s="67">
        <f t="shared" si="1"/>
        <v>28683.554300000003</v>
      </c>
      <c r="N49" s="67">
        <f t="shared" si="1"/>
        <v>30146.2997</v>
      </c>
      <c r="O49" s="67">
        <f t="shared" si="1"/>
        <v>32792.865700000002</v>
      </c>
      <c r="P49" s="67">
        <f t="shared" si="1"/>
        <v>29282.2183</v>
      </c>
      <c r="Q49" s="67">
        <f t="shared" si="1"/>
        <v>33645</v>
      </c>
      <c r="R49" s="67">
        <f t="shared" si="1"/>
        <v>33645</v>
      </c>
      <c r="S49" s="67">
        <f t="shared" si="1"/>
        <v>33645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18063.046192243997</v>
      </c>
      <c r="E50" s="70">
        <f t="shared" ref="E50:AC50" si="2">E45-E49</f>
        <v>19578.571726306072</v>
      </c>
      <c r="F50" s="70">
        <f t="shared" si="2"/>
        <v>19398.582214251248</v>
      </c>
      <c r="G50" s="70">
        <f t="shared" si="2"/>
        <v>19656.190046141364</v>
      </c>
      <c r="H50" s="70">
        <f t="shared" si="2"/>
        <v>19877.234482741667</v>
      </c>
      <c r="I50" s="70">
        <f t="shared" si="2"/>
        <v>17066.364412194427</v>
      </c>
      <c r="J50" s="70">
        <f t="shared" si="2"/>
        <v>16425.252119302884</v>
      </c>
      <c r="K50" s="70">
        <f t="shared" si="2"/>
        <v>14250.093294746544</v>
      </c>
      <c r="L50" s="70">
        <f t="shared" si="2"/>
        <v>12960.901904311162</v>
      </c>
      <c r="M50" s="70">
        <f t="shared" si="2"/>
        <v>11917.688664493311</v>
      </c>
      <c r="N50" s="70">
        <f t="shared" si="2"/>
        <v>10976.643403112957</v>
      </c>
      <c r="O50" s="70">
        <f t="shared" si="2"/>
        <v>8023.2867021635757</v>
      </c>
      <c r="P50" s="70">
        <f t="shared" si="2"/>
        <v>7857.7760917473061</v>
      </c>
      <c r="Q50" s="70">
        <f t="shared" si="2"/>
        <v>-33645</v>
      </c>
      <c r="R50" s="70">
        <f t="shared" si="2"/>
        <v>-33645</v>
      </c>
      <c r="S50" s="70">
        <f t="shared" si="2"/>
        <v>-33645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18063.046192243997</v>
      </c>
      <c r="E62" s="79">
        <f t="shared" ref="E62:AC62" si="4">E50+E61</f>
        <v>19578.571726306072</v>
      </c>
      <c r="F62" s="79">
        <f t="shared" si="4"/>
        <v>19398.582214251248</v>
      </c>
      <c r="G62" s="79">
        <f t="shared" si="4"/>
        <v>19656.190046141364</v>
      </c>
      <c r="H62" s="79">
        <f t="shared" si="4"/>
        <v>19877.234482741667</v>
      </c>
      <c r="I62" s="79">
        <f t="shared" si="4"/>
        <v>17066.364412194427</v>
      </c>
      <c r="J62" s="79">
        <f t="shared" si="4"/>
        <v>16425.252119302884</v>
      </c>
      <c r="K62" s="79">
        <f t="shared" si="4"/>
        <v>14250.093294746544</v>
      </c>
      <c r="L62" s="79">
        <f t="shared" si="4"/>
        <v>12960.901904311162</v>
      </c>
      <c r="M62" s="79">
        <f t="shared" si="4"/>
        <v>11917.688664493311</v>
      </c>
      <c r="N62" s="79">
        <f t="shared" si="4"/>
        <v>10976.643403112957</v>
      </c>
      <c r="O62" s="79">
        <f t="shared" si="4"/>
        <v>8023.2867021635757</v>
      </c>
      <c r="P62" s="79">
        <f t="shared" si="4"/>
        <v>7857.7760917473061</v>
      </c>
      <c r="Q62" s="79">
        <f t="shared" si="4"/>
        <v>-33645</v>
      </c>
      <c r="R62" s="79">
        <f t="shared" si="4"/>
        <v>-33645</v>
      </c>
      <c r="S62" s="79">
        <f t="shared" si="4"/>
        <v>-33645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92" priority="5" operator="containsText" text="Nein">
      <formula>NOT(ISERROR(SEARCH("Nein",D22)))</formula>
    </cfRule>
  </conditionalFormatting>
  <conditionalFormatting sqref="D31:AC31">
    <cfRule type="cellIs" dxfId="91" priority="6" operator="equal">
      <formula>"ok"</formula>
    </cfRule>
  </conditionalFormatting>
  <conditionalFormatting sqref="H5:AC12 H14:AC16 H18:AC19 H33:AC41">
    <cfRule type="cellIs" dxfId="90" priority="4" operator="greaterThan">
      <formula>0</formula>
    </cfRule>
  </conditionalFormatting>
  <conditionalFormatting sqref="H6:AC12">
    <cfRule type="expression" dxfId="89" priority="3">
      <formula>NOT(ISBLANK(H6))</formula>
    </cfRule>
  </conditionalFormatting>
  <conditionalFormatting sqref="H18:AC19">
    <cfRule type="expression" dxfId="88" priority="2">
      <formula>NOT(ISBLANK(H18))</formula>
    </cfRule>
  </conditionalFormatting>
  <conditionalFormatting sqref="H56:AC60">
    <cfRule type="cellIs" dxfId="87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F7B0622C-5029-4C54-B0D0-F1DC577F57C6}">
      <formula1>"Ja, Nein"</formula1>
    </dataValidation>
  </dataValidation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42348-69C7-4CD4-A3FF-F8C25AC875B1}">
  <sheetPr>
    <tabColor theme="2" tint="-0.499984740745262"/>
  </sheetPr>
  <dimension ref="A1:AD134"/>
  <sheetViews>
    <sheetView topLeftCell="B1" workbookViewId="0">
      <selection activeCell="B3" sqref="A3:XFD6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193</v>
      </c>
      <c r="D1" s="32"/>
      <c r="E1" s="32"/>
    </row>
    <row r="2" spans="1:30" x14ac:dyDescent="0.3">
      <c r="A2" s="30"/>
      <c r="B2" s="31" t="s">
        <v>86</v>
      </c>
      <c r="C2" s="33" t="s">
        <v>194</v>
      </c>
      <c r="I2" s="34" t="s">
        <v>88</v>
      </c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221000</v>
      </c>
      <c r="E5" s="42">
        <v>221000</v>
      </c>
      <c r="F5" s="42">
        <v>221000</v>
      </c>
      <c r="G5" s="42">
        <v>221000</v>
      </c>
      <c r="H5" s="43">
        <v>221000</v>
      </c>
      <c r="I5" s="43">
        <v>221000</v>
      </c>
      <c r="J5" s="43">
        <v>221000</v>
      </c>
      <c r="K5" s="43">
        <v>221000</v>
      </c>
      <c r="L5" s="43">
        <v>221000</v>
      </c>
      <c r="M5" s="43">
        <v>221000</v>
      </c>
      <c r="N5" s="43">
        <v>221000</v>
      </c>
      <c r="O5" s="43">
        <v>221000</v>
      </c>
      <c r="P5" s="43">
        <v>240195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233172</v>
      </c>
      <c r="E6" s="42">
        <v>231379</v>
      </c>
      <c r="F6" s="42">
        <v>233455</v>
      </c>
      <c r="G6" s="42">
        <v>233627</v>
      </c>
      <c r="H6" s="47">
        <v>233088</v>
      </c>
      <c r="I6" s="47">
        <v>234908</v>
      </c>
      <c r="J6" s="47">
        <v>233897</v>
      </c>
      <c r="K6" s="47">
        <v>232635</v>
      </c>
      <c r="L6" s="47">
        <v>233688</v>
      </c>
      <c r="M6" s="47">
        <v>237297</v>
      </c>
      <c r="N6" s="47">
        <v>248018</v>
      </c>
      <c r="O6" s="47">
        <v>242653</v>
      </c>
      <c r="P6" s="47">
        <v>232552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19593</v>
      </c>
      <c r="E7" s="42">
        <v>19157</v>
      </c>
      <c r="F7" s="42">
        <v>18457</v>
      </c>
      <c r="G7" s="42">
        <v>18243</v>
      </c>
      <c r="H7" s="47">
        <v>17977</v>
      </c>
      <c r="I7" s="47">
        <v>16300</v>
      </c>
      <c r="J7" s="47">
        <v>14487</v>
      </c>
      <c r="K7" s="47">
        <v>15335</v>
      </c>
      <c r="L7" s="47">
        <v>14209</v>
      </c>
      <c r="M7" s="47">
        <v>13708</v>
      </c>
      <c r="N7" s="47">
        <v>15018</v>
      </c>
      <c r="O7" s="47">
        <v>14335</v>
      </c>
      <c r="P7" s="47">
        <v>15097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11.489000000000001</v>
      </c>
      <c r="E14" s="51">
        <v>12.217000000000001</v>
      </c>
      <c r="F14" s="51">
        <v>11.84</v>
      </c>
      <c r="G14" s="51">
        <v>11.38</v>
      </c>
      <c r="H14" s="43">
        <v>11.55</v>
      </c>
      <c r="I14" s="43">
        <v>11.51</v>
      </c>
      <c r="J14" s="43">
        <v>11.4</v>
      </c>
      <c r="K14" s="43">
        <v>11.11</v>
      </c>
      <c r="L14" s="43">
        <v>11.54</v>
      </c>
      <c r="M14" s="43">
        <v>11.4</v>
      </c>
      <c r="N14" s="43">
        <v>10.981</v>
      </c>
      <c r="O14" s="43">
        <v>11</v>
      </c>
      <c r="P14" s="43">
        <v>11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312569</v>
      </c>
      <c r="E15" s="42">
        <v>162972</v>
      </c>
      <c r="F15" s="42">
        <v>65244</v>
      </c>
      <c r="G15" s="42">
        <v>81548</v>
      </c>
      <c r="H15" s="47">
        <v>77212</v>
      </c>
      <c r="I15" s="47">
        <v>89134</v>
      </c>
      <c r="J15" s="47">
        <v>97926</v>
      </c>
      <c r="K15" s="47">
        <v>101378</v>
      </c>
      <c r="L15" s="47">
        <v>103392</v>
      </c>
      <c r="M15" s="47">
        <v>113255</v>
      </c>
      <c r="N15" s="47">
        <v>112819</v>
      </c>
      <c r="O15" s="47">
        <v>126729</v>
      </c>
      <c r="P15" s="47">
        <v>112538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40216</v>
      </c>
      <c r="E16" s="42">
        <v>39341</v>
      </c>
      <c r="F16" s="42">
        <v>50144</v>
      </c>
      <c r="G16" s="42">
        <v>132666</v>
      </c>
      <c r="H16" s="47">
        <v>136451</v>
      </c>
      <c r="I16" s="47">
        <v>134900</v>
      </c>
      <c r="J16" s="47">
        <v>124869</v>
      </c>
      <c r="K16" s="47">
        <v>123748</v>
      </c>
      <c r="L16" s="47">
        <v>129084</v>
      </c>
      <c r="M16" s="47">
        <v>129095</v>
      </c>
      <c r="N16" s="47">
        <v>126672</v>
      </c>
      <c r="O16" s="47">
        <v>123603</v>
      </c>
      <c r="P16" s="47">
        <v>116573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50774</v>
      </c>
      <c r="E18" s="42">
        <v>49973</v>
      </c>
      <c r="F18" s="42">
        <v>52484</v>
      </c>
      <c r="G18" s="42">
        <v>52417</v>
      </c>
      <c r="H18" s="43">
        <v>52390</v>
      </c>
      <c r="I18" s="43">
        <v>53060</v>
      </c>
      <c r="J18" s="43">
        <v>51975</v>
      </c>
      <c r="K18" s="43">
        <v>52396</v>
      </c>
      <c r="L18" s="43">
        <v>53068</v>
      </c>
      <c r="M18" s="43">
        <v>48955</v>
      </c>
      <c r="N18" s="43">
        <v>56805</v>
      </c>
      <c r="O18" s="43">
        <v>54816</v>
      </c>
      <c r="P18" s="43">
        <v>52511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3846</v>
      </c>
      <c r="E19" s="42">
        <v>3677</v>
      </c>
      <c r="F19" s="42">
        <v>3713</v>
      </c>
      <c r="G19" s="42">
        <v>3130</v>
      </c>
      <c r="H19" s="47">
        <v>3455</v>
      </c>
      <c r="I19" s="47">
        <v>3154</v>
      </c>
      <c r="J19" s="47">
        <v>3022</v>
      </c>
      <c r="K19" s="47">
        <v>3184</v>
      </c>
      <c r="L19" s="47">
        <v>2956</v>
      </c>
      <c r="M19" s="47">
        <v>3203</v>
      </c>
      <c r="N19" s="47">
        <v>3150</v>
      </c>
      <c r="O19" s="47">
        <v>3044</v>
      </c>
      <c r="P19" s="47">
        <v>2469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112</v>
      </c>
      <c r="E23" s="59" t="s">
        <v>112</v>
      </c>
      <c r="F23" s="59" t="s">
        <v>113</v>
      </c>
      <c r="G23" s="59" t="s">
        <v>113</v>
      </c>
      <c r="H23" s="59" t="s">
        <v>113</v>
      </c>
      <c r="I23" s="59" t="s">
        <v>113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112</v>
      </c>
      <c r="G25" s="59" t="s">
        <v>112</v>
      </c>
      <c r="H25" s="59" t="s">
        <v>112</v>
      </c>
      <c r="I25" s="59" t="s">
        <v>112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112</v>
      </c>
      <c r="K26" s="59" t="s">
        <v>112</v>
      </c>
      <c r="L26" s="59" t="s">
        <v>112</v>
      </c>
      <c r="M26" s="59" t="s">
        <v>112</v>
      </c>
      <c r="N26" s="59" t="s">
        <v>112</v>
      </c>
      <c r="O26" s="59" t="s">
        <v>112</v>
      </c>
      <c r="P26" s="59" t="s">
        <v>112</v>
      </c>
      <c r="Q26" s="59" t="s">
        <v>112</v>
      </c>
      <c r="R26" s="59" t="s">
        <v>112</v>
      </c>
      <c r="S26" s="59" t="s">
        <v>112</v>
      </c>
      <c r="T26" s="59" t="s">
        <v>112</v>
      </c>
      <c r="U26" s="59" t="s">
        <v>112</v>
      </c>
      <c r="V26" s="59" t="s">
        <v>112</v>
      </c>
      <c r="W26" s="59" t="s">
        <v>112</v>
      </c>
      <c r="X26" s="59" t="s">
        <v>112</v>
      </c>
      <c r="Y26" s="59" t="s">
        <v>112</v>
      </c>
      <c r="Z26" s="59" t="s">
        <v>112</v>
      </c>
      <c r="AA26" s="59" t="s">
        <v>112</v>
      </c>
      <c r="AB26" s="59" t="s">
        <v>112</v>
      </c>
      <c r="AC26" s="59" t="s">
        <v>112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3585</v>
      </c>
      <c r="E33" s="47">
        <v>3739</v>
      </c>
      <c r="F33" s="47">
        <v>3711</v>
      </c>
      <c r="G33" s="47">
        <v>3491</v>
      </c>
      <c r="H33" s="43">
        <v>2613</v>
      </c>
      <c r="I33" s="43">
        <v>2520</v>
      </c>
      <c r="J33" s="43">
        <v>2771</v>
      </c>
      <c r="K33" s="43">
        <v>2756</v>
      </c>
      <c r="L33" s="43">
        <v>2320</v>
      </c>
      <c r="M33" s="43">
        <v>2374</v>
      </c>
      <c r="N33" s="43">
        <v>2612</v>
      </c>
      <c r="O33" s="63">
        <v>2765</v>
      </c>
      <c r="P33" s="63">
        <v>2826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488</v>
      </c>
      <c r="K34" s="47">
        <v>472</v>
      </c>
      <c r="L34" s="47">
        <v>560</v>
      </c>
      <c r="M34" s="47">
        <v>903</v>
      </c>
      <c r="N34" s="47">
        <v>900</v>
      </c>
      <c r="O34" s="64">
        <v>1030</v>
      </c>
      <c r="P34" s="64">
        <v>993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>
        <v>50</v>
      </c>
      <c r="H37" s="47">
        <v>170</v>
      </c>
      <c r="I37" s="47">
        <v>170</v>
      </c>
      <c r="J37" s="47">
        <v>121</v>
      </c>
      <c r="K37" s="47">
        <v>143</v>
      </c>
      <c r="L37" s="47">
        <v>123</v>
      </c>
      <c r="M37" s="47">
        <v>97</v>
      </c>
      <c r="N37" s="47">
        <v>79</v>
      </c>
      <c r="O37" s="64">
        <v>112</v>
      </c>
      <c r="P37" s="64">
        <v>90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642</v>
      </c>
      <c r="E41" s="47">
        <v>687</v>
      </c>
      <c r="F41" s="47">
        <v>693</v>
      </c>
      <c r="G41" s="47">
        <v>795</v>
      </c>
      <c r="H41" s="47">
        <v>626</v>
      </c>
      <c r="I41" s="47">
        <v>543</v>
      </c>
      <c r="J41" s="47">
        <v>214</v>
      </c>
      <c r="K41" s="47">
        <v>196</v>
      </c>
      <c r="L41" s="47">
        <v>203</v>
      </c>
      <c r="M41" s="47">
        <v>229</v>
      </c>
      <c r="N41" s="47">
        <v>283</v>
      </c>
      <c r="O41" s="64">
        <v>311</v>
      </c>
      <c r="P41" s="64">
        <v>325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(Pars!D56+(D_SO_1!D14-Pars!D57)*Pars!D58)/Pars!D59</f>
        <v>0.29318440000000001</v>
      </c>
      <c r="E43" s="66">
        <f>(Pars!E56+(D_SO_1!E14-Pars!E57)*Pars!E58)/Pars!E59</f>
        <v>0.30745289254710745</v>
      </c>
      <c r="F43" s="66">
        <f>(Pars!F56+(D_SO_1!F14-Pars!F57)*Pars!F58)/Pars!F59</f>
        <v>0.30006339987320024</v>
      </c>
      <c r="G43" s="66">
        <f>(Pars!G56+(D_SO_1!G14-Pars!G57)*Pars!G58)/Pars!G59</f>
        <v>0.29104712685861944</v>
      </c>
      <c r="H43" s="66">
        <f>(Pars!H56+(D_SO_1!H14-Pars!H57)*Pars!H58)/Pars!H59</f>
        <v>0.29437882248471003</v>
      </c>
      <c r="I43" s="66">
        <f>(Pars!I56+(D_SO_1!I14-Pars!I57)*Pars!I58)/Pars!I59</f>
        <v>0.29359453202733987</v>
      </c>
      <c r="J43" s="66">
        <f>(Pars!J56+(D_SO_1!J14-Pars!J57)*Pars!J58)/Pars!J59</f>
        <v>0.29143825137049179</v>
      </c>
      <c r="K43" s="66">
        <f>(Pars!K56+(D_SO_1!K14-Pars!K57)*Pars!K58)/Pars!K59</f>
        <v>0.28575399972200194</v>
      </c>
      <c r="L43" s="66">
        <f>(Pars!L56+(D_SO_1!L14-Pars!L57)*Pars!L58)/Pars!L59</f>
        <v>0.2941816465468276</v>
      </c>
      <c r="M43" s="66">
        <f>(Pars!M56+(D_SO_1!M14-Pars!M57)*Pars!M58)/Pars!M59</f>
        <v>0.29143737706360645</v>
      </c>
      <c r="N43" s="66">
        <f>(Pars!N56+(D_SO_1!N14-Pars!N57)*Pars!N58)/Pars!N59</f>
        <v>0.28322476775232247</v>
      </c>
      <c r="O43" s="66">
        <f>(Pars!O56+(D_SO_1!O14-Pars!O57)*Pars!O58)/Pars!O59</f>
        <v>0.28359688043431525</v>
      </c>
      <c r="P43" s="66">
        <f>(Pars!P56+(D_SO_1!P14-Pars!P57)*Pars!P58)/Pars!P59</f>
        <v>0.28359659684083793</v>
      </c>
      <c r="Q43" s="66">
        <f>(Pars!Q56+(D_SO_1!Q14-Pars!Q57)*Pars!Q58)/Pars!Q59</f>
        <v>6.7999116011491847E-2</v>
      </c>
      <c r="R43" s="66">
        <f>(Pars!R56+(D_SO_1!R14-Pars!R57)*Pars!R58)/Pars!R59</f>
        <v>6.7999048013327817E-2</v>
      </c>
      <c r="S43" s="66">
        <f>(Pars!S56+(D_SO_1!S14-Pars!S57)*Pars!S58)/Pars!S59</f>
        <v>6.7998980015299776E-2</v>
      </c>
      <c r="T43" s="66">
        <f>(Pars!T56+(D_SO_1!T14-Pars!T57)*Pars!T58)/Pars!T59</f>
        <v>6.7998980015299776E-2</v>
      </c>
      <c r="U43" s="66">
        <f>(Pars!U56+(D_SO_1!U14-Pars!U57)*Pars!U58)/Pars!U59</f>
        <v>6.7998980015299776E-2</v>
      </c>
      <c r="V43" s="66">
        <f>(Pars!V56+(D_SO_1!V14-Pars!V57)*Pars!V58)/Pars!V59</f>
        <v>6.7998980015299776E-2</v>
      </c>
      <c r="W43" s="66">
        <f>(Pars!W56+(D_SO_1!W14-Pars!W57)*Pars!W58)/Pars!W59</f>
        <v>6.7998980015299776E-2</v>
      </c>
      <c r="X43" s="66">
        <f>(Pars!X56+(D_SO_1!X14-Pars!X57)*Pars!X58)/Pars!X59</f>
        <v>6.7998980015299776E-2</v>
      </c>
      <c r="Y43" s="66">
        <f>(Pars!Y56+(D_SO_1!Y14-Pars!Y57)*Pars!Y58)/Pars!Y59</f>
        <v>6.7998980015299776E-2</v>
      </c>
      <c r="Z43" s="66">
        <f>(Pars!Z56+(D_SO_1!Z14-Pars!Z57)*Pars!Z58)/Pars!Z59</f>
        <v>6.7998980015299776E-2</v>
      </c>
      <c r="AA43" s="66">
        <f>(Pars!AA56+(D_SO_1!AA14-Pars!AA57)*Pars!AA58)/Pars!AA59</f>
        <v>6.7998980015299776E-2</v>
      </c>
      <c r="AB43" s="66">
        <f>(Pars!AB56+(D_SO_1!AB14-Pars!AB57)*Pars!AB58)/Pars!AB59</f>
        <v>6.7998980015299776E-2</v>
      </c>
      <c r="AC43" s="66">
        <f>(Pars!AC56+(D_SO_1!AC14-Pars!AC57)*Pars!AC58)/Pars!AC59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250662.10736160001</v>
      </c>
      <c r="E44" s="43">
        <f>Pars!E37*E43*E6</f>
        <v>260839.85702374295</v>
      </c>
      <c r="F44" s="43">
        <f>Pars!F37*F43*F6</f>
        <v>256854.77039712586</v>
      </c>
      <c r="G44" s="43">
        <f>Pars!G37*G43*G6</f>
        <v>249320.37939086184</v>
      </c>
      <c r="H44" s="43">
        <f>Pars!H37*H43*H6</f>
        <v>251592.62690949233</v>
      </c>
      <c r="I44" s="43">
        <f>Pars!I37*I43*I6</f>
        <v>252881.58254142059</v>
      </c>
      <c r="J44" s="43">
        <f>Pars!J37*J43*J6</f>
        <v>249943.9531629477</v>
      </c>
      <c r="K44" s="43">
        <f>Pars!K37*K43*K6</f>
        <v>243746.73299286905</v>
      </c>
      <c r="L44" s="43">
        <f>Pars!L37*L43*L6</f>
        <v>252071.30893352852</v>
      </c>
      <c r="M44" s="43">
        <f>Pars!M37*M43*M6</f>
        <v>253576.45597189624</v>
      </c>
      <c r="N44" s="43">
        <f>Pars!N37*N43*N6</f>
        <v>257564.41497745021</v>
      </c>
      <c r="O44" s="63">
        <f>Pars!O37*O43*O6</f>
        <v>252323.99070276893</v>
      </c>
      <c r="P44" s="63">
        <f>Pars!P37*P43*P6</f>
        <v>241820.17122461196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120317.811533568</v>
      </c>
      <c r="E45" s="43">
        <f>E44*Pars!E36/100</f>
        <v>125203.13137139661</v>
      </c>
      <c r="F45" s="43">
        <f>F44*Pars!F36/100</f>
        <v>123290.28979062042</v>
      </c>
      <c r="G45" s="43">
        <f>G44*Pars!G36/100</f>
        <v>119673.78210761369</v>
      </c>
      <c r="H45" s="43">
        <f>H44*Pars!H36/100</f>
        <v>120764.46091655633</v>
      </c>
      <c r="I45" s="43">
        <f>I44*Pars!I36/100</f>
        <v>121383.15961988189</v>
      </c>
      <c r="J45" s="43">
        <f>J44*Pars!J36/100</f>
        <v>119973.0975182149</v>
      </c>
      <c r="K45" s="43">
        <f>K44*Pars!K36/100</f>
        <v>116998.43183657713</v>
      </c>
      <c r="L45" s="43">
        <f>L44*Pars!L36/100</f>
        <v>120994.2282880937</v>
      </c>
      <c r="M45" s="43">
        <f>M44*Pars!M36/100</f>
        <v>121716.69886651021</v>
      </c>
      <c r="N45" s="43">
        <f>N44*Pars!N36/100</f>
        <v>123630.91918917611</v>
      </c>
      <c r="O45" s="63">
        <f>O44*Pars!O36/100</f>
        <v>121115.51553732909</v>
      </c>
      <c r="P45" s="63">
        <f>P44*Pars!P36/100</f>
        <v>116073.68218781374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70109.226699999999</v>
      </c>
      <c r="E46" s="43">
        <f>Pars!E40*E15</f>
        <v>36554.619599999998</v>
      </c>
      <c r="F46" s="43">
        <f>Pars!F40*F15</f>
        <v>14634.2292</v>
      </c>
      <c r="G46" s="43">
        <f>Pars!G40*G15</f>
        <v>18291.216400000001</v>
      </c>
      <c r="H46" s="43">
        <f>Pars!H40*H15</f>
        <v>17318.651600000001</v>
      </c>
      <c r="I46" s="43">
        <f>Pars!I40*I15</f>
        <v>19992.7562</v>
      </c>
      <c r="J46" s="43">
        <f>Pars!J40*J15</f>
        <v>21964.801800000001</v>
      </c>
      <c r="K46" s="43">
        <f>Pars!K40*K15</f>
        <v>22739.0854</v>
      </c>
      <c r="L46" s="43">
        <f>Pars!L40*L15</f>
        <v>23190.8256</v>
      </c>
      <c r="M46" s="43">
        <f>Pars!M40*M15</f>
        <v>25403.0965</v>
      </c>
      <c r="N46" s="43">
        <f>Pars!N40*N15</f>
        <v>25305.3017</v>
      </c>
      <c r="O46" s="63">
        <f>Pars!O40*O15</f>
        <v>28425.314699999999</v>
      </c>
      <c r="P46" s="63">
        <f>Pars!P40*P15</f>
        <v>25242.273399999998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1190.3936000000001</v>
      </c>
      <c r="E47" s="43">
        <f>Pars!E41*E16</f>
        <v>1164.4936</v>
      </c>
      <c r="F47" s="43">
        <f>Pars!F41*F16</f>
        <v>1484.2624000000001</v>
      </c>
      <c r="G47" s="43">
        <f>Pars!G41*G16</f>
        <v>3926.9136000000003</v>
      </c>
      <c r="H47" s="43">
        <f>Pars!H41*H16</f>
        <v>4038.9496000000004</v>
      </c>
      <c r="I47" s="43">
        <f>Pars!I41*I16</f>
        <v>3993.04</v>
      </c>
      <c r="J47" s="43">
        <f>Pars!J41*J16</f>
        <v>3696.1224000000002</v>
      </c>
      <c r="K47" s="43">
        <f>Pars!K41*K16</f>
        <v>3662.9408000000003</v>
      </c>
      <c r="L47" s="43">
        <f>Pars!L41*L16</f>
        <v>3820.8864000000003</v>
      </c>
      <c r="M47" s="43">
        <f>Pars!M41*M16</f>
        <v>3821.212</v>
      </c>
      <c r="N47" s="43">
        <f>Pars!N41*N16</f>
        <v>3749.4912000000004</v>
      </c>
      <c r="O47" s="63">
        <f>Pars!O41*O16</f>
        <v>3658.6487999999999</v>
      </c>
      <c r="P47" s="63">
        <f>Pars!P41*P16</f>
        <v>3450.5608000000002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8623.35</v>
      </c>
      <c r="E48" s="67">
        <f t="array" ref="E48">SUMPRODUCT(E33:E41,Pars!E44:E52)</f>
        <v>9080.89</v>
      </c>
      <c r="F48" s="67">
        <f t="array" ref="F48">SUMPRODUCT(F33:F41,Pars!F44:F52)</f>
        <v>9068.61</v>
      </c>
      <c r="G48" s="67">
        <f t="array" ref="G48">SUMPRODUCT(G33:G41,Pars!G44:G52)</f>
        <v>9368.41</v>
      </c>
      <c r="H48" s="67">
        <f t="array" ref="H48">SUMPRODUCT(H33:H41,Pars!H44:H52)</f>
        <v>7490.43</v>
      </c>
      <c r="I48" s="67">
        <f t="array" ref="I48">SUMPRODUCT(I33:I41,Pars!I44:I52)</f>
        <v>6935</v>
      </c>
      <c r="J48" s="67">
        <f t="array" ref="J48">SUMPRODUCT(J33:J41,Pars!J44:J52)</f>
        <v>9790.17</v>
      </c>
      <c r="K48" s="67">
        <f t="array" ref="K48">SUMPRODUCT(K33:K41,Pars!K44:K52)</f>
        <v>9592.16</v>
      </c>
      <c r="L48" s="67">
        <f t="array" ref="L48">SUMPRODUCT(L33:L41,Pars!L44:L52)</f>
        <v>9684.7199999999993</v>
      </c>
      <c r="M48" s="67">
        <f t="array" ref="M48">SUMPRODUCT(M33:M41,Pars!M44:M52)</f>
        <v>12813.49</v>
      </c>
      <c r="N48" s="67">
        <f t="array" ref="N48">SUMPRODUCT(N33:N41,Pars!N44:N52)</f>
        <v>13372.88</v>
      </c>
      <c r="O48" s="67">
        <f t="array" ref="O48">SUMPRODUCT(O33:O41,Pars!O44:O52)</f>
        <v>14954.13</v>
      </c>
      <c r="P48" s="67">
        <f t="array" ref="P48">SUMPRODUCT(P33:P41,Pars!P44:P52)</f>
        <v>14741.03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79922.970300000001</v>
      </c>
      <c r="E49" s="67">
        <f t="shared" ref="E49:AC49" si="1">SUM(E46:E48)</f>
        <v>46800.003199999999</v>
      </c>
      <c r="F49" s="67">
        <f t="shared" si="1"/>
        <v>25187.101600000002</v>
      </c>
      <c r="G49" s="67">
        <f t="shared" si="1"/>
        <v>31586.54</v>
      </c>
      <c r="H49" s="67">
        <f t="shared" si="1"/>
        <v>28848.031200000001</v>
      </c>
      <c r="I49" s="67">
        <f t="shared" si="1"/>
        <v>30920.796200000001</v>
      </c>
      <c r="J49" s="67">
        <f t="shared" si="1"/>
        <v>35451.0942</v>
      </c>
      <c r="K49" s="67">
        <f t="shared" si="1"/>
        <v>35994.186199999996</v>
      </c>
      <c r="L49" s="67">
        <f t="shared" si="1"/>
        <v>36696.432000000001</v>
      </c>
      <c r="M49" s="67">
        <f t="shared" si="1"/>
        <v>42037.798499999997</v>
      </c>
      <c r="N49" s="67">
        <f t="shared" si="1"/>
        <v>42427.672899999998</v>
      </c>
      <c r="O49" s="67">
        <f t="shared" si="1"/>
        <v>47038.093499999995</v>
      </c>
      <c r="P49" s="67">
        <f t="shared" si="1"/>
        <v>43433.864199999996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40394.841233568004</v>
      </c>
      <c r="E50" s="70">
        <f t="shared" ref="E50:AC50" si="2">E45-E49</f>
        <v>78403.128171396616</v>
      </c>
      <c r="F50" s="70">
        <f t="shared" si="2"/>
        <v>98103.188190620422</v>
      </c>
      <c r="G50" s="70">
        <f t="shared" si="2"/>
        <v>88087.242107613682</v>
      </c>
      <c r="H50" s="70">
        <f t="shared" si="2"/>
        <v>91916.429716556333</v>
      </c>
      <c r="I50" s="70">
        <f t="shared" si="2"/>
        <v>90462.363419881891</v>
      </c>
      <c r="J50" s="70">
        <f t="shared" si="2"/>
        <v>84522.003318214905</v>
      </c>
      <c r="K50" s="70">
        <f t="shared" si="2"/>
        <v>81004.245636577136</v>
      </c>
      <c r="L50" s="70">
        <f t="shared" si="2"/>
        <v>84297.796288093698</v>
      </c>
      <c r="M50" s="70">
        <f t="shared" si="2"/>
        <v>79678.900366510206</v>
      </c>
      <c r="N50" s="70">
        <f t="shared" si="2"/>
        <v>81203.24628917611</v>
      </c>
      <c r="O50" s="70">
        <f t="shared" si="2"/>
        <v>74077.422037329088</v>
      </c>
      <c r="P50" s="70">
        <f t="shared" si="2"/>
        <v>72639.817987813745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9443</v>
      </c>
      <c r="H58" s="47">
        <v>8763</v>
      </c>
      <c r="I58" s="47">
        <v>8372</v>
      </c>
      <c r="J58" s="47">
        <v>5748</v>
      </c>
      <c r="K58" s="47">
        <v>7535</v>
      </c>
      <c r="L58" s="47">
        <v>7116</v>
      </c>
      <c r="M58" s="47">
        <v>8158</v>
      </c>
      <c r="N58" s="47">
        <v>7138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9443</v>
      </c>
      <c r="H61" s="76">
        <f t="shared" si="3"/>
        <v>8763</v>
      </c>
      <c r="I61" s="76">
        <f t="shared" si="3"/>
        <v>8372</v>
      </c>
      <c r="J61" s="76">
        <f t="shared" si="3"/>
        <v>5748</v>
      </c>
      <c r="K61" s="76">
        <f t="shared" si="3"/>
        <v>7535</v>
      </c>
      <c r="L61" s="76">
        <f t="shared" si="3"/>
        <v>7116</v>
      </c>
      <c r="M61" s="76">
        <f t="shared" si="3"/>
        <v>8158</v>
      </c>
      <c r="N61" s="76">
        <f t="shared" si="3"/>
        <v>7138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40394.841233568004</v>
      </c>
      <c r="E62" s="79">
        <f t="shared" ref="E62:AC62" si="4">E50+E61</f>
        <v>78403.128171396616</v>
      </c>
      <c r="F62" s="79">
        <f t="shared" si="4"/>
        <v>98103.188190620422</v>
      </c>
      <c r="G62" s="79">
        <f t="shared" si="4"/>
        <v>97530.242107613682</v>
      </c>
      <c r="H62" s="79">
        <f t="shared" si="4"/>
        <v>100679.42971655633</v>
      </c>
      <c r="I62" s="79">
        <f t="shared" si="4"/>
        <v>98834.363419881891</v>
      </c>
      <c r="J62" s="79">
        <f t="shared" si="4"/>
        <v>90270.003318214905</v>
      </c>
      <c r="K62" s="79">
        <f t="shared" si="4"/>
        <v>88539.245636577136</v>
      </c>
      <c r="L62" s="79">
        <f t="shared" si="4"/>
        <v>91413.796288093698</v>
      </c>
      <c r="M62" s="79">
        <f t="shared" si="4"/>
        <v>87836.900366510206</v>
      </c>
      <c r="N62" s="79">
        <f t="shared" si="4"/>
        <v>88341.24628917611</v>
      </c>
      <c r="O62" s="79">
        <f t="shared" si="4"/>
        <v>74077.422037329088</v>
      </c>
      <c r="P62" s="79">
        <f t="shared" si="4"/>
        <v>72639.817987813745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86" priority="5" operator="containsText" text="Nein">
      <formula>NOT(ISERROR(SEARCH("Nein",D22)))</formula>
    </cfRule>
  </conditionalFormatting>
  <conditionalFormatting sqref="D31:AC31">
    <cfRule type="cellIs" dxfId="85" priority="6" operator="equal">
      <formula>"ok"</formula>
    </cfRule>
  </conditionalFormatting>
  <conditionalFormatting sqref="H5:AC12 H14:AC16 H18:AC19 H33:AC41">
    <cfRule type="cellIs" dxfId="84" priority="4" operator="greaterThan">
      <formula>0</formula>
    </cfRule>
  </conditionalFormatting>
  <conditionalFormatting sqref="H6:AC12">
    <cfRule type="expression" dxfId="83" priority="3">
      <formula>NOT(ISBLANK(H6))</formula>
    </cfRule>
  </conditionalFormatting>
  <conditionalFormatting sqref="H18:AC19">
    <cfRule type="expression" dxfId="82" priority="2">
      <formula>NOT(ISBLANK(H18))</formula>
    </cfRule>
  </conditionalFormatting>
  <conditionalFormatting sqref="H56:AC60">
    <cfRule type="cellIs" dxfId="81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54D5E3C1-3176-4007-9462-FD76598A414E}">
      <formula1>"Ja, Nein"</formula1>
    </dataValidation>
  </dataValidation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BB5C9-05CD-40A7-B571-03AFB921DAE7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158</v>
      </c>
      <c r="D1" s="32"/>
      <c r="E1" s="32"/>
    </row>
    <row r="2" spans="1:30" x14ac:dyDescent="0.3">
      <c r="A2" s="30"/>
      <c r="B2" s="31" t="s">
        <v>86</v>
      </c>
      <c r="C2" s="33" t="s">
        <v>159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66660</v>
      </c>
      <c r="E5" s="42">
        <v>66660</v>
      </c>
      <c r="F5" s="42">
        <v>66660</v>
      </c>
      <c r="G5" s="42">
        <v>66660</v>
      </c>
      <c r="H5" s="43">
        <v>66951</v>
      </c>
      <c r="I5" s="43">
        <v>66951</v>
      </c>
      <c r="J5" s="43">
        <v>66531</v>
      </c>
      <c r="K5" s="43">
        <v>66189.645696480089</v>
      </c>
      <c r="L5" s="43">
        <v>66209</v>
      </c>
      <c r="M5" s="43">
        <v>66001</v>
      </c>
      <c r="N5" s="43">
        <v>66426</v>
      </c>
      <c r="O5" s="43">
        <v>66009.873878491184</v>
      </c>
      <c r="P5" s="43">
        <v>67843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95145</v>
      </c>
      <c r="E6" s="42">
        <v>95457</v>
      </c>
      <c r="F6" s="42">
        <v>94091</v>
      </c>
      <c r="G6" s="42">
        <v>93976</v>
      </c>
      <c r="H6" s="47">
        <v>68839</v>
      </c>
      <c r="I6" s="47">
        <v>37590</v>
      </c>
      <c r="J6" s="47">
        <v>66383</v>
      </c>
      <c r="K6" s="47">
        <v>65318</v>
      </c>
      <c r="L6" s="47">
        <v>66904</v>
      </c>
      <c r="M6" s="47">
        <v>69150</v>
      </c>
      <c r="N6" s="47">
        <v>66179</v>
      </c>
      <c r="O6" s="47">
        <v>68126</v>
      </c>
      <c r="P6" s="47">
        <v>68150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25098</v>
      </c>
      <c r="E7" s="42">
        <v>26319</v>
      </c>
      <c r="F7" s="42">
        <v>25001</v>
      </c>
      <c r="G7" s="42">
        <v>24771</v>
      </c>
      <c r="H7" s="47">
        <v>0</v>
      </c>
      <c r="I7" s="47">
        <v>0</v>
      </c>
      <c r="J7" s="47">
        <v>0</v>
      </c>
      <c r="K7" s="47">
        <v>0</v>
      </c>
      <c r="L7" s="47">
        <v>0</v>
      </c>
      <c r="M7" s="47">
        <v>0</v>
      </c>
      <c r="N7" s="47">
        <v>0</v>
      </c>
      <c r="O7" s="47">
        <v>0</v>
      </c>
      <c r="P7" s="47">
        <v>0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/>
      <c r="J8" s="47">
        <v>5706</v>
      </c>
      <c r="K8" s="47">
        <v>6193.5199999999995</v>
      </c>
      <c r="L8" s="47">
        <v>8658</v>
      </c>
      <c r="M8" s="47">
        <v>9767</v>
      </c>
      <c r="N8" s="47">
        <v>8547</v>
      </c>
      <c r="O8" s="47">
        <v>11541</v>
      </c>
      <c r="P8" s="47">
        <v>4800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>
        <v>1122</v>
      </c>
      <c r="M9" s="47">
        <v>1507</v>
      </c>
      <c r="N9" s="47">
        <v>2100</v>
      </c>
      <c r="O9" s="47">
        <v>0</v>
      </c>
      <c r="P9" s="47">
        <v>165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>
        <v>1341</v>
      </c>
      <c r="K10" s="47">
        <v>1914.2</v>
      </c>
      <c r="L10" s="47">
        <v>428</v>
      </c>
      <c r="M10" s="47">
        <v>0</v>
      </c>
      <c r="N10" s="47">
        <v>0</v>
      </c>
      <c r="O10" s="47">
        <v>0</v>
      </c>
      <c r="P10" s="47">
        <v>2762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>
        <v>1947</v>
      </c>
      <c r="K11" s="47">
        <v>2615.96</v>
      </c>
      <c r="L11" s="47">
        <v>3527</v>
      </c>
      <c r="M11" s="47">
        <v>2273</v>
      </c>
      <c r="N11" s="47">
        <v>1908</v>
      </c>
      <c r="O11" s="47">
        <v>0</v>
      </c>
      <c r="P11" s="47">
        <v>0</v>
      </c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9.43</v>
      </c>
      <c r="E14" s="51">
        <v>9.2490000000000006</v>
      </c>
      <c r="F14" s="51">
        <v>9.593</v>
      </c>
      <c r="G14" s="51">
        <v>9.59</v>
      </c>
      <c r="H14" s="43">
        <v>13.69</v>
      </c>
      <c r="I14" s="43">
        <v>13.51</v>
      </c>
      <c r="J14" s="43">
        <v>13.4</v>
      </c>
      <c r="K14" s="43">
        <v>13.53</v>
      </c>
      <c r="L14" s="43">
        <v>13.25</v>
      </c>
      <c r="M14" s="43">
        <v>13.84</v>
      </c>
      <c r="N14" s="43">
        <v>13.363</v>
      </c>
      <c r="O14" s="43">
        <v>13.64</v>
      </c>
      <c r="P14" s="43">
        <v>14.08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10448</v>
      </c>
      <c r="E15" s="42">
        <v>10310</v>
      </c>
      <c r="F15" s="42">
        <v>14851</v>
      </c>
      <c r="G15" s="42">
        <v>16462</v>
      </c>
      <c r="H15" s="47">
        <v>15117</v>
      </c>
      <c r="I15" s="47">
        <v>18893</v>
      </c>
      <c r="J15" s="47">
        <v>33975</v>
      </c>
      <c r="K15" s="47">
        <v>36726</v>
      </c>
      <c r="L15" s="47">
        <v>34871</v>
      </c>
      <c r="M15" s="47">
        <f>18374+22286</f>
        <v>40660</v>
      </c>
      <c r="N15" s="47">
        <v>42320</v>
      </c>
      <c r="O15" s="47">
        <v>47763</v>
      </c>
      <c r="P15" s="47">
        <f>20694+28885</f>
        <v>49579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46166</v>
      </c>
      <c r="E16" s="42">
        <v>46181</v>
      </c>
      <c r="F16" s="42">
        <v>46821</v>
      </c>
      <c r="G16" s="42">
        <v>45906</v>
      </c>
      <c r="H16" s="47">
        <v>46689</v>
      </c>
      <c r="I16" s="47">
        <v>21865</v>
      </c>
      <c r="J16" s="47">
        <v>46242</v>
      </c>
      <c r="K16" s="47">
        <v>45827</v>
      </c>
      <c r="L16" s="47">
        <v>45412</v>
      </c>
      <c r="M16" s="47">
        <v>47962</v>
      </c>
      <c r="N16" s="47">
        <v>44494</v>
      </c>
      <c r="O16" s="47">
        <v>45974</v>
      </c>
      <c r="P16" s="47">
        <v>48463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15423</v>
      </c>
      <c r="E18" s="42">
        <v>15806</v>
      </c>
      <c r="F18" s="42">
        <v>13484</v>
      </c>
      <c r="G18" s="42">
        <v>12665</v>
      </c>
      <c r="H18" s="43">
        <v>13132</v>
      </c>
      <c r="I18" s="43">
        <v>6890</v>
      </c>
      <c r="J18" s="43">
        <v>14873</v>
      </c>
      <c r="K18" s="43">
        <v>13269</v>
      </c>
      <c r="L18" s="43">
        <v>14456</v>
      </c>
      <c r="M18" s="43">
        <v>15792</v>
      </c>
      <c r="N18" s="43">
        <v>15848</v>
      </c>
      <c r="O18" s="43">
        <v>14843</v>
      </c>
      <c r="P18" s="43">
        <v>15693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1542</v>
      </c>
      <c r="E19" s="42">
        <v>1573</v>
      </c>
      <c r="F19" s="42">
        <v>3393</v>
      </c>
      <c r="G19" s="42">
        <v>2014</v>
      </c>
      <c r="H19" s="47">
        <v>2173</v>
      </c>
      <c r="I19" s="47">
        <v>1145</v>
      </c>
      <c r="J19" s="47">
        <v>2146</v>
      </c>
      <c r="K19" s="47">
        <v>1727.3</v>
      </c>
      <c r="L19" s="47">
        <v>1510</v>
      </c>
      <c r="M19" s="47">
        <v>1542</v>
      </c>
      <c r="N19" s="47">
        <v>1349</v>
      </c>
      <c r="O19" s="47">
        <v>1436</v>
      </c>
      <c r="P19" s="47">
        <v>1446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112</v>
      </c>
      <c r="E22" s="59" t="s">
        <v>112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112</v>
      </c>
      <c r="G23" s="59" t="s">
        <v>112</v>
      </c>
      <c r="H23" s="59" t="s">
        <v>112</v>
      </c>
      <c r="I23" s="59" t="s">
        <v>112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112</v>
      </c>
      <c r="K24" s="59" t="s">
        <v>112</v>
      </c>
      <c r="L24" s="59" t="s">
        <v>112</v>
      </c>
      <c r="M24" s="59" t="s">
        <v>112</v>
      </c>
      <c r="N24" s="59" t="s">
        <v>112</v>
      </c>
      <c r="O24" s="59" t="s">
        <v>112</v>
      </c>
      <c r="P24" s="59" t="s">
        <v>112</v>
      </c>
      <c r="Q24" s="59" t="s">
        <v>112</v>
      </c>
      <c r="R24" s="59" t="s">
        <v>112</v>
      </c>
      <c r="S24" s="59" t="s">
        <v>112</v>
      </c>
      <c r="T24" s="59" t="s">
        <v>112</v>
      </c>
      <c r="U24" s="59" t="s">
        <v>112</v>
      </c>
      <c r="V24" s="59" t="s">
        <v>112</v>
      </c>
      <c r="W24" s="59" t="s">
        <v>112</v>
      </c>
      <c r="X24" s="59" t="s">
        <v>112</v>
      </c>
      <c r="Y24" s="59" t="s">
        <v>112</v>
      </c>
      <c r="Z24" s="59" t="s">
        <v>112</v>
      </c>
      <c r="AA24" s="59" t="s">
        <v>112</v>
      </c>
      <c r="AB24" s="59" t="s">
        <v>112</v>
      </c>
      <c r="AC24" s="59" t="s">
        <v>112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632</v>
      </c>
      <c r="E33" s="47">
        <v>647</v>
      </c>
      <c r="F33" s="47">
        <v>548</v>
      </c>
      <c r="G33" s="47">
        <v>748</v>
      </c>
      <c r="H33" s="43">
        <v>1051</v>
      </c>
      <c r="I33" s="43">
        <v>408</v>
      </c>
      <c r="J33" s="43">
        <v>921</v>
      </c>
      <c r="K33" s="43">
        <v>874.3</v>
      </c>
      <c r="L33" s="43">
        <v>888</v>
      </c>
      <c r="M33" s="43">
        <v>948</v>
      </c>
      <c r="N33" s="43">
        <v>890</v>
      </c>
      <c r="O33" s="63">
        <v>821</v>
      </c>
      <c r="P33" s="63">
        <v>1446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119</v>
      </c>
      <c r="K34" s="47">
        <v>116.7672</v>
      </c>
      <c r="L34" s="47">
        <v>126</v>
      </c>
      <c r="M34" s="47">
        <v>100</v>
      </c>
      <c r="N34" s="47">
        <v>100</v>
      </c>
      <c r="O34" s="64">
        <v>100</v>
      </c>
      <c r="P34" s="64">
        <v>100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64"/>
      <c r="P37" s="64">
        <f>P19*38/1913</f>
        <v>28.723470987976999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/>
      <c r="E41" s="47"/>
      <c r="F41" s="47">
        <v>165</v>
      </c>
      <c r="G41" s="47">
        <v>195</v>
      </c>
      <c r="H41" s="47">
        <v>246</v>
      </c>
      <c r="I41" s="47">
        <v>150</v>
      </c>
      <c r="J41" s="47">
        <v>153</v>
      </c>
      <c r="K41" s="47">
        <v>173.34279999999998</v>
      </c>
      <c r="L41" s="47">
        <v>201</v>
      </c>
      <c r="M41" s="47">
        <v>191</v>
      </c>
      <c r="N41" s="47">
        <v>214</v>
      </c>
      <c r="O41" s="64">
        <v>180</v>
      </c>
      <c r="P41" s="64">
        <f>298-100</f>
        <v>198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(Pars!D56+(D_AG_2!D14-Pars!D57)*Pars!D58)/Pars!D59</f>
        <v>0.252828</v>
      </c>
      <c r="E43" s="66">
        <f>(Pars!E56+(D_AG_2!E14-Pars!E57)*Pars!E58)/Pars!E59</f>
        <v>0.2492801507198493</v>
      </c>
      <c r="F43" s="66">
        <f>(Pars!F56+(D_AG_2!F14-Pars!F57)*Pars!F58)/Pars!F59</f>
        <v>0.25602228795542409</v>
      </c>
      <c r="G43" s="66">
        <f>(Pars!G56+(D_AG_2!G14-Pars!G57)*Pars!G58)/Pars!G59</f>
        <v>0.2559632321103037</v>
      </c>
      <c r="H43" s="66">
        <f>(Pars!H56+(D_AG_2!H14-Pars!H57)*Pars!H58)/Pars!H59</f>
        <v>0.33632265470938116</v>
      </c>
      <c r="I43" s="66">
        <f>(Pars!I56+(D_AG_2!I14-Pars!I57)*Pars!I58)/Pars!I59</f>
        <v>0.33279433602831987</v>
      </c>
      <c r="J43" s="66">
        <f>(Pars!J56+(D_AG_2!J14-Pars!J57)*Pars!J58)/Pars!J59</f>
        <v>0.33063801617190297</v>
      </c>
      <c r="K43" s="66">
        <f>(Pars!K56+(D_AG_2!K14-Pars!K57)*Pars!K58)/Pars!K59</f>
        <v>0.33318566770032609</v>
      </c>
      <c r="L43" s="66">
        <f>(Pars!L56+(D_AG_2!L14-Pars!L57)*Pars!L58)/Pars!L59</f>
        <v>0.32769737842097263</v>
      </c>
      <c r="M43" s="66">
        <f>(Pars!M56+(D_AG_2!M14-Pars!M57)*Pars!M58)/Pars!M59</f>
        <v>0.33926094665148016</v>
      </c>
      <c r="N43" s="66">
        <f>(Pars!N56+(D_AG_2!N14-Pars!N57)*Pars!N58)/Pars!N59</f>
        <v>0.32991150088499116</v>
      </c>
      <c r="O43" s="66">
        <f>(Pars!O56+(D_AG_2!O14-Pars!O57)*Pars!O58)/Pars!O59</f>
        <v>0.33534031125657615</v>
      </c>
      <c r="P43" s="66">
        <f>(Pars!P56+(D_AG_2!P14-Pars!P57)*Pars!P58)/Pars!P59</f>
        <v>0.34396387243353077</v>
      </c>
      <c r="Q43" s="66">
        <f>(Pars!Q56+(D_AG_2!Q14-Pars!Q57)*Pars!Q58)/Pars!Q59</f>
        <v>6.7999116011491847E-2</v>
      </c>
      <c r="R43" s="66">
        <f>(Pars!R56+(D_AG_2!R14-Pars!R57)*Pars!R58)/Pars!R59</f>
        <v>6.7999048013327817E-2</v>
      </c>
      <c r="S43" s="66">
        <f>(Pars!S56+(D_AG_2!S14-Pars!S57)*Pars!S58)/Pars!S59</f>
        <v>6.7998980015299776E-2</v>
      </c>
      <c r="T43" s="66">
        <f>(Pars!T56+(D_AG_2!T14-Pars!T57)*Pars!T58)/Pars!T59</f>
        <v>6.7998980015299776E-2</v>
      </c>
      <c r="U43" s="66">
        <f>(Pars!U56+(D_AG_2!U14-Pars!U57)*Pars!U58)/Pars!U59</f>
        <v>6.7998980015299776E-2</v>
      </c>
      <c r="V43" s="66">
        <f>(Pars!V56+(D_AG_2!V14-Pars!V57)*Pars!V58)/Pars!V59</f>
        <v>6.7998980015299776E-2</v>
      </c>
      <c r="W43" s="66">
        <f>(Pars!W56+(D_AG_2!W14-Pars!W57)*Pars!W58)/Pars!W59</f>
        <v>6.7998980015299776E-2</v>
      </c>
      <c r="X43" s="66">
        <f>(Pars!X56+(D_AG_2!X14-Pars!X57)*Pars!X58)/Pars!X59</f>
        <v>6.7998980015299776E-2</v>
      </c>
      <c r="Y43" s="66">
        <f>(Pars!Y56+(D_AG_2!Y14-Pars!Y57)*Pars!Y58)/Pars!Y59</f>
        <v>6.7998980015299776E-2</v>
      </c>
      <c r="Z43" s="66">
        <f>(Pars!Z56+(D_AG_2!Z14-Pars!Z57)*Pars!Z58)/Pars!Z59</f>
        <v>6.7998980015299776E-2</v>
      </c>
      <c r="AA43" s="66">
        <f>(Pars!AA56+(D_AG_2!AA14-Pars!AA57)*Pars!AA58)/Pars!AA59</f>
        <v>6.7998980015299776E-2</v>
      </c>
      <c r="AB43" s="66">
        <f>(Pars!AB56+(D_AG_2!AB14-Pars!AB57)*Pars!AB58)/Pars!AB59</f>
        <v>6.7998980015299776E-2</v>
      </c>
      <c r="AC43" s="66">
        <f>(Pars!AC56+(D_AG_2!AC14-Pars!AC57)*Pars!AC58)/Pars!AC59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88202.840219999998</v>
      </c>
      <c r="E44" s="43">
        <f>Pars!E37*E43*E6</f>
        <v>87250.296273303728</v>
      </c>
      <c r="F44" s="43">
        <f>Pars!F37*F43*F6</f>
        <v>88327.774685383949</v>
      </c>
      <c r="G44" s="43">
        <f>Pars!G37*G43*G6</f>
        <v>88199.469236258956</v>
      </c>
      <c r="H44" s="43">
        <f>Pars!H37*H43*H6</f>
        <v>84891.089167643324</v>
      </c>
      <c r="I44" s="43">
        <f>Pars!I37*I43*I6</f>
        <v>45869.043334783324</v>
      </c>
      <c r="J44" s="43">
        <f>Pars!J37*J43*J6</f>
        <v>80478.725900977923</v>
      </c>
      <c r="K44" s="43">
        <f>Pars!K37*K43*K6</f>
        <v>79797.745290449631</v>
      </c>
      <c r="L44" s="43">
        <f>Pars!L37*L43*L6</f>
        <v>80388.973154881431</v>
      </c>
      <c r="M44" s="43">
        <f>Pars!M37*M43*M6</f>
        <v>86019.613023482787</v>
      </c>
      <c r="N44" s="43">
        <f>Pars!N37*N43*N6</f>
        <v>80055.115129248705</v>
      </c>
      <c r="O44" s="63">
        <f>Pars!O37*O43*O6</f>
        <v>83766.444830440189</v>
      </c>
      <c r="P44" s="63">
        <f>Pars!P37*P43*P6</f>
        <v>85950.838989932105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42337.363305599996</v>
      </c>
      <c r="E45" s="43">
        <f>E44*Pars!E36/100</f>
        <v>41880.14221118579</v>
      </c>
      <c r="F45" s="43">
        <f>F44*Pars!F36/100</f>
        <v>42397.331848984293</v>
      </c>
      <c r="G45" s="43">
        <f>G44*Pars!G36/100</f>
        <v>42335.745233404305</v>
      </c>
      <c r="H45" s="43">
        <f>H44*Pars!H36/100</f>
        <v>40747.722800468793</v>
      </c>
      <c r="I45" s="43">
        <f>I44*Pars!I36/100</f>
        <v>22017.140800695997</v>
      </c>
      <c r="J45" s="43">
        <f>J44*Pars!J36/100</f>
        <v>38629.788432469402</v>
      </c>
      <c r="K45" s="43">
        <f>K44*Pars!K36/100</f>
        <v>38302.917739415818</v>
      </c>
      <c r="L45" s="43">
        <f>L44*Pars!L36/100</f>
        <v>38586.707114343088</v>
      </c>
      <c r="M45" s="43">
        <f>M44*Pars!M36/100</f>
        <v>41289.414251271737</v>
      </c>
      <c r="N45" s="43">
        <f>N44*Pars!N36/100</f>
        <v>38426.455262039381</v>
      </c>
      <c r="O45" s="63">
        <f>O44*Pars!O36/100</f>
        <v>40207.893518611294</v>
      </c>
      <c r="P45" s="63">
        <f>P44*Pars!P36/100</f>
        <v>41256.402715167409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2343.4863999999998</v>
      </c>
      <c r="E46" s="43">
        <f>Pars!E40*E15</f>
        <v>2312.5329999999999</v>
      </c>
      <c r="F46" s="43">
        <f>Pars!F40*F15</f>
        <v>3331.0792999999999</v>
      </c>
      <c r="G46" s="43">
        <f>Pars!G40*G15</f>
        <v>3692.4265999999998</v>
      </c>
      <c r="H46" s="43">
        <f>Pars!H40*H15</f>
        <v>3390.7431000000001</v>
      </c>
      <c r="I46" s="43">
        <f>Pars!I40*I15</f>
        <v>4237.6998999999996</v>
      </c>
      <c r="J46" s="43">
        <f>Pars!J40*J15</f>
        <v>7620.5924999999997</v>
      </c>
      <c r="K46" s="43">
        <f>Pars!K40*K15</f>
        <v>8237.6417999999994</v>
      </c>
      <c r="L46" s="43">
        <f>Pars!L40*L15</f>
        <v>7821.5653000000002</v>
      </c>
      <c r="M46" s="43">
        <f>Pars!M40*M15</f>
        <v>9120.0380000000005</v>
      </c>
      <c r="N46" s="43">
        <f>Pars!N40*N15</f>
        <v>9492.3760000000002</v>
      </c>
      <c r="O46" s="63">
        <f>Pars!O40*O15</f>
        <v>10713.240900000001</v>
      </c>
      <c r="P46" s="63">
        <f>Pars!P40*P15</f>
        <v>11120.5697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1366.5136</v>
      </c>
      <c r="E47" s="43">
        <f>Pars!E41*E16</f>
        <v>1366.9576</v>
      </c>
      <c r="F47" s="43">
        <f>Pars!F41*F16</f>
        <v>1385.9016000000001</v>
      </c>
      <c r="G47" s="43">
        <f>Pars!G41*G16</f>
        <v>1358.8176000000001</v>
      </c>
      <c r="H47" s="43">
        <f>Pars!H41*H16</f>
        <v>1381.9944</v>
      </c>
      <c r="I47" s="43">
        <f>Pars!I41*I16</f>
        <v>647.20400000000006</v>
      </c>
      <c r="J47" s="43">
        <f>Pars!J41*J16</f>
        <v>1368.7632000000001</v>
      </c>
      <c r="K47" s="43">
        <f>Pars!K41*K16</f>
        <v>1356.4792</v>
      </c>
      <c r="L47" s="43">
        <f>Pars!L41*L16</f>
        <v>1344.1952000000001</v>
      </c>
      <c r="M47" s="43">
        <f>Pars!M41*M16</f>
        <v>1419.6752000000001</v>
      </c>
      <c r="N47" s="43">
        <f>Pars!N41*N16</f>
        <v>1317.0224000000001</v>
      </c>
      <c r="O47" s="63">
        <f>Pars!O41*O16</f>
        <v>1360.8304000000001</v>
      </c>
      <c r="P47" s="63">
        <f>Pars!P41*P16</f>
        <v>1434.5048000000002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954.32</v>
      </c>
      <c r="E48" s="67">
        <f t="array" ref="E48">SUMPRODUCT(E33:E41,Pars!E44:E52)</f>
        <v>976.97</v>
      </c>
      <c r="F48" s="67">
        <f t="array" ref="F48">SUMPRODUCT(F33:F41,Pars!F44:F52)</f>
        <v>1652.48</v>
      </c>
      <c r="G48" s="67">
        <f t="array" ref="G48">SUMPRODUCT(G33:G41,Pars!G44:G52)</f>
        <v>2104.48</v>
      </c>
      <c r="H48" s="67">
        <f t="array" ref="H48">SUMPRODUCT(H33:H41,Pars!H44:H52)</f>
        <v>2817.01</v>
      </c>
      <c r="I48" s="67">
        <f t="array" ref="I48">SUMPRODUCT(I33:I41,Pars!I44:I52)</f>
        <v>1366.08</v>
      </c>
      <c r="J48" s="67">
        <f t="array" ref="J48">SUMPRODUCT(J33:J41,Pars!J44:J52)</f>
        <v>3189.8199999999997</v>
      </c>
      <c r="K48" s="67">
        <f t="array" ref="K48">SUMPRODUCT(K33:K41,Pars!K44:K52)</f>
        <v>3201.6139679999997</v>
      </c>
      <c r="L48" s="67">
        <f t="array" ref="L48">SUMPRODUCT(L33:L41,Pars!L44:L52)</f>
        <v>3440.8199999999997</v>
      </c>
      <c r="M48" s="67">
        <f t="array" ref="M48">SUMPRODUCT(M33:M41,Pars!M44:M52)</f>
        <v>3255.48</v>
      </c>
      <c r="N48" s="67">
        <f t="array" ref="N48">SUMPRODUCT(N33:N41,Pars!N44:N52)</f>
        <v>3282.9</v>
      </c>
      <c r="O48" s="67">
        <f t="array" ref="O48">SUMPRODUCT(O33:O41,Pars!O44:O52)</f>
        <v>3008.71</v>
      </c>
      <c r="P48" s="67">
        <f t="array" ref="P48">SUMPRODUCT(P33:P41,Pars!P44:P52)</f>
        <v>4112.5452692106637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4664.32</v>
      </c>
      <c r="E49" s="67">
        <f t="shared" ref="E49:AC49" si="1">SUM(E46:E48)</f>
        <v>4656.4606000000003</v>
      </c>
      <c r="F49" s="67">
        <f t="shared" si="1"/>
        <v>6369.4609</v>
      </c>
      <c r="G49" s="67">
        <f t="shared" si="1"/>
        <v>7155.7242000000006</v>
      </c>
      <c r="H49" s="67">
        <f t="shared" si="1"/>
        <v>7589.7475000000004</v>
      </c>
      <c r="I49" s="67">
        <f t="shared" si="1"/>
        <v>6250.9838999999993</v>
      </c>
      <c r="J49" s="67">
        <f t="shared" si="1"/>
        <v>12179.1757</v>
      </c>
      <c r="K49" s="67">
        <f t="shared" si="1"/>
        <v>12795.734967999999</v>
      </c>
      <c r="L49" s="67">
        <f t="shared" si="1"/>
        <v>12606.5805</v>
      </c>
      <c r="M49" s="67">
        <f t="shared" si="1"/>
        <v>13795.1932</v>
      </c>
      <c r="N49" s="67">
        <f t="shared" si="1"/>
        <v>14092.2984</v>
      </c>
      <c r="O49" s="67">
        <f t="shared" si="1"/>
        <v>15082.781300000002</v>
      </c>
      <c r="P49" s="67">
        <f t="shared" si="1"/>
        <v>16667.619769210665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37673.043305599997</v>
      </c>
      <c r="E50" s="70">
        <f t="shared" ref="E50:AC50" si="2">E45-E49</f>
        <v>37223.681611185792</v>
      </c>
      <c r="F50" s="70">
        <f t="shared" si="2"/>
        <v>36027.870948984295</v>
      </c>
      <c r="G50" s="70">
        <f t="shared" si="2"/>
        <v>35180.021033404308</v>
      </c>
      <c r="H50" s="70">
        <f t="shared" si="2"/>
        <v>33157.975300468795</v>
      </c>
      <c r="I50" s="70">
        <f t="shared" si="2"/>
        <v>15766.156900695998</v>
      </c>
      <c r="J50" s="70">
        <f t="shared" si="2"/>
        <v>26450.612732469403</v>
      </c>
      <c r="K50" s="70">
        <f t="shared" si="2"/>
        <v>25507.182771415821</v>
      </c>
      <c r="L50" s="70">
        <f t="shared" si="2"/>
        <v>25980.126614343088</v>
      </c>
      <c r="M50" s="70">
        <f t="shared" si="2"/>
        <v>27494.221051271736</v>
      </c>
      <c r="N50" s="70">
        <f t="shared" si="2"/>
        <v>24334.156862039381</v>
      </c>
      <c r="O50" s="70">
        <f t="shared" si="2"/>
        <v>25125.112218611292</v>
      </c>
      <c r="P50" s="70">
        <f t="shared" si="2"/>
        <v>24588.782945956744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160</v>
      </c>
      <c r="C58" s="46" t="s">
        <v>95</v>
      </c>
      <c r="D58" s="47">
        <v>0</v>
      </c>
      <c r="E58" s="47">
        <v>0</v>
      </c>
      <c r="F58" s="47">
        <v>0</v>
      </c>
      <c r="G58" s="47">
        <v>1143</v>
      </c>
      <c r="H58" s="47">
        <v>889</v>
      </c>
      <c r="I58" s="47">
        <v>390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1143</v>
      </c>
      <c r="H61" s="76">
        <f t="shared" si="3"/>
        <v>889</v>
      </c>
      <c r="I61" s="76">
        <f t="shared" si="3"/>
        <v>390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37673.043305599997</v>
      </c>
      <c r="E62" s="79">
        <f t="shared" ref="E62:AC62" si="4">E50+E61</f>
        <v>37223.681611185792</v>
      </c>
      <c r="F62" s="79">
        <f t="shared" si="4"/>
        <v>36027.870948984295</v>
      </c>
      <c r="G62" s="79">
        <f t="shared" si="4"/>
        <v>36323.021033404308</v>
      </c>
      <c r="H62" s="79">
        <f t="shared" si="4"/>
        <v>34046.975300468795</v>
      </c>
      <c r="I62" s="79">
        <f t="shared" si="4"/>
        <v>16156.156900695998</v>
      </c>
      <c r="J62" s="79">
        <f t="shared" si="4"/>
        <v>26450.612732469403</v>
      </c>
      <c r="K62" s="79">
        <f t="shared" si="4"/>
        <v>25507.182771415821</v>
      </c>
      <c r="L62" s="79">
        <f t="shared" si="4"/>
        <v>25980.126614343088</v>
      </c>
      <c r="M62" s="79">
        <f t="shared" si="4"/>
        <v>27494.221051271736</v>
      </c>
      <c r="N62" s="79">
        <f t="shared" si="4"/>
        <v>24334.156862039381</v>
      </c>
      <c r="O62" s="79">
        <f t="shared" si="4"/>
        <v>25125.112218611292</v>
      </c>
      <c r="P62" s="79">
        <f t="shared" si="4"/>
        <v>24588.782945956744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88" priority="5" operator="containsText" text="Nein">
      <formula>NOT(ISERROR(SEARCH("Nein",D22)))</formula>
    </cfRule>
  </conditionalFormatting>
  <conditionalFormatting sqref="D31:AC31">
    <cfRule type="cellIs" dxfId="187" priority="6" operator="equal">
      <formula>"ok"</formula>
    </cfRule>
  </conditionalFormatting>
  <conditionalFormatting sqref="H5:AC12 H14:AC16 H18:AC19 H33:AC41">
    <cfRule type="cellIs" dxfId="186" priority="4" operator="greaterThan">
      <formula>0</formula>
    </cfRule>
  </conditionalFormatting>
  <conditionalFormatting sqref="H6:AC12">
    <cfRule type="expression" dxfId="185" priority="3">
      <formula>NOT(ISBLANK(H6))</formula>
    </cfRule>
  </conditionalFormatting>
  <conditionalFormatting sqref="H18:AC19">
    <cfRule type="expression" dxfId="184" priority="2">
      <formula>NOT(ISBLANK(H18))</formula>
    </cfRule>
  </conditionalFormatting>
  <conditionalFormatting sqref="H56:AC60">
    <cfRule type="cellIs" dxfId="183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0D6A72A4-AC3B-4EF3-B52F-677457D243D7}">
      <formula1>"Ja, Nein"</formula1>
    </dataValidation>
  </dataValidation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EED1B-8601-40E4-8B07-534FA1CD0105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195</v>
      </c>
      <c r="D1" s="32"/>
      <c r="E1" s="32"/>
    </row>
    <row r="2" spans="1:30" x14ac:dyDescent="0.3">
      <c r="A2" s="30"/>
      <c r="B2" s="31" t="s">
        <v>86</v>
      </c>
      <c r="C2" s="33" t="s">
        <v>196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143601</v>
      </c>
      <c r="E5" s="42">
        <v>143601</v>
      </c>
      <c r="F5" s="42">
        <v>143601</v>
      </c>
      <c r="G5" s="42">
        <v>143601</v>
      </c>
      <c r="H5" s="43">
        <v>143601</v>
      </c>
      <c r="I5" s="43">
        <v>142727</v>
      </c>
      <c r="J5" s="43">
        <v>141291</v>
      </c>
      <c r="K5" s="43">
        <v>140443.38576309592</v>
      </c>
      <c r="L5" s="43">
        <v>141062</v>
      </c>
      <c r="M5" s="43">
        <v>142205</v>
      </c>
      <c r="N5" s="43">
        <v>143506</v>
      </c>
      <c r="O5" s="43">
        <v>144806</v>
      </c>
      <c r="P5" s="43">
        <v>145280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139597</v>
      </c>
      <c r="E6" s="42">
        <v>144763</v>
      </c>
      <c r="F6" s="42">
        <v>144906</v>
      </c>
      <c r="G6" s="42">
        <v>150476</v>
      </c>
      <c r="H6" s="47">
        <v>148580</v>
      </c>
      <c r="I6" s="47">
        <v>142959</v>
      </c>
      <c r="J6" s="47">
        <v>148533</v>
      </c>
      <c r="K6" s="47">
        <v>146033</v>
      </c>
      <c r="L6" s="47">
        <v>147362</v>
      </c>
      <c r="M6" s="47">
        <v>150094</v>
      </c>
      <c r="N6" s="47">
        <v>150024</v>
      </c>
      <c r="O6" s="47">
        <v>145742</v>
      </c>
      <c r="P6" s="47">
        <v>148513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0</v>
      </c>
      <c r="E7" s="42">
        <v>0</v>
      </c>
      <c r="F7" s="42">
        <v>0</v>
      </c>
      <c r="G7" s="42">
        <v>0</v>
      </c>
      <c r="H7" s="47">
        <v>0</v>
      </c>
      <c r="I7" s="47">
        <v>0</v>
      </c>
      <c r="J7" s="47">
        <v>0</v>
      </c>
      <c r="K7" s="47">
        <v>0</v>
      </c>
      <c r="L7" s="47">
        <v>0</v>
      </c>
      <c r="M7" s="47">
        <v>0</v>
      </c>
      <c r="N7" s="47">
        <v>0</v>
      </c>
      <c r="O7" s="47">
        <v>0</v>
      </c>
      <c r="P7" s="47">
        <v>0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>
        <v>40000</v>
      </c>
      <c r="E8" s="42">
        <v>41305</v>
      </c>
      <c r="F8" s="42">
        <v>42277</v>
      </c>
      <c r="G8" s="42">
        <v>39899</v>
      </c>
      <c r="H8" s="47">
        <v>41489</v>
      </c>
      <c r="I8" s="47">
        <v>43978</v>
      </c>
      <c r="J8" s="47">
        <v>47374</v>
      </c>
      <c r="K8" s="47">
        <v>50354</v>
      </c>
      <c r="L8" s="47">
        <v>46271</v>
      </c>
      <c r="M8" s="47">
        <v>45264</v>
      </c>
      <c r="N8" s="47">
        <v>45430</v>
      </c>
      <c r="O8" s="47">
        <v>41397</v>
      </c>
      <c r="P8" s="47">
        <v>42279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>
        <v>1000</v>
      </c>
      <c r="E9" s="42">
        <v>1087</v>
      </c>
      <c r="F9" s="42">
        <v>0</v>
      </c>
      <c r="G9" s="42">
        <v>0</v>
      </c>
      <c r="H9" s="47"/>
      <c r="I9" s="47">
        <v>41</v>
      </c>
      <c r="J9" s="47">
        <v>0</v>
      </c>
      <c r="K9" s="47">
        <v>0</v>
      </c>
      <c r="L9" s="47">
        <v>0</v>
      </c>
      <c r="M9" s="47">
        <v>0</v>
      </c>
      <c r="N9" s="47">
        <v>0</v>
      </c>
      <c r="O9" s="47">
        <v>428</v>
      </c>
      <c r="P9" s="47">
        <v>302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>
        <v>3000</v>
      </c>
      <c r="E10" s="42">
        <v>3349</v>
      </c>
      <c r="F10" s="42">
        <v>1486</v>
      </c>
      <c r="G10" s="42">
        <v>1588</v>
      </c>
      <c r="H10" s="47">
        <v>441</v>
      </c>
      <c r="I10" s="47">
        <v>14992</v>
      </c>
      <c r="J10" s="47">
        <v>12297</v>
      </c>
      <c r="K10" s="47">
        <v>4649</v>
      </c>
      <c r="L10" s="47">
        <v>8536</v>
      </c>
      <c r="M10" s="47">
        <v>9542</v>
      </c>
      <c r="N10" s="47">
        <v>9526</v>
      </c>
      <c r="O10" s="47">
        <v>8848</v>
      </c>
      <c r="P10" s="47">
        <v>9636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>
        <v>6535</v>
      </c>
      <c r="G11" s="42">
        <v>2579</v>
      </c>
      <c r="H11" s="47">
        <v>6360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v>0</v>
      </c>
      <c r="O11" s="47"/>
      <c r="P11" s="47">
        <v>0</v>
      </c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11.563000000000001</v>
      </c>
      <c r="E14" s="51">
        <v>12.019</v>
      </c>
      <c r="F14" s="51">
        <v>11.622999999999999</v>
      </c>
      <c r="G14" s="51">
        <v>11.52</v>
      </c>
      <c r="H14" s="43">
        <v>12.17</v>
      </c>
      <c r="I14" s="43">
        <v>12.48</v>
      </c>
      <c r="J14" s="43">
        <v>12.38</v>
      </c>
      <c r="K14" s="43">
        <v>12.36</v>
      </c>
      <c r="L14" s="43">
        <v>12</v>
      </c>
      <c r="M14" s="43">
        <v>12.04</v>
      </c>
      <c r="N14" s="43">
        <v>11.845000000000001</v>
      </c>
      <c r="O14" s="43">
        <v>11.66</v>
      </c>
      <c r="P14" s="43">
        <v>11.67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192739</v>
      </c>
      <c r="E15" s="42">
        <v>193800</v>
      </c>
      <c r="F15" s="42">
        <v>191375</v>
      </c>
      <c r="G15" s="42">
        <v>204958</v>
      </c>
      <c r="H15" s="47">
        <v>199451</v>
      </c>
      <c r="I15" s="47">
        <f>197933+2883</f>
        <v>200816</v>
      </c>
      <c r="J15" s="47">
        <v>205232</v>
      </c>
      <c r="K15" s="47">
        <v>205823</v>
      </c>
      <c r="L15" s="47">
        <v>201435</v>
      </c>
      <c r="M15" s="47">
        <f>189924+2782</f>
        <v>192706</v>
      </c>
      <c r="N15" s="47">
        <v>185158</v>
      </c>
      <c r="O15" s="47">
        <v>171327</v>
      </c>
      <c r="P15" s="47">
        <f>175718+2931</f>
        <v>178649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31350</v>
      </c>
      <c r="E16" s="42">
        <v>39133</v>
      </c>
      <c r="F16" s="42">
        <v>39527</v>
      </c>
      <c r="G16" s="42">
        <v>38127</v>
      </c>
      <c r="H16" s="47">
        <v>40176</v>
      </c>
      <c r="I16" s="47">
        <v>39873</v>
      </c>
      <c r="J16" s="47">
        <v>43513</v>
      </c>
      <c r="K16" s="47">
        <v>41327</v>
      </c>
      <c r="L16" s="47">
        <v>43982</v>
      </c>
      <c r="M16" s="47">
        <v>48452</v>
      </c>
      <c r="N16" s="47">
        <v>51393</v>
      </c>
      <c r="O16" s="47">
        <v>45373</v>
      </c>
      <c r="P16" s="47">
        <v>49780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33976</v>
      </c>
      <c r="E18" s="42">
        <v>33921</v>
      </c>
      <c r="F18" s="42">
        <v>37185</v>
      </c>
      <c r="G18" s="42">
        <v>35477</v>
      </c>
      <c r="H18" s="43">
        <v>36723</v>
      </c>
      <c r="I18" s="43">
        <v>37208</v>
      </c>
      <c r="J18" s="43">
        <v>39246</v>
      </c>
      <c r="K18" s="43">
        <v>35341</v>
      </c>
      <c r="L18" s="43">
        <v>35104</v>
      </c>
      <c r="M18" s="43">
        <v>32444</v>
      </c>
      <c r="N18" s="43">
        <v>35801</v>
      </c>
      <c r="O18" s="43">
        <v>34609</v>
      </c>
      <c r="P18" s="43">
        <v>27091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4010</v>
      </c>
      <c r="E19" s="42">
        <v>4163</v>
      </c>
      <c r="F19" s="42">
        <v>4053</v>
      </c>
      <c r="G19" s="42">
        <v>4438</v>
      </c>
      <c r="H19" s="47">
        <v>3485</v>
      </c>
      <c r="I19" s="47">
        <v>2775</v>
      </c>
      <c r="J19" s="47">
        <v>3054</v>
      </c>
      <c r="K19" s="47">
        <v>2994</v>
      </c>
      <c r="L19" s="47">
        <v>2742</v>
      </c>
      <c r="M19" s="47">
        <v>2770</v>
      </c>
      <c r="N19" s="47">
        <v>2636</v>
      </c>
      <c r="O19" s="47">
        <v>2644</v>
      </c>
      <c r="P19" s="47">
        <v>2830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112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112</v>
      </c>
      <c r="F23" s="59" t="s">
        <v>112</v>
      </c>
      <c r="G23" s="59" t="s">
        <v>112</v>
      </c>
      <c r="H23" s="59" t="s">
        <v>112</v>
      </c>
      <c r="I23" s="59" t="s">
        <v>112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112</v>
      </c>
      <c r="K26" s="59" t="s">
        <v>112</v>
      </c>
      <c r="L26" s="59" t="s">
        <v>112</v>
      </c>
      <c r="M26" s="59" t="s">
        <v>112</v>
      </c>
      <c r="N26" s="59" t="s">
        <v>112</v>
      </c>
      <c r="O26" s="59" t="s">
        <v>112</v>
      </c>
      <c r="P26" s="59" t="s">
        <v>112</v>
      </c>
      <c r="Q26" s="59" t="s">
        <v>112</v>
      </c>
      <c r="R26" s="59" t="s">
        <v>112</v>
      </c>
      <c r="S26" s="59" t="s">
        <v>112</v>
      </c>
      <c r="T26" s="59" t="s">
        <v>112</v>
      </c>
      <c r="U26" s="59" t="s">
        <v>112</v>
      </c>
      <c r="V26" s="59" t="s">
        <v>112</v>
      </c>
      <c r="W26" s="59" t="s">
        <v>112</v>
      </c>
      <c r="X26" s="59" t="s">
        <v>112</v>
      </c>
      <c r="Y26" s="59" t="s">
        <v>112</v>
      </c>
      <c r="Z26" s="59" t="s">
        <v>112</v>
      </c>
      <c r="AA26" s="59" t="s">
        <v>112</v>
      </c>
      <c r="AB26" s="59" t="s">
        <v>112</v>
      </c>
      <c r="AC26" s="59" t="s">
        <v>112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1500</v>
      </c>
      <c r="E33" s="47">
        <v>2205</v>
      </c>
      <c r="F33" s="47">
        <v>2294</v>
      </c>
      <c r="G33" s="47">
        <v>1703</v>
      </c>
      <c r="H33" s="43">
        <v>1855</v>
      </c>
      <c r="I33" s="43">
        <v>2270</v>
      </c>
      <c r="J33" s="43">
        <v>2786</v>
      </c>
      <c r="K33" s="43">
        <v>2021</v>
      </c>
      <c r="L33" s="43">
        <v>2371</v>
      </c>
      <c r="M33" s="43">
        <v>2586</v>
      </c>
      <c r="N33" s="43">
        <v>2687</v>
      </c>
      <c r="O33" s="63">
        <v>2739</v>
      </c>
      <c r="P33" s="63">
        <v>2787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392</v>
      </c>
      <c r="K34" s="47">
        <v>429</v>
      </c>
      <c r="L34" s="47">
        <v>706</v>
      </c>
      <c r="M34" s="47">
        <v>632</v>
      </c>
      <c r="N34" s="47">
        <v>645</v>
      </c>
      <c r="O34" s="64">
        <v>732</v>
      </c>
      <c r="P34" s="64">
        <v>730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/>
      <c r="H37" s="47"/>
      <c r="I37" s="47"/>
      <c r="J37" s="47">
        <v>56</v>
      </c>
      <c r="K37" s="47">
        <v>51</v>
      </c>
      <c r="L37" s="47">
        <v>50</v>
      </c>
      <c r="M37" s="47">
        <v>52</v>
      </c>
      <c r="N37" s="47">
        <v>76</v>
      </c>
      <c r="O37" s="64">
        <v>60</v>
      </c>
      <c r="P37" s="64">
        <v>60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300</v>
      </c>
      <c r="E41" s="47">
        <v>678</v>
      </c>
      <c r="F41" s="47">
        <v>651</v>
      </c>
      <c r="G41" s="47">
        <v>713</v>
      </c>
      <c r="H41" s="47">
        <v>745</v>
      </c>
      <c r="I41" s="47">
        <v>688</v>
      </c>
      <c r="J41" s="47">
        <v>314</v>
      </c>
      <c r="K41" s="47">
        <v>343</v>
      </c>
      <c r="L41" s="47">
        <v>248</v>
      </c>
      <c r="M41" s="47">
        <v>181</v>
      </c>
      <c r="N41" s="47">
        <v>154</v>
      </c>
      <c r="O41" s="64">
        <v>142</v>
      </c>
      <c r="P41" s="64">
        <v>133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(Pars!D56+(D_TG_1!D14-Pars!D57)*Pars!D58)/Pars!D59</f>
        <v>0.29463479999999997</v>
      </c>
      <c r="E43" s="66">
        <f>(Pars!E56+(D_TG_1!E14-Pars!E57)*Pars!E58)/Pars!E59</f>
        <v>0.30357209642790361</v>
      </c>
      <c r="F43" s="66">
        <f>(Pars!F56+(D_TG_1!F14-Pars!F57)*Pars!F58)/Pars!F59</f>
        <v>0.29581020837958322</v>
      </c>
      <c r="G43" s="66">
        <f>(Pars!G56+(D_TG_1!G14-Pars!G57)*Pars!G58)/Pars!G59</f>
        <v>0.29379111862664414</v>
      </c>
      <c r="H43" s="66">
        <f>(Pars!H56+(D_TG_1!H14-Pars!H57)*Pars!H58)/Pars!H59</f>
        <v>0.30653077387690447</v>
      </c>
      <c r="I43" s="66">
        <f>(Pars!I56+(D_TG_1!I14-Pars!I57)*Pars!I58)/Pars!I59</f>
        <v>0.31260643696781515</v>
      </c>
      <c r="J43" s="66">
        <f>(Pars!J56+(D_TG_1!J14-Pars!J57)*Pars!J58)/Pars!J59</f>
        <v>0.31064613612318326</v>
      </c>
      <c r="K43" s="66">
        <f>(Pars!K56+(D_TG_1!K14-Pars!K57)*Pars!K58)/Pars!K59</f>
        <v>0.31025382822320241</v>
      </c>
      <c r="L43" s="66">
        <f>(Pars!L56+(D_TG_1!L14-Pars!L57)*Pars!L58)/Pars!L59</f>
        <v>0.30319757441940465</v>
      </c>
      <c r="M43" s="66">
        <f>(Pars!M56+(D_TG_1!M14-Pars!M57)*Pars!M58)/Pars!M59</f>
        <v>0.30398126416862248</v>
      </c>
      <c r="N43" s="66">
        <f>(Pars!N56+(D_TG_1!N14-Pars!N57)*Pars!N58)/Pars!N59</f>
        <v>0.30015899841001592</v>
      </c>
      <c r="O43" s="66">
        <f>(Pars!O56+(D_TG_1!O14-Pars!O57)*Pars!O58)/Pars!O59</f>
        <v>0.29653273813988046</v>
      </c>
      <c r="P43" s="66">
        <f>(Pars!P56+(D_TG_1!P14-Pars!P57)*Pars!P58)/Pars!P59</f>
        <v>0.29672843925872888</v>
      </c>
      <c r="Q43" s="66">
        <f>(Pars!Q56+(D_TG_1!Q14-Pars!Q57)*Pars!Q58)/Pars!Q59</f>
        <v>6.7999116011491847E-2</v>
      </c>
      <c r="R43" s="66">
        <f>(Pars!R56+(D_TG_1!R14-Pars!R57)*Pars!R58)/Pars!R59</f>
        <v>6.7999048013327817E-2</v>
      </c>
      <c r="S43" s="66">
        <f>(Pars!S56+(D_TG_1!S14-Pars!S57)*Pars!S58)/Pars!S59</f>
        <v>6.7998980015299776E-2</v>
      </c>
      <c r="T43" s="66">
        <f>(Pars!T56+(D_TG_1!T14-Pars!T57)*Pars!T58)/Pars!T59</f>
        <v>6.7998980015299776E-2</v>
      </c>
      <c r="U43" s="66">
        <f>(Pars!U56+(D_TG_1!U14-Pars!U57)*Pars!U58)/Pars!U59</f>
        <v>6.7998980015299776E-2</v>
      </c>
      <c r="V43" s="66">
        <f>(Pars!V56+(D_TG_1!V14-Pars!V57)*Pars!V58)/Pars!V59</f>
        <v>6.7998980015299776E-2</v>
      </c>
      <c r="W43" s="66">
        <f>(Pars!W56+(D_TG_1!W14-Pars!W57)*Pars!W58)/Pars!W59</f>
        <v>6.7998980015299776E-2</v>
      </c>
      <c r="X43" s="66">
        <f>(Pars!X56+(D_TG_1!X14-Pars!X57)*Pars!X58)/Pars!X59</f>
        <v>6.7998980015299776E-2</v>
      </c>
      <c r="Y43" s="66">
        <f>(Pars!Y56+(D_TG_1!Y14-Pars!Y57)*Pars!Y58)/Pars!Y59</f>
        <v>6.7998980015299776E-2</v>
      </c>
      <c r="Z43" s="66">
        <f>(Pars!Z56+(D_TG_1!Z14-Pars!Z57)*Pars!Z58)/Pars!Z59</f>
        <v>6.7998980015299776E-2</v>
      </c>
      <c r="AA43" s="66">
        <f>(Pars!AA56+(D_TG_1!AA14-Pars!AA57)*Pars!AA58)/Pars!AA59</f>
        <v>6.7998980015299776E-2</v>
      </c>
      <c r="AB43" s="66">
        <f>(Pars!AB56+(D_TG_1!AB14-Pars!AB57)*Pars!AB58)/Pars!AB59</f>
        <v>6.7998980015299776E-2</v>
      </c>
      <c r="AC43" s="66">
        <f>(Pars!AC56+(D_TG_1!AC14-Pars!AC57)*Pars!AC58)/Pars!AC59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150810.4919772</v>
      </c>
      <c r="E44" s="43">
        <f>Pars!E37*E43*E6</f>
        <v>161135.36044903958</v>
      </c>
      <c r="F44" s="43">
        <f>Pars!F37*F43*F6</f>
        <v>157170.47153665693</v>
      </c>
      <c r="G44" s="43">
        <f>Pars!G37*G43*G6</f>
        <v>162097.87867703065</v>
      </c>
      <c r="H44" s="43">
        <f>Pars!H37*H43*H6</f>
        <v>166995.92206964505</v>
      </c>
      <c r="I44" s="43">
        <f>Pars!I37*I43*I6</f>
        <v>163862.97994910026</v>
      </c>
      <c r="J44" s="43">
        <f>Pars!J37*J43*J6</f>
        <v>169184.40930154416</v>
      </c>
      <c r="K44" s="43">
        <f>Pars!K37*K43*K6</f>
        <v>166126.75675536937</v>
      </c>
      <c r="L44" s="43">
        <f>Pars!L37*L43*L6</f>
        <v>163825.93685917178</v>
      </c>
      <c r="M44" s="43">
        <f>Pars!M37*M43*M6</f>
        <v>167294.46750179247</v>
      </c>
      <c r="N44" s="43">
        <f>Pars!N37*N43*N6</f>
        <v>165113.8631173688</v>
      </c>
      <c r="O44" s="63">
        <f>Pars!O37*O43*O6</f>
        <v>158463.33918060234</v>
      </c>
      <c r="P44" s="63">
        <f>Pars!P37*P43*P6</f>
        <v>161582.77923198251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72389.036149055988</v>
      </c>
      <c r="E45" s="43">
        <f>E44*Pars!E36/100</f>
        <v>77344.973015538999</v>
      </c>
      <c r="F45" s="43">
        <f>F44*Pars!F36/100</f>
        <v>75441.826337595325</v>
      </c>
      <c r="G45" s="43">
        <f>G44*Pars!G36/100</f>
        <v>77806.981764974713</v>
      </c>
      <c r="H45" s="43">
        <f>H44*Pars!H36/100</f>
        <v>80158.042593429622</v>
      </c>
      <c r="I45" s="43">
        <f>I44*Pars!I36/100</f>
        <v>78654.230375568121</v>
      </c>
      <c r="J45" s="43">
        <f>J44*Pars!J36/100</f>
        <v>81208.516464741188</v>
      </c>
      <c r="K45" s="43">
        <f>K44*Pars!K36/100</f>
        <v>79740.843242577292</v>
      </c>
      <c r="L45" s="43">
        <f>L44*Pars!L36/100</f>
        <v>78636.449692402457</v>
      </c>
      <c r="M45" s="43">
        <f>M44*Pars!M36/100</f>
        <v>80301.344400860384</v>
      </c>
      <c r="N45" s="43">
        <f>N44*Pars!N36/100</f>
        <v>79254.65429633703</v>
      </c>
      <c r="O45" s="63">
        <f>O44*Pars!O36/100</f>
        <v>76062.402806689119</v>
      </c>
      <c r="P45" s="63">
        <f>P44*Pars!P36/100</f>
        <v>77559.734031351603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43231.3577</v>
      </c>
      <c r="E46" s="43">
        <f>Pars!E40*E15</f>
        <v>43469.34</v>
      </c>
      <c r="F46" s="43">
        <f>Pars!F40*F15</f>
        <v>42925.412499999999</v>
      </c>
      <c r="G46" s="43">
        <f>Pars!G40*G15</f>
        <v>45972.079400000002</v>
      </c>
      <c r="H46" s="43">
        <f>Pars!H40*H15</f>
        <v>44736.859299999996</v>
      </c>
      <c r="I46" s="43">
        <f>Pars!I40*I15</f>
        <v>45043.0288</v>
      </c>
      <c r="J46" s="43">
        <f>Pars!J40*J15</f>
        <v>46033.537600000003</v>
      </c>
      <c r="K46" s="43">
        <f>Pars!K40*K15</f>
        <v>46166.098899999997</v>
      </c>
      <c r="L46" s="43">
        <f>Pars!L40*L15</f>
        <v>45181.870499999997</v>
      </c>
      <c r="M46" s="43">
        <f>Pars!M40*M15</f>
        <v>43223.955800000003</v>
      </c>
      <c r="N46" s="43">
        <f>Pars!N40*N15</f>
        <v>41530.939400000003</v>
      </c>
      <c r="O46" s="63">
        <f>Pars!O40*O15</f>
        <v>38428.646099999998</v>
      </c>
      <c r="P46" s="63">
        <f>Pars!P40*P15</f>
        <v>40070.970699999998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927.96</v>
      </c>
      <c r="E47" s="43">
        <f>Pars!E41*E16</f>
        <v>1158.3368</v>
      </c>
      <c r="F47" s="43">
        <f>Pars!F41*F16</f>
        <v>1169.9992</v>
      </c>
      <c r="G47" s="43">
        <f>Pars!G41*G16</f>
        <v>1128.5592000000001</v>
      </c>
      <c r="H47" s="43">
        <f>Pars!H41*H16</f>
        <v>1189.2096000000001</v>
      </c>
      <c r="I47" s="43">
        <f>Pars!I41*I16</f>
        <v>1180.2408</v>
      </c>
      <c r="J47" s="43">
        <f>Pars!J41*J16</f>
        <v>1287.9848</v>
      </c>
      <c r="K47" s="43">
        <f>Pars!K41*K16</f>
        <v>1223.2791999999999</v>
      </c>
      <c r="L47" s="43">
        <f>Pars!L41*L16</f>
        <v>1301.8672000000001</v>
      </c>
      <c r="M47" s="43">
        <f>Pars!M41*M16</f>
        <v>1434.1792</v>
      </c>
      <c r="N47" s="43">
        <f>Pars!N41*N16</f>
        <v>1521.2328</v>
      </c>
      <c r="O47" s="63">
        <f>Pars!O41*O16</f>
        <v>1343.0408</v>
      </c>
      <c r="P47" s="63">
        <f>Pars!P41*P16</f>
        <v>1473.4880000000001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3765</v>
      </c>
      <c r="E48" s="67">
        <f t="array" ref="E48">SUMPRODUCT(E33:E41,Pars!E44:E52)</f>
        <v>6719.55</v>
      </c>
      <c r="F48" s="67">
        <f t="array" ref="F48">SUMPRODUCT(F33:F41,Pars!F44:F52)</f>
        <v>6718.9400000000005</v>
      </c>
      <c r="G48" s="67">
        <f t="array" ref="G48">SUMPRODUCT(G33:G41,Pars!G44:G52)</f>
        <v>6136.5300000000007</v>
      </c>
      <c r="H48" s="67">
        <f t="array" ref="H48">SUMPRODUCT(H33:H41,Pars!H44:H52)</f>
        <v>6526.05</v>
      </c>
      <c r="I48" s="67">
        <f t="array" ref="I48">SUMPRODUCT(I33:I41,Pars!I44:I52)</f>
        <v>6867.7</v>
      </c>
      <c r="J48" s="67">
        <f t="array" ref="J48">SUMPRODUCT(J33:J41,Pars!J44:J52)</f>
        <v>9319.98</v>
      </c>
      <c r="K48" s="67">
        <f t="array" ref="K48">SUMPRODUCT(K33:K41,Pars!K44:K52)</f>
        <v>8619.16</v>
      </c>
      <c r="L48" s="67">
        <f t="array" ref="L48">SUMPRODUCT(L33:L41,Pars!L44:L52)</f>
        <v>11077.349999999999</v>
      </c>
      <c r="M48" s="67">
        <f t="array" ref="M48">SUMPRODUCT(M33:M41,Pars!M44:M52)</f>
        <v>10428.82</v>
      </c>
      <c r="N48" s="67">
        <f t="array" ref="N48">SUMPRODUCT(N33:N41,Pars!N44:N52)</f>
        <v>10617.859999999999</v>
      </c>
      <c r="O48" s="67">
        <f t="array" ref="O48">SUMPRODUCT(O33:O41,Pars!O44:O52)</f>
        <v>11353.37</v>
      </c>
      <c r="P48" s="67">
        <f t="array" ref="P48">SUMPRODUCT(P33:P41,Pars!P44:P52)</f>
        <v>11363.47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47924.3177</v>
      </c>
      <c r="E49" s="67">
        <f t="shared" ref="E49:AC49" si="1">SUM(E46:E48)</f>
        <v>51347.226799999997</v>
      </c>
      <c r="F49" s="67">
        <f t="shared" si="1"/>
        <v>50814.351699999999</v>
      </c>
      <c r="G49" s="67">
        <f t="shared" si="1"/>
        <v>53237.168600000005</v>
      </c>
      <c r="H49" s="67">
        <f t="shared" si="1"/>
        <v>52452.118900000001</v>
      </c>
      <c r="I49" s="67">
        <f t="shared" si="1"/>
        <v>53090.969599999997</v>
      </c>
      <c r="J49" s="67">
        <f t="shared" si="1"/>
        <v>56641.502399999998</v>
      </c>
      <c r="K49" s="67">
        <f t="shared" si="1"/>
        <v>56008.538099999991</v>
      </c>
      <c r="L49" s="67">
        <f t="shared" si="1"/>
        <v>57561.087699999996</v>
      </c>
      <c r="M49" s="67">
        <f t="shared" si="1"/>
        <v>55086.955000000002</v>
      </c>
      <c r="N49" s="67">
        <f t="shared" si="1"/>
        <v>53670.032200000001</v>
      </c>
      <c r="O49" s="67">
        <f t="shared" si="1"/>
        <v>51125.056900000003</v>
      </c>
      <c r="P49" s="67">
        <f t="shared" si="1"/>
        <v>52907.928699999997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24464.718449055988</v>
      </c>
      <c r="E50" s="70">
        <f t="shared" ref="E50:AC50" si="2">E45-E49</f>
        <v>25997.746215539002</v>
      </c>
      <c r="F50" s="70">
        <f t="shared" si="2"/>
        <v>24627.474637595325</v>
      </c>
      <c r="G50" s="70">
        <f t="shared" si="2"/>
        <v>24569.813164974708</v>
      </c>
      <c r="H50" s="70">
        <f t="shared" si="2"/>
        <v>27705.92369342962</v>
      </c>
      <c r="I50" s="70">
        <f t="shared" si="2"/>
        <v>25563.260775568124</v>
      </c>
      <c r="J50" s="70">
        <f t="shared" si="2"/>
        <v>24567.01406474119</v>
      </c>
      <c r="K50" s="70">
        <f t="shared" si="2"/>
        <v>23732.305142577301</v>
      </c>
      <c r="L50" s="70">
        <f t="shared" si="2"/>
        <v>21075.361992402461</v>
      </c>
      <c r="M50" s="70">
        <f t="shared" si="2"/>
        <v>25214.389400860382</v>
      </c>
      <c r="N50" s="70">
        <f t="shared" si="2"/>
        <v>25584.622096337029</v>
      </c>
      <c r="O50" s="70">
        <f t="shared" si="2"/>
        <v>24937.345906689116</v>
      </c>
      <c r="P50" s="70">
        <f t="shared" si="2"/>
        <v>24651.805331351607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24464.718449055988</v>
      </c>
      <c r="E62" s="79">
        <f t="shared" ref="E62:AC62" si="4">E50+E61</f>
        <v>25997.746215539002</v>
      </c>
      <c r="F62" s="79">
        <f t="shared" si="4"/>
        <v>24627.474637595325</v>
      </c>
      <c r="G62" s="79">
        <f t="shared" si="4"/>
        <v>24569.813164974708</v>
      </c>
      <c r="H62" s="79">
        <f t="shared" si="4"/>
        <v>27705.92369342962</v>
      </c>
      <c r="I62" s="79">
        <f t="shared" si="4"/>
        <v>25563.260775568124</v>
      </c>
      <c r="J62" s="79">
        <f t="shared" si="4"/>
        <v>24567.01406474119</v>
      </c>
      <c r="K62" s="79">
        <f t="shared" si="4"/>
        <v>23732.305142577301</v>
      </c>
      <c r="L62" s="79">
        <f t="shared" si="4"/>
        <v>21075.361992402461</v>
      </c>
      <c r="M62" s="79">
        <f t="shared" si="4"/>
        <v>25214.389400860382</v>
      </c>
      <c r="N62" s="79">
        <f t="shared" si="4"/>
        <v>25584.622096337029</v>
      </c>
      <c r="O62" s="79">
        <f t="shared" si="4"/>
        <v>24937.345906689116</v>
      </c>
      <c r="P62" s="79">
        <f t="shared" si="4"/>
        <v>24651.805331351607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80" priority="5" operator="containsText" text="Nein">
      <formula>NOT(ISERROR(SEARCH("Nein",D22)))</formula>
    </cfRule>
  </conditionalFormatting>
  <conditionalFormatting sqref="D31:AC31">
    <cfRule type="cellIs" dxfId="79" priority="6" operator="equal">
      <formula>"ok"</formula>
    </cfRule>
  </conditionalFormatting>
  <conditionalFormatting sqref="H5:AC12 H14:AC16 H18:AC19 H33:AC41">
    <cfRule type="cellIs" dxfId="78" priority="4" operator="greaterThan">
      <formula>0</formula>
    </cfRule>
  </conditionalFormatting>
  <conditionalFormatting sqref="H6:AC12">
    <cfRule type="expression" dxfId="77" priority="3">
      <formula>NOT(ISBLANK(H6))</formula>
    </cfRule>
  </conditionalFormatting>
  <conditionalFormatting sqref="H18:AC19">
    <cfRule type="expression" dxfId="76" priority="2">
      <formula>NOT(ISBLANK(H18))</formula>
    </cfRule>
  </conditionalFormatting>
  <conditionalFormatting sqref="H56:AC60">
    <cfRule type="cellIs" dxfId="75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1F3DB074-1CAD-469E-9E5B-F34B63C423E9}">
      <formula1>"Ja, Nein"</formula1>
    </dataValidation>
  </dataValidation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D759B-57C4-4E0C-9694-ADE14A66A53B}">
  <sheetPr>
    <tabColor theme="2" tint="-0.499984740745262"/>
  </sheetPr>
  <dimension ref="A1:AD134"/>
  <sheetViews>
    <sheetView topLeftCell="B1"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197</v>
      </c>
      <c r="D1" s="32"/>
      <c r="E1" s="32"/>
    </row>
    <row r="2" spans="1:30" x14ac:dyDescent="0.3">
      <c r="A2" s="30"/>
      <c r="B2" s="31" t="s">
        <v>86</v>
      </c>
      <c r="C2" s="33" t="s">
        <v>198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182298</v>
      </c>
      <c r="E5" s="42">
        <v>182298</v>
      </c>
      <c r="F5" s="42">
        <v>182298</v>
      </c>
      <c r="G5" s="42">
        <v>182298</v>
      </c>
      <c r="H5" s="43">
        <v>182298</v>
      </c>
      <c r="I5" s="43">
        <v>182872</v>
      </c>
      <c r="J5" s="43">
        <v>181829</v>
      </c>
      <c r="K5" s="43">
        <v>178477.46527578149</v>
      </c>
      <c r="L5" s="43">
        <v>177940</v>
      </c>
      <c r="M5" s="43">
        <v>175847</v>
      </c>
      <c r="N5" s="43">
        <v>174115</v>
      </c>
      <c r="O5" s="43">
        <v>172807.17555860197</v>
      </c>
      <c r="P5" s="43">
        <v>179822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168020</v>
      </c>
      <c r="E6" s="42">
        <v>175205</v>
      </c>
      <c r="F6" s="42">
        <v>177331</v>
      </c>
      <c r="G6" s="42">
        <v>180429</v>
      </c>
      <c r="H6" s="47">
        <v>178398</v>
      </c>
      <c r="I6" s="47">
        <v>178914</v>
      </c>
      <c r="J6" s="47">
        <v>183484</v>
      </c>
      <c r="K6" s="47">
        <v>180478</v>
      </c>
      <c r="L6" s="47">
        <v>180353</v>
      </c>
      <c r="M6" s="47">
        <v>176880</v>
      </c>
      <c r="N6" s="47">
        <v>167119</v>
      </c>
      <c r="O6" s="47">
        <v>178949.80699999997</v>
      </c>
      <c r="P6" s="47">
        <v>179008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18356</v>
      </c>
      <c r="E7" s="42">
        <v>20280</v>
      </c>
      <c r="F7" s="42">
        <v>17616</v>
      </c>
      <c r="G7" s="42">
        <v>19037</v>
      </c>
      <c r="H7" s="47">
        <v>19469</v>
      </c>
      <c r="I7" s="47">
        <v>19928</v>
      </c>
      <c r="J7" s="47">
        <v>19484</v>
      </c>
      <c r="K7" s="47">
        <v>18864.580000000002</v>
      </c>
      <c r="L7" s="47">
        <v>17385</v>
      </c>
      <c r="M7" s="47">
        <v>17717</v>
      </c>
      <c r="N7" s="47">
        <v>16671</v>
      </c>
      <c r="O7" s="47">
        <v>18523.68</v>
      </c>
      <c r="P7" s="47">
        <v>19779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10.731</v>
      </c>
      <c r="E14" s="51">
        <v>10.657999999999999</v>
      </c>
      <c r="F14" s="51">
        <v>10.815</v>
      </c>
      <c r="G14" s="51">
        <v>10.63</v>
      </c>
      <c r="H14" s="43">
        <v>10.46</v>
      </c>
      <c r="I14" s="43">
        <v>10.99</v>
      </c>
      <c r="J14" s="43">
        <v>10.9</v>
      </c>
      <c r="K14" s="43">
        <v>11.06</v>
      </c>
      <c r="L14" s="43">
        <v>11.05</v>
      </c>
      <c r="M14" s="43">
        <v>11.43</v>
      </c>
      <c r="N14" s="43">
        <v>11.611000000000001</v>
      </c>
      <c r="O14" s="43">
        <v>11.453972903906571</v>
      </c>
      <c r="P14" s="43">
        <v>11.36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0</v>
      </c>
      <c r="E15" s="42">
        <v>0</v>
      </c>
      <c r="F15" s="42">
        <v>1373</v>
      </c>
      <c r="G15" s="42">
        <v>14405</v>
      </c>
      <c r="H15" s="47">
        <v>19108</v>
      </c>
      <c r="I15" s="47">
        <v>25340</v>
      </c>
      <c r="J15" s="47">
        <v>31942</v>
      </c>
      <c r="K15" s="47">
        <v>44330</v>
      </c>
      <c r="L15" s="47">
        <v>54878</v>
      </c>
      <c r="M15" s="47">
        <v>58526</v>
      </c>
      <c r="N15" s="47">
        <v>60347</v>
      </c>
      <c r="O15" s="47">
        <v>73514.12</v>
      </c>
      <c r="P15" s="47">
        <v>66560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97638</v>
      </c>
      <c r="E16" s="42">
        <v>101842</v>
      </c>
      <c r="F16" s="42">
        <v>106718</v>
      </c>
      <c r="G16" s="42">
        <v>102212</v>
      </c>
      <c r="H16" s="47">
        <v>98235</v>
      </c>
      <c r="I16" s="47">
        <v>103862</v>
      </c>
      <c r="J16" s="47">
        <v>105845</v>
      </c>
      <c r="K16" s="47">
        <v>103597</v>
      </c>
      <c r="L16" s="47">
        <v>99467</v>
      </c>
      <c r="M16" s="47">
        <v>100122</v>
      </c>
      <c r="N16" s="47">
        <v>92588</v>
      </c>
      <c r="O16" s="47">
        <v>99065.633000000002</v>
      </c>
      <c r="P16" s="47">
        <v>97056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32812</v>
      </c>
      <c r="E18" s="42">
        <v>34922</v>
      </c>
      <c r="F18" s="42">
        <v>34451</v>
      </c>
      <c r="G18" s="42">
        <v>33761</v>
      </c>
      <c r="H18" s="43">
        <v>32778</v>
      </c>
      <c r="I18" s="43">
        <v>33624</v>
      </c>
      <c r="J18" s="43">
        <v>33152</v>
      </c>
      <c r="K18" s="43">
        <v>32871</v>
      </c>
      <c r="L18" s="43">
        <v>33350</v>
      </c>
      <c r="M18" s="43">
        <v>27352</v>
      </c>
      <c r="N18" s="43">
        <v>29407</v>
      </c>
      <c r="O18" s="43">
        <v>33584.39</v>
      </c>
      <c r="P18" s="43">
        <v>32392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4185</v>
      </c>
      <c r="E19" s="42">
        <v>1338</v>
      </c>
      <c r="F19" s="42">
        <v>3547</v>
      </c>
      <c r="G19" s="42">
        <v>3611</v>
      </c>
      <c r="H19" s="47">
        <v>3604</v>
      </c>
      <c r="I19" s="47">
        <v>3546</v>
      </c>
      <c r="J19" s="47">
        <v>3670</v>
      </c>
      <c r="K19" s="47">
        <v>3609.56</v>
      </c>
      <c r="L19" s="47">
        <v>3607</v>
      </c>
      <c r="M19" s="47">
        <v>4018</v>
      </c>
      <c r="N19" s="47">
        <v>3342</v>
      </c>
      <c r="O19" s="47">
        <v>3578.9962</v>
      </c>
      <c r="P19" s="47">
        <v>3534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113</v>
      </c>
      <c r="G23" s="59" t="s">
        <v>113</v>
      </c>
      <c r="H23" s="59" t="s">
        <v>113</v>
      </c>
      <c r="I23" s="59" t="s">
        <v>113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112</v>
      </c>
      <c r="E25" s="59" t="s">
        <v>112</v>
      </c>
      <c r="F25" s="59" t="s">
        <v>112</v>
      </c>
      <c r="G25" s="59" t="s">
        <v>112</v>
      </c>
      <c r="H25" s="59" t="s">
        <v>112</v>
      </c>
      <c r="I25" s="59" t="s">
        <v>112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112</v>
      </c>
      <c r="K26" s="59" t="s">
        <v>112</v>
      </c>
      <c r="L26" s="59" t="s">
        <v>112</v>
      </c>
      <c r="M26" s="59" t="s">
        <v>112</v>
      </c>
      <c r="N26" s="59" t="s">
        <v>112</v>
      </c>
      <c r="O26" s="59" t="s">
        <v>112</v>
      </c>
      <c r="P26" s="59" t="s">
        <v>112</v>
      </c>
      <c r="Q26" s="59" t="s">
        <v>112</v>
      </c>
      <c r="R26" s="59" t="s">
        <v>112</v>
      </c>
      <c r="S26" s="59" t="s">
        <v>112</v>
      </c>
      <c r="T26" s="59" t="s">
        <v>112</v>
      </c>
      <c r="U26" s="59" t="s">
        <v>112</v>
      </c>
      <c r="V26" s="59" t="s">
        <v>112</v>
      </c>
      <c r="W26" s="59" t="s">
        <v>112</v>
      </c>
      <c r="X26" s="59" t="s">
        <v>112</v>
      </c>
      <c r="Y26" s="59" t="s">
        <v>112</v>
      </c>
      <c r="Z26" s="59" t="s">
        <v>112</v>
      </c>
      <c r="AA26" s="59" t="s">
        <v>112</v>
      </c>
      <c r="AB26" s="59" t="s">
        <v>112</v>
      </c>
      <c r="AC26" s="59" t="s">
        <v>112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1791.9158192000002</v>
      </c>
      <c r="E33" s="47">
        <v>1430.3597214000004</v>
      </c>
      <c r="F33" s="47">
        <v>3314</v>
      </c>
      <c r="G33" s="47">
        <v>2953</v>
      </c>
      <c r="H33" s="43">
        <v>3486</v>
      </c>
      <c r="I33" s="43">
        <v>3082</v>
      </c>
      <c r="J33" s="43">
        <v>2850</v>
      </c>
      <c r="K33" s="43">
        <v>2694.16</v>
      </c>
      <c r="L33" s="43">
        <v>2670</v>
      </c>
      <c r="M33" s="43">
        <v>2893</v>
      </c>
      <c r="N33" s="43">
        <v>2817</v>
      </c>
      <c r="O33" s="82">
        <v>3061.6</v>
      </c>
      <c r="P33" s="63">
        <v>2856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587</v>
      </c>
      <c r="K34" s="47">
        <v>607.32000000000005</v>
      </c>
      <c r="L34" s="47">
        <v>731</v>
      </c>
      <c r="M34" s="47">
        <v>1136</v>
      </c>
      <c r="N34" s="47">
        <v>1206</v>
      </c>
      <c r="O34" s="83">
        <v>1335.22</v>
      </c>
      <c r="P34" s="64">
        <v>1208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83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83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>
        <v>19</v>
      </c>
      <c r="E37" s="47">
        <v>19</v>
      </c>
      <c r="F37" s="47">
        <v>19</v>
      </c>
      <c r="G37" s="47">
        <v>19</v>
      </c>
      <c r="H37" s="47">
        <v>19</v>
      </c>
      <c r="I37" s="47">
        <v>32</v>
      </c>
      <c r="J37" s="47">
        <v>38</v>
      </c>
      <c r="K37" s="47">
        <v>33.17</v>
      </c>
      <c r="L37" s="47">
        <v>39</v>
      </c>
      <c r="M37" s="47">
        <v>39</v>
      </c>
      <c r="N37" s="47">
        <v>39</v>
      </c>
      <c r="O37" s="83">
        <v>43.3</v>
      </c>
      <c r="P37" s="64">
        <v>46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83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83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83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388.20697499999994</v>
      </c>
      <c r="E41" s="47">
        <v>413.17091249999999</v>
      </c>
      <c r="F41" s="47">
        <v>617</v>
      </c>
      <c r="G41" s="47">
        <v>724</v>
      </c>
      <c r="H41" s="47">
        <v>839</v>
      </c>
      <c r="I41" s="47">
        <v>898</v>
      </c>
      <c r="J41" s="47">
        <v>264</v>
      </c>
      <c r="K41" s="47">
        <v>240.57999999999998</v>
      </c>
      <c r="L41" s="47">
        <v>288</v>
      </c>
      <c r="M41" s="47">
        <v>286</v>
      </c>
      <c r="N41" s="47">
        <v>310</v>
      </c>
      <c r="O41" s="83">
        <v>362.48</v>
      </c>
      <c r="P41" s="64">
        <v>334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(Pars!D56+(D_TI_1!D14-Pars!D57)*Pars!D58)/Pars!D59</f>
        <v>0.27832759999999995</v>
      </c>
      <c r="E43" s="66">
        <f>(Pars!E56+(D_TI_1!E14-Pars!E57)*Pars!E58)/Pars!E59</f>
        <v>0.2768965231034769</v>
      </c>
      <c r="F43" s="66">
        <f>(Pars!F56+(D_TI_1!F14-Pars!F57)*Pars!F58)/Pars!F59</f>
        <v>0.27997344005311992</v>
      </c>
      <c r="G43" s="66">
        <f>(Pars!G56+(D_TI_1!G14-Pars!G57)*Pars!G58)/Pars!G59</f>
        <v>0.2763471709584871</v>
      </c>
      <c r="H43" s="66">
        <f>(Pars!H56+(D_TI_1!H14-Pars!H57)*Pars!H58)/Pars!H59</f>
        <v>0.27301490794036826</v>
      </c>
      <c r="I43" s="66">
        <f>(Pars!I56+(D_TI_1!I14-Pars!I57)*Pars!I58)/Pars!I59</f>
        <v>0.28340258298708504</v>
      </c>
      <c r="J43" s="66">
        <f>(Pars!J56+(D_TI_1!J14-Pars!J57)*Pars!J58)/Pars!J59</f>
        <v>0.28163831017013896</v>
      </c>
      <c r="K43" s="66">
        <f>(Pars!K56+(D_TI_1!K14-Pars!K57)*Pars!K58)/Pars!K59</f>
        <v>0.28477400658195395</v>
      </c>
      <c r="L43" s="66">
        <f>(Pars!L56+(D_TI_1!L14-Pars!L57)*Pars!L58)/Pars!L59</f>
        <v>0.28457772337821297</v>
      </c>
      <c r="M43" s="66">
        <f>(Pars!M56+(D_TI_1!M14-Pars!M57)*Pars!M58)/Pars!M59</f>
        <v>0.29202537177165405</v>
      </c>
      <c r="N43" s="66">
        <f>(Pars!N56+(D_TI_1!N14-Pars!N57)*Pars!N58)/Pars!N59</f>
        <v>0.29557264427355728</v>
      </c>
      <c r="O43" s="66">
        <f>(Pars!O56+(D_TI_1!O14-Pars!O57)*Pars!O58)/Pars!O59</f>
        <v>0.2924946514754026</v>
      </c>
      <c r="P43" s="66">
        <f>(Pars!P56+(D_TI_1!P14-Pars!P57)*Pars!P58)/Pars!P59</f>
        <v>0.29065251216985394</v>
      </c>
      <c r="Q43" s="66">
        <f>(Pars!Q56+(D_TI_1!Q14-Pars!Q57)*Pars!Q58)/Pars!Q59</f>
        <v>6.7999116011491847E-2</v>
      </c>
      <c r="R43" s="66">
        <f>(Pars!R56+(D_TI_1!R14-Pars!R57)*Pars!R58)/Pars!R59</f>
        <v>6.7999048013327817E-2</v>
      </c>
      <c r="S43" s="66">
        <f>(Pars!S56+(D_TI_1!S14-Pars!S57)*Pars!S58)/Pars!S59</f>
        <v>6.7998980015299776E-2</v>
      </c>
      <c r="T43" s="66">
        <f>(Pars!T56+(D_TI_1!T14-Pars!T57)*Pars!T58)/Pars!T59</f>
        <v>6.7998980015299776E-2</v>
      </c>
      <c r="U43" s="66">
        <f>(Pars!U56+(D_TI_1!U14-Pars!U57)*Pars!U58)/Pars!U59</f>
        <v>6.7998980015299776E-2</v>
      </c>
      <c r="V43" s="66">
        <f>(Pars!V56+(D_TI_1!V14-Pars!V57)*Pars!V58)/Pars!V59</f>
        <v>6.7998980015299776E-2</v>
      </c>
      <c r="W43" s="66">
        <f>(Pars!W56+(D_TI_1!W14-Pars!W57)*Pars!W58)/Pars!W59</f>
        <v>6.7998980015299776E-2</v>
      </c>
      <c r="X43" s="66">
        <f>(Pars!X56+(D_TI_1!X14-Pars!X57)*Pars!X58)/Pars!X59</f>
        <v>6.7998980015299776E-2</v>
      </c>
      <c r="Y43" s="66">
        <f>(Pars!Y56+(D_TI_1!Y14-Pars!Y57)*Pars!Y58)/Pars!Y59</f>
        <v>6.7998980015299776E-2</v>
      </c>
      <c r="Z43" s="66">
        <f>(Pars!Z56+(D_TI_1!Z14-Pars!Z57)*Pars!Z58)/Pars!Z59</f>
        <v>6.7998980015299776E-2</v>
      </c>
      <c r="AA43" s="66">
        <f>(Pars!AA56+(D_TI_1!AA14-Pars!AA57)*Pars!AA58)/Pars!AA59</f>
        <v>6.7998980015299776E-2</v>
      </c>
      <c r="AB43" s="66">
        <f>(Pars!AB56+(D_TI_1!AB14-Pars!AB57)*Pars!AB58)/Pars!AB59</f>
        <v>6.7998980015299776E-2</v>
      </c>
      <c r="AC43" s="66">
        <f>(Pars!AC56+(D_TI_1!AC14-Pars!AC57)*Pars!AC58)/Pars!AC59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171470.21229066662</v>
      </c>
      <c r="E44" s="43">
        <f>Pars!E37*E43*E6</f>
        <v>177883.40287793046</v>
      </c>
      <c r="F44" s="43">
        <f>Pars!F37*F43*F6</f>
        <v>182042.55702621929</v>
      </c>
      <c r="G44" s="43">
        <f>Pars!G37*G43*G6</f>
        <v>182823.82693251915</v>
      </c>
      <c r="H44" s="43">
        <f>Pars!H37*H43*H6</f>
        <v>178586.14967140133</v>
      </c>
      <c r="I44" s="43">
        <f>Pars!I37*I43*I6</f>
        <v>185917.19568602156</v>
      </c>
      <c r="J44" s="43">
        <f>Pars!J37*J43*J6</f>
        <v>189479.12024527849</v>
      </c>
      <c r="K44" s="43">
        <f>Pars!K37*K43*K6</f>
        <v>188449.95825295892</v>
      </c>
      <c r="L44" s="43">
        <f>Pars!L37*L43*L6</f>
        <v>188189.63586291307</v>
      </c>
      <c r="M44" s="43">
        <f>Pars!M37*M43*M6</f>
        <v>189395.97511622394</v>
      </c>
      <c r="N44" s="43">
        <f>Pars!N37*N43*N6</f>
        <v>181117.95070729294</v>
      </c>
      <c r="O44" s="63">
        <f>Pars!O37*O43*O6</f>
        <v>191920.15857687037</v>
      </c>
      <c r="P44" s="63">
        <f>Pars!P37*P43*P6</f>
        <v>190773.45796117114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82305.701899519976</v>
      </c>
      <c r="E45" s="43">
        <f>E44*Pars!E36/100</f>
        <v>85384.033381406625</v>
      </c>
      <c r="F45" s="43">
        <f>F44*Pars!F36/100</f>
        <v>87380.427372585254</v>
      </c>
      <c r="G45" s="43">
        <f>G44*Pars!G36/100</f>
        <v>87755.436927609189</v>
      </c>
      <c r="H45" s="43">
        <f>H44*Pars!H36/100</f>
        <v>85721.351842272634</v>
      </c>
      <c r="I45" s="43">
        <f>I44*Pars!I36/100</f>
        <v>89240.253929290338</v>
      </c>
      <c r="J45" s="43">
        <f>J44*Pars!J36/100</f>
        <v>90949.97771773368</v>
      </c>
      <c r="K45" s="43">
        <f>K44*Pars!K36/100</f>
        <v>90455.979961420278</v>
      </c>
      <c r="L45" s="43">
        <f>L44*Pars!L36/100</f>
        <v>90331.025214198264</v>
      </c>
      <c r="M45" s="43">
        <f>M44*Pars!M36/100</f>
        <v>90910.068055787502</v>
      </c>
      <c r="N45" s="43">
        <f>N44*Pars!N36/100</f>
        <v>86936.616339500615</v>
      </c>
      <c r="O45" s="63">
        <f>O44*Pars!O36/100</f>
        <v>92121.676116897783</v>
      </c>
      <c r="P45" s="63">
        <f>P44*Pars!P36/100</f>
        <v>91571.259821362139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0</v>
      </c>
      <c r="E46" s="43">
        <f>Pars!E40*E15</f>
        <v>0</v>
      </c>
      <c r="F46" s="43">
        <f>Pars!F40*F15</f>
        <v>307.96390000000002</v>
      </c>
      <c r="G46" s="43">
        <f>Pars!G40*G15</f>
        <v>3231.0414999999998</v>
      </c>
      <c r="H46" s="43">
        <f>Pars!H40*H15</f>
        <v>4285.9243999999999</v>
      </c>
      <c r="I46" s="43">
        <f>Pars!I40*I15</f>
        <v>5683.7619999999997</v>
      </c>
      <c r="J46" s="43">
        <f>Pars!J40*J15</f>
        <v>7164.5905999999995</v>
      </c>
      <c r="K46" s="43">
        <f>Pars!K40*K15</f>
        <v>9943.2189999999991</v>
      </c>
      <c r="L46" s="43">
        <f>Pars!L40*L15</f>
        <v>12309.135399999999</v>
      </c>
      <c r="M46" s="43">
        <f>Pars!M40*M15</f>
        <v>13127.381799999999</v>
      </c>
      <c r="N46" s="43">
        <f>Pars!N40*N15</f>
        <v>13535.8321</v>
      </c>
      <c r="O46" s="63">
        <f>Pars!O40*O15</f>
        <v>16489.217116</v>
      </c>
      <c r="P46" s="63">
        <f>Pars!P40*P15</f>
        <v>14929.407999999999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2890.0848000000001</v>
      </c>
      <c r="E47" s="43">
        <f>Pars!E41*E16</f>
        <v>3014.5232000000001</v>
      </c>
      <c r="F47" s="43">
        <f>Pars!F41*F16</f>
        <v>3158.8528000000001</v>
      </c>
      <c r="G47" s="43">
        <f>Pars!G41*G16</f>
        <v>3025.4752000000003</v>
      </c>
      <c r="H47" s="43">
        <f>Pars!H41*H16</f>
        <v>2907.7560000000003</v>
      </c>
      <c r="I47" s="43">
        <f>Pars!I41*I16</f>
        <v>3074.3152</v>
      </c>
      <c r="J47" s="43">
        <f>Pars!J41*J16</f>
        <v>3133.0120000000002</v>
      </c>
      <c r="K47" s="43">
        <f>Pars!K41*K16</f>
        <v>3066.4712</v>
      </c>
      <c r="L47" s="43">
        <f>Pars!L41*L16</f>
        <v>2944.2231999999999</v>
      </c>
      <c r="M47" s="43">
        <f>Pars!M41*M16</f>
        <v>2963.6112000000003</v>
      </c>
      <c r="N47" s="43">
        <f>Pars!N41*N16</f>
        <v>2740.6048000000001</v>
      </c>
      <c r="O47" s="63">
        <f>Pars!O41*O16</f>
        <v>2932.3427368000002</v>
      </c>
      <c r="P47" s="63">
        <f>Pars!P41*P16</f>
        <v>2872.8576000000003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4693.1877619919997</v>
      </c>
      <c r="E48" s="67">
        <f t="array" ref="E48">SUMPRODUCT(E33:E41,Pars!E44:E52)</f>
        <v>4272.0577418140001</v>
      </c>
      <c r="F48" s="67">
        <f t="array" ref="F48">SUMPRODUCT(F33:F41,Pars!F44:F52)</f>
        <v>8135.5</v>
      </c>
      <c r="G48" s="67">
        <f t="array" ref="G48">SUMPRODUCT(G33:G41,Pars!G44:G52)</f>
        <v>8125.3899999999994</v>
      </c>
      <c r="H48" s="67">
        <f t="array" ref="H48">SUMPRODUCT(H33:H41,Pars!H44:H52)</f>
        <v>9505.2199999999993</v>
      </c>
      <c r="I48" s="67">
        <f t="array" ref="I48">SUMPRODUCT(I33:I41,Pars!I44:I52)</f>
        <v>9221.9</v>
      </c>
      <c r="J48" s="67">
        <f t="array" ref="J48">SUMPRODUCT(J33:J41,Pars!J44:J52)</f>
        <v>10817.249999999998</v>
      </c>
      <c r="K48" s="67">
        <f t="array" ref="K48">SUMPRODUCT(K33:K41,Pars!K44:K52)</f>
        <v>10629.627200000001</v>
      </c>
      <c r="L48" s="67">
        <f t="array" ref="L48">SUMPRODUCT(L33:L41,Pars!L44:L52)</f>
        <v>11919.25</v>
      </c>
      <c r="M48" s="67">
        <f t="array" ref="M48">SUMPRODUCT(M33:M41,Pars!M44:M52)</f>
        <v>15765.43</v>
      </c>
      <c r="N48" s="67">
        <f t="array" ref="N48">SUMPRODUCT(N33:N41,Pars!N44:N52)</f>
        <v>16378.97</v>
      </c>
      <c r="O48" s="67">
        <f t="array" ref="O48">SUMPRODUCT(O33:O41,Pars!O44:O52)</f>
        <v>18144.129799999999</v>
      </c>
      <c r="P48" s="67">
        <f t="array" ref="P48">SUMPRODUCT(P33:P41,Pars!P44:P52)</f>
        <v>16592.32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7583.2725619920002</v>
      </c>
      <c r="E49" s="67">
        <f t="shared" ref="E49:AC49" si="1">SUM(E46:E48)</f>
        <v>7286.5809418139997</v>
      </c>
      <c r="F49" s="67">
        <f t="shared" si="1"/>
        <v>11602.316699999999</v>
      </c>
      <c r="G49" s="67">
        <f t="shared" si="1"/>
        <v>14381.9067</v>
      </c>
      <c r="H49" s="67">
        <f t="shared" si="1"/>
        <v>16698.900399999999</v>
      </c>
      <c r="I49" s="67">
        <f t="shared" si="1"/>
        <v>17979.977200000001</v>
      </c>
      <c r="J49" s="67">
        <f t="shared" si="1"/>
        <v>21114.852599999998</v>
      </c>
      <c r="K49" s="67">
        <f t="shared" si="1"/>
        <v>23639.3174</v>
      </c>
      <c r="L49" s="67">
        <f t="shared" si="1"/>
        <v>27172.6086</v>
      </c>
      <c r="M49" s="67">
        <f t="shared" si="1"/>
        <v>31856.422999999999</v>
      </c>
      <c r="N49" s="67">
        <f t="shared" si="1"/>
        <v>32655.406900000002</v>
      </c>
      <c r="O49" s="67">
        <f t="shared" si="1"/>
        <v>37565.6896528</v>
      </c>
      <c r="P49" s="67">
        <f t="shared" si="1"/>
        <v>34394.585599999999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74722.429337527981</v>
      </c>
      <c r="E50" s="70">
        <f t="shared" ref="E50:AC50" si="2">E45-E49</f>
        <v>78097.452439592627</v>
      </c>
      <c r="F50" s="70">
        <f t="shared" si="2"/>
        <v>75778.110672585259</v>
      </c>
      <c r="G50" s="70">
        <f t="shared" si="2"/>
        <v>73373.530227609182</v>
      </c>
      <c r="H50" s="70">
        <f t="shared" si="2"/>
        <v>69022.451442272635</v>
      </c>
      <c r="I50" s="70">
        <f t="shared" si="2"/>
        <v>71260.276729290345</v>
      </c>
      <c r="J50" s="70">
        <f t="shared" si="2"/>
        <v>69835.125117733682</v>
      </c>
      <c r="K50" s="70">
        <f t="shared" si="2"/>
        <v>66816.662561420279</v>
      </c>
      <c r="L50" s="70">
        <f t="shared" si="2"/>
        <v>63158.416614198264</v>
      </c>
      <c r="M50" s="70">
        <f t="shared" si="2"/>
        <v>59053.645055787507</v>
      </c>
      <c r="N50" s="70">
        <f t="shared" si="2"/>
        <v>54281.209439500613</v>
      </c>
      <c r="O50" s="70">
        <f t="shared" si="2"/>
        <v>54555.986464097783</v>
      </c>
      <c r="P50" s="70">
        <f t="shared" si="2"/>
        <v>57176.67422136214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160</v>
      </c>
      <c r="C58" s="46" t="s">
        <v>95</v>
      </c>
      <c r="D58" s="47">
        <v>0</v>
      </c>
      <c r="E58" s="47">
        <v>0</v>
      </c>
      <c r="F58" s="47">
        <v>0</v>
      </c>
      <c r="G58" s="47">
        <v>2987</v>
      </c>
      <c r="H58" s="47">
        <v>4568</v>
      </c>
      <c r="I58" s="47">
        <v>5815</v>
      </c>
      <c r="J58" s="47">
        <v>7616</v>
      </c>
      <c r="K58" s="47">
        <v>10553</v>
      </c>
      <c r="L58" s="47">
        <v>12437</v>
      </c>
      <c r="M58" s="47">
        <v>12805</v>
      </c>
      <c r="N58" s="47">
        <v>13442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2987</v>
      </c>
      <c r="H61" s="76">
        <f t="shared" si="3"/>
        <v>4568</v>
      </c>
      <c r="I61" s="76">
        <f t="shared" si="3"/>
        <v>5815</v>
      </c>
      <c r="J61" s="76">
        <f t="shared" si="3"/>
        <v>7616</v>
      </c>
      <c r="K61" s="76">
        <f t="shared" si="3"/>
        <v>10553</v>
      </c>
      <c r="L61" s="76">
        <f t="shared" si="3"/>
        <v>12437</v>
      </c>
      <c r="M61" s="76">
        <f t="shared" si="3"/>
        <v>12805</v>
      </c>
      <c r="N61" s="76">
        <f t="shared" si="3"/>
        <v>13442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74722.429337527981</v>
      </c>
      <c r="E62" s="79">
        <f t="shared" ref="E62:AC62" si="4">E50+E61</f>
        <v>78097.452439592627</v>
      </c>
      <c r="F62" s="79">
        <f t="shared" si="4"/>
        <v>75778.110672585259</v>
      </c>
      <c r="G62" s="79">
        <f t="shared" si="4"/>
        <v>76360.530227609182</v>
      </c>
      <c r="H62" s="79">
        <f t="shared" si="4"/>
        <v>73590.451442272635</v>
      </c>
      <c r="I62" s="79">
        <f t="shared" si="4"/>
        <v>77075.276729290345</v>
      </c>
      <c r="J62" s="79">
        <f t="shared" si="4"/>
        <v>77451.125117733682</v>
      </c>
      <c r="K62" s="79">
        <f t="shared" si="4"/>
        <v>77369.662561420279</v>
      </c>
      <c r="L62" s="79">
        <f t="shared" si="4"/>
        <v>75595.416614198271</v>
      </c>
      <c r="M62" s="79">
        <f t="shared" si="4"/>
        <v>71858.645055787507</v>
      </c>
      <c r="N62" s="79">
        <f t="shared" si="4"/>
        <v>67723.209439500613</v>
      </c>
      <c r="O62" s="79">
        <f t="shared" si="4"/>
        <v>54555.986464097783</v>
      </c>
      <c r="P62" s="79">
        <f t="shared" si="4"/>
        <v>57176.67422136214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74" priority="5" operator="containsText" text="Nein">
      <formula>NOT(ISERROR(SEARCH("Nein",D22)))</formula>
    </cfRule>
  </conditionalFormatting>
  <conditionalFormatting sqref="D31:AC31">
    <cfRule type="cellIs" dxfId="73" priority="6" operator="equal">
      <formula>"ok"</formula>
    </cfRule>
  </conditionalFormatting>
  <conditionalFormatting sqref="H5:AC12 H14:AC16 H18:AC19 H33:AC41">
    <cfRule type="cellIs" dxfId="72" priority="4" operator="greaterThan">
      <formula>0</formula>
    </cfRule>
  </conditionalFormatting>
  <conditionalFormatting sqref="H6:AC12">
    <cfRule type="expression" dxfId="71" priority="3">
      <formula>NOT(ISBLANK(H6))</formula>
    </cfRule>
  </conditionalFormatting>
  <conditionalFormatting sqref="H18:AC19">
    <cfRule type="expression" dxfId="70" priority="2">
      <formula>NOT(ISBLANK(H18))</formula>
    </cfRule>
  </conditionalFormatting>
  <conditionalFormatting sqref="H56:AC60">
    <cfRule type="cellIs" dxfId="69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9A8D48AE-81F2-4DA1-925E-898D4EC4F9F9}">
      <formula1>"Ja, Nein"</formula1>
    </dataValidation>
  </dataValidation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AEAC4-23A4-4FE0-8A03-86778A65C1A4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199</v>
      </c>
      <c r="D1" s="32"/>
      <c r="E1" s="32"/>
    </row>
    <row r="2" spans="1:30" x14ac:dyDescent="0.3">
      <c r="A2" s="30"/>
      <c r="B2" s="31" t="s">
        <v>86</v>
      </c>
      <c r="C2" s="33" t="s">
        <v>200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170000</v>
      </c>
      <c r="E5" s="42">
        <v>170000</v>
      </c>
      <c r="F5" s="42">
        <v>170000</v>
      </c>
      <c r="G5" s="42">
        <v>170000</v>
      </c>
      <c r="H5" s="43">
        <v>170000</v>
      </c>
      <c r="I5" s="43">
        <v>170000</v>
      </c>
      <c r="J5" s="43">
        <v>170000</v>
      </c>
      <c r="K5" s="43">
        <v>170000</v>
      </c>
      <c r="L5" s="43">
        <v>170000</v>
      </c>
      <c r="M5" s="43">
        <v>170000</v>
      </c>
      <c r="N5" s="43">
        <v>170000</v>
      </c>
      <c r="O5" s="43">
        <v>170000</v>
      </c>
      <c r="P5" s="43">
        <v>178599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158830</v>
      </c>
      <c r="E6" s="42">
        <v>175726</v>
      </c>
      <c r="F6" s="42">
        <v>175494</v>
      </c>
      <c r="G6" s="42">
        <v>158188</v>
      </c>
      <c r="H6" s="47">
        <v>155577</v>
      </c>
      <c r="I6" s="47">
        <v>167856</v>
      </c>
      <c r="J6" s="47">
        <v>181950</v>
      </c>
      <c r="K6" s="47">
        <v>181054.15000000002</v>
      </c>
      <c r="L6" s="47">
        <v>179990</v>
      </c>
      <c r="M6" s="47">
        <v>179555</v>
      </c>
      <c r="N6" s="47">
        <v>179404</v>
      </c>
      <c r="O6" s="47">
        <v>189585</v>
      </c>
      <c r="P6" s="47">
        <v>169659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0</v>
      </c>
      <c r="E7" s="42">
        <v>1225</v>
      </c>
      <c r="F7" s="42">
        <v>1354</v>
      </c>
      <c r="G7" s="42">
        <v>340</v>
      </c>
      <c r="H7" s="47">
        <v>271</v>
      </c>
      <c r="I7" s="47">
        <v>814</v>
      </c>
      <c r="J7" s="47">
        <v>12</v>
      </c>
      <c r="K7" s="47">
        <v>28.44</v>
      </c>
      <c r="L7" s="47">
        <v>600</v>
      </c>
      <c r="M7" s="47">
        <v>202</v>
      </c>
      <c r="N7" s="47">
        <v>413</v>
      </c>
      <c r="O7" s="47">
        <v>0</v>
      </c>
      <c r="P7" s="47">
        <v>0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/>
      <c r="J8" s="47">
        <v>239</v>
      </c>
      <c r="K8" s="47">
        <v>2720.5</v>
      </c>
      <c r="L8" s="47">
        <v>983</v>
      </c>
      <c r="M8" s="47">
        <v>0</v>
      </c>
      <c r="N8" s="47">
        <v>0</v>
      </c>
      <c r="O8" s="47">
        <v>0</v>
      </c>
      <c r="P8" s="47">
        <v>0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>
        <v>5000</v>
      </c>
      <c r="E9" s="42">
        <v>5368</v>
      </c>
      <c r="F9" s="42">
        <v>2054</v>
      </c>
      <c r="G9" s="42">
        <v>1431</v>
      </c>
      <c r="H9" s="47">
        <v>358</v>
      </c>
      <c r="I9" s="47">
        <v>0</v>
      </c>
      <c r="J9" s="47">
        <v>1059</v>
      </c>
      <c r="K9" s="47">
        <v>1491.58</v>
      </c>
      <c r="L9" s="47">
        <v>2178</v>
      </c>
      <c r="M9" s="47">
        <v>0</v>
      </c>
      <c r="N9" s="47">
        <v>0</v>
      </c>
      <c r="O9" s="47">
        <v>0</v>
      </c>
      <c r="P9" s="47">
        <v>0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>
        <v>3184</v>
      </c>
      <c r="K10" s="47">
        <v>6567.78</v>
      </c>
      <c r="L10" s="47">
        <v>1465</v>
      </c>
      <c r="M10" s="47">
        <v>0</v>
      </c>
      <c r="N10" s="47">
        <v>0</v>
      </c>
      <c r="O10" s="47">
        <v>0</v>
      </c>
      <c r="P10" s="47">
        <v>0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>
        <v>9580</v>
      </c>
      <c r="P11" s="47">
        <v>0</v>
      </c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12.147</v>
      </c>
      <c r="E14" s="51">
        <v>12.18</v>
      </c>
      <c r="F14" s="51">
        <v>12.102</v>
      </c>
      <c r="G14" s="51">
        <v>12.4</v>
      </c>
      <c r="H14" s="43">
        <v>12.33</v>
      </c>
      <c r="I14" s="43">
        <v>12.35</v>
      </c>
      <c r="J14" s="43">
        <v>12.45</v>
      </c>
      <c r="K14" s="43">
        <v>12.76</v>
      </c>
      <c r="L14" s="43">
        <v>12.7</v>
      </c>
      <c r="M14" s="43">
        <v>12.75</v>
      </c>
      <c r="N14" s="43">
        <v>12.901</v>
      </c>
      <c r="O14" s="43">
        <v>12.741778807067186</v>
      </c>
      <c r="P14" s="43">
        <v>12.84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240624</v>
      </c>
      <c r="E15" s="42">
        <v>256412</v>
      </c>
      <c r="F15" s="42">
        <v>258537</v>
      </c>
      <c r="G15" s="42">
        <v>253221</v>
      </c>
      <c r="H15" s="47">
        <v>241698</v>
      </c>
      <c r="I15" s="47">
        <f>2675+265184</f>
        <v>267859</v>
      </c>
      <c r="J15" s="47">
        <v>301433</v>
      </c>
      <c r="K15" s="47">
        <v>300721</v>
      </c>
      <c r="L15" s="47">
        <v>288175</v>
      </c>
      <c r="M15" s="47">
        <f>311923+3001</f>
        <v>314924</v>
      </c>
      <c r="N15" s="47">
        <v>296821</v>
      </c>
      <c r="O15" s="47">
        <v>314121.59999999998</v>
      </c>
      <c r="P15" s="47">
        <f>2733+272099</f>
        <v>274832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55773</v>
      </c>
      <c r="E16" s="42">
        <v>65874</v>
      </c>
      <c r="F16" s="42">
        <v>63624</v>
      </c>
      <c r="G16" s="42">
        <v>46922</v>
      </c>
      <c r="H16" s="47">
        <v>52101</v>
      </c>
      <c r="I16" s="47">
        <v>58423</v>
      </c>
      <c r="J16" s="47">
        <v>63037</v>
      </c>
      <c r="K16" s="47">
        <v>70548</v>
      </c>
      <c r="L16" s="47">
        <v>70086</v>
      </c>
      <c r="M16" s="47">
        <v>69849</v>
      </c>
      <c r="N16" s="47">
        <v>56310</v>
      </c>
      <c r="O16" s="47">
        <v>76109.66</v>
      </c>
      <c r="P16" s="47">
        <v>68644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27449</v>
      </c>
      <c r="E18" s="42">
        <v>33841</v>
      </c>
      <c r="F18" s="42">
        <v>33256</v>
      </c>
      <c r="G18" s="42">
        <v>27852</v>
      </c>
      <c r="H18" s="43">
        <v>26913</v>
      </c>
      <c r="I18" s="43">
        <v>29302</v>
      </c>
      <c r="J18" s="43">
        <v>31536</v>
      </c>
      <c r="K18" s="43">
        <v>32230.74</v>
      </c>
      <c r="L18" s="43">
        <v>27192</v>
      </c>
      <c r="M18" s="43">
        <v>25546</v>
      </c>
      <c r="N18" s="43">
        <v>33393</v>
      </c>
      <c r="O18" s="43">
        <v>35982.17</v>
      </c>
      <c r="P18" s="43">
        <v>33108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3177</v>
      </c>
      <c r="E19" s="42">
        <v>3515</v>
      </c>
      <c r="F19" s="42">
        <v>3510</v>
      </c>
      <c r="G19" s="42">
        <v>3164</v>
      </c>
      <c r="H19" s="47">
        <v>3112</v>
      </c>
      <c r="I19" s="47">
        <v>3357</v>
      </c>
      <c r="J19" s="47">
        <v>3639</v>
      </c>
      <c r="K19" s="47">
        <v>3621.0830000000005</v>
      </c>
      <c r="L19" s="47">
        <v>3600</v>
      </c>
      <c r="M19" s="47">
        <v>3519</v>
      </c>
      <c r="N19" s="47">
        <v>3588</v>
      </c>
      <c r="O19" s="47">
        <v>3791.7000000000003</v>
      </c>
      <c r="P19" s="47">
        <v>3310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113</v>
      </c>
      <c r="G23" s="59" t="s">
        <v>113</v>
      </c>
      <c r="H23" s="59" t="s">
        <v>113</v>
      </c>
      <c r="I23" s="59" t="s">
        <v>113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112</v>
      </c>
      <c r="E25" s="59" t="s">
        <v>112</v>
      </c>
      <c r="F25" s="59" t="s">
        <v>112</v>
      </c>
      <c r="G25" s="59" t="s">
        <v>112</v>
      </c>
      <c r="H25" s="59" t="s">
        <v>112</v>
      </c>
      <c r="I25" s="59" t="s">
        <v>112</v>
      </c>
      <c r="J25" s="59" t="s">
        <v>112</v>
      </c>
      <c r="K25" s="59" t="s">
        <v>112</v>
      </c>
      <c r="L25" s="59" t="s">
        <v>112</v>
      </c>
      <c r="M25" s="59" t="s">
        <v>112</v>
      </c>
      <c r="N25" s="59" t="s">
        <v>112</v>
      </c>
      <c r="O25" s="59" t="s">
        <v>112</v>
      </c>
      <c r="P25" s="59" t="s">
        <v>112</v>
      </c>
      <c r="Q25" s="59" t="s">
        <v>112</v>
      </c>
      <c r="R25" s="59" t="s">
        <v>112</v>
      </c>
      <c r="S25" s="59" t="s">
        <v>112</v>
      </c>
      <c r="T25" s="59" t="s">
        <v>112</v>
      </c>
      <c r="U25" s="59" t="s">
        <v>112</v>
      </c>
      <c r="V25" s="59" t="s">
        <v>112</v>
      </c>
      <c r="W25" s="59" t="s">
        <v>112</v>
      </c>
      <c r="X25" s="59" t="s">
        <v>112</v>
      </c>
      <c r="Y25" s="59" t="s">
        <v>112</v>
      </c>
      <c r="Z25" s="59" t="s">
        <v>112</v>
      </c>
      <c r="AA25" s="59" t="s">
        <v>112</v>
      </c>
      <c r="AB25" s="59" t="s">
        <v>112</v>
      </c>
      <c r="AC25" s="59" t="s">
        <v>112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1004</v>
      </c>
      <c r="E33" s="47">
        <v>1226</v>
      </c>
      <c r="F33" s="47">
        <v>2044</v>
      </c>
      <c r="G33" s="47">
        <v>1436</v>
      </c>
      <c r="H33" s="43">
        <v>1445</v>
      </c>
      <c r="I33" s="43">
        <v>1222</v>
      </c>
      <c r="J33" s="43">
        <v>1206</v>
      </c>
      <c r="K33" s="43">
        <v>1777.95</v>
      </c>
      <c r="L33" s="43">
        <v>2421</v>
      </c>
      <c r="M33" s="43">
        <v>1580</v>
      </c>
      <c r="N33" s="43">
        <v>1587</v>
      </c>
      <c r="O33" s="82">
        <v>1674.52</v>
      </c>
      <c r="P33" s="63">
        <v>1418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0</v>
      </c>
      <c r="K34" s="47">
        <v>84</v>
      </c>
      <c r="L34" s="47">
        <v>81</v>
      </c>
      <c r="M34" s="47">
        <v>353</v>
      </c>
      <c r="N34" s="47">
        <v>380</v>
      </c>
      <c r="O34" s="83">
        <v>606.6</v>
      </c>
      <c r="P34" s="64">
        <v>545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83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83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>
        <v>43.127775</v>
      </c>
      <c r="E37" s="47">
        <v>47.716125000000005</v>
      </c>
      <c r="F37" s="47">
        <v>47.648249999999997</v>
      </c>
      <c r="G37" s="47">
        <v>42.951300000000003</v>
      </c>
      <c r="H37" s="47">
        <v>42.245399999999989</v>
      </c>
      <c r="I37" s="47">
        <v>48</v>
      </c>
      <c r="J37" s="47">
        <v>45</v>
      </c>
      <c r="K37" s="47">
        <v>45</v>
      </c>
      <c r="L37" s="47">
        <v>45</v>
      </c>
      <c r="M37" s="47">
        <v>72</v>
      </c>
      <c r="N37" s="47">
        <v>82</v>
      </c>
      <c r="O37" s="83">
        <v>83.230289999999982</v>
      </c>
      <c r="P37" s="64">
        <v>83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83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83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83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143.13079584775087</v>
      </c>
      <c r="E41" s="47">
        <v>174.77923875432526</v>
      </c>
      <c r="F41" s="47">
        <v>330</v>
      </c>
      <c r="G41" s="47">
        <v>194</v>
      </c>
      <c r="H41" s="47">
        <v>206</v>
      </c>
      <c r="I41" s="47">
        <v>116</v>
      </c>
      <c r="J41" s="47">
        <v>0</v>
      </c>
      <c r="K41" s="47">
        <v>56</v>
      </c>
      <c r="L41" s="47">
        <v>54</v>
      </c>
      <c r="M41" s="47">
        <v>236</v>
      </c>
      <c r="N41" s="47">
        <v>253</v>
      </c>
      <c r="O41" s="83">
        <v>404.40000000000003</v>
      </c>
      <c r="P41" s="64">
        <v>363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(Pars!D56+(D_VD_2!D14-Pars!D57)*Pars!D58)/Pars!D59</f>
        <v>0.3060812</v>
      </c>
      <c r="E43" s="66">
        <f>(Pars!E56+(D_VD_2!E14-Pars!E57)*Pars!E58)/Pars!E59</f>
        <v>0.3067276932723067</v>
      </c>
      <c r="F43" s="66">
        <f>(Pars!F56+(D_VD_2!F14-Pars!F57)*Pars!F58)/Pars!F59</f>
        <v>0.30519858960282081</v>
      </c>
      <c r="G43" s="66">
        <f>(Pars!G56+(D_VD_2!G14-Pars!G57)*Pars!G58)/Pars!G59</f>
        <v>0.31103906688279936</v>
      </c>
      <c r="H43" s="66">
        <f>(Pars!H56+(D_VD_2!H14-Pars!H57)*Pars!H58)/Pars!H59</f>
        <v>0.30966676133295468</v>
      </c>
      <c r="I43" s="66">
        <f>(Pars!I56+(D_VD_2!I14-Pars!I57)*Pars!I58)/Pars!I59</f>
        <v>0.31005844970775148</v>
      </c>
      <c r="J43" s="66">
        <f>(Pars!J56+(D_VD_2!J14-Pars!J57)*Pars!J58)/Pars!J59</f>
        <v>0.31201812789123268</v>
      </c>
      <c r="K43" s="66">
        <f>(Pars!K56+(D_VD_2!K14-Pars!K57)*Pars!K58)/Pars!K59</f>
        <v>0.31809377334358657</v>
      </c>
      <c r="L43" s="66">
        <f>(Pars!L56+(D_VD_2!L14-Pars!L57)*Pars!L58)/Pars!L59</f>
        <v>0.3169174646602827</v>
      </c>
      <c r="M43" s="66">
        <f>(Pars!M56+(D_VD_2!M14-Pars!M57)*Pars!M58)/Pars!M59</f>
        <v>0.31789713892574967</v>
      </c>
      <c r="N43" s="66">
        <f>(Pars!N56+(D_VD_2!N14-Pars!N57)*Pars!N58)/Pars!N59</f>
        <v>0.32085639143608563</v>
      </c>
      <c r="O43" s="66">
        <f>(Pars!O56+(D_VD_2!O14-Pars!O57)*Pars!O58)/Pars!O59</f>
        <v>0.31773536952945203</v>
      </c>
      <c r="P43" s="66">
        <f>(Pars!P56+(D_VD_2!P14-Pars!P57)*Pars!P58)/Pars!P59</f>
        <v>0.31966016407803105</v>
      </c>
      <c r="Q43" s="66">
        <f>(Pars!Q56+(D_VD_2!Q14-Pars!Q57)*Pars!Q58)/Pars!Q59</f>
        <v>6.7999116011491847E-2</v>
      </c>
      <c r="R43" s="66">
        <f>(Pars!R56+(D_VD_2!R14-Pars!R57)*Pars!R58)/Pars!R59</f>
        <v>6.7999048013327817E-2</v>
      </c>
      <c r="S43" s="66">
        <f>(Pars!S56+(D_VD_2!S14-Pars!S57)*Pars!S58)/Pars!S59</f>
        <v>6.7998980015299776E-2</v>
      </c>
      <c r="T43" s="66">
        <f>(Pars!T56+(D_VD_2!T14-Pars!T57)*Pars!T58)/Pars!T59</f>
        <v>6.7998980015299776E-2</v>
      </c>
      <c r="U43" s="66">
        <f>(Pars!U56+(D_VD_2!U14-Pars!U57)*Pars!U58)/Pars!U59</f>
        <v>6.7998980015299776E-2</v>
      </c>
      <c r="V43" s="66">
        <f>(Pars!V56+(D_VD_2!V14-Pars!V57)*Pars!V58)/Pars!V59</f>
        <v>6.7998980015299776E-2</v>
      </c>
      <c r="W43" s="66">
        <f>(Pars!W56+(D_VD_2!W14-Pars!W57)*Pars!W58)/Pars!W59</f>
        <v>6.7998980015299776E-2</v>
      </c>
      <c r="X43" s="66">
        <f>(Pars!X56+(D_VD_2!X14-Pars!X57)*Pars!X58)/Pars!X59</f>
        <v>6.7998980015299776E-2</v>
      </c>
      <c r="Y43" s="66">
        <f>(Pars!Y56+(D_VD_2!Y14-Pars!Y57)*Pars!Y58)/Pars!Y59</f>
        <v>6.7998980015299776E-2</v>
      </c>
      <c r="Z43" s="66">
        <f>(Pars!Z56+(D_VD_2!Z14-Pars!Z57)*Pars!Z58)/Pars!Z59</f>
        <v>6.7998980015299776E-2</v>
      </c>
      <c r="AA43" s="66">
        <f>(Pars!AA56+(D_VD_2!AA14-Pars!AA57)*Pars!AA58)/Pars!AA59</f>
        <v>6.7998980015299776E-2</v>
      </c>
      <c r="AB43" s="66">
        <f>(Pars!AB56+(D_VD_2!AB14-Pars!AB57)*Pars!AB58)/Pars!AB59</f>
        <v>6.7998980015299776E-2</v>
      </c>
      <c r="AC43" s="66">
        <f>(Pars!AC56+(D_VD_2!AC14-Pars!AC57)*Pars!AC58)/Pars!AC59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178254.54898533333</v>
      </c>
      <c r="E44" s="43">
        <f>Pars!E37*E43*E6</f>
        <v>197633.44563588768</v>
      </c>
      <c r="F44" s="43">
        <f>Pars!F37*F43*F6</f>
        <v>196388.57804044394</v>
      </c>
      <c r="G44" s="43">
        <f>Pars!G37*G43*G6</f>
        <v>180409.70901087296</v>
      </c>
      <c r="H44" s="43">
        <f>Pars!H37*H43*H6</f>
        <v>176649.09433562265</v>
      </c>
      <c r="I44" s="43">
        <f>Pars!I37*I43*I6</f>
        <v>190832.2941585292</v>
      </c>
      <c r="J44" s="43">
        <f>Pars!J37*J43*J6</f>
        <v>208162.89402263585</v>
      </c>
      <c r="K44" s="43">
        <f>Pars!K37*K43*K6</f>
        <v>211171.39176105769</v>
      </c>
      <c r="L44" s="43">
        <f>Pars!L37*L43*L6</f>
        <v>209153.90636874901</v>
      </c>
      <c r="M44" s="43">
        <f>Pars!M37*M43*M6</f>
        <v>209293.40952598091</v>
      </c>
      <c r="N44" s="43">
        <f>Pars!N37*N43*N6</f>
        <v>211064.04018039818</v>
      </c>
      <c r="O44" s="63">
        <f>Pars!O37*O43*O6</f>
        <v>220872.15345155093</v>
      </c>
      <c r="P44" s="63">
        <f>Pars!P37*P43*P6</f>
        <v>198855.15385015379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85562.183512960008</v>
      </c>
      <c r="E45" s="43">
        <f>E44*Pars!E36/100</f>
        <v>94864.053905226086</v>
      </c>
      <c r="F45" s="43">
        <f>F44*Pars!F36/100</f>
        <v>94266.517459413095</v>
      </c>
      <c r="G45" s="43">
        <f>G44*Pars!G36/100</f>
        <v>86596.660325219011</v>
      </c>
      <c r="H45" s="43">
        <f>H44*Pars!H36/100</f>
        <v>84791.565281098883</v>
      </c>
      <c r="I45" s="43">
        <f>I44*Pars!I36/100</f>
        <v>91599.501196094003</v>
      </c>
      <c r="J45" s="43">
        <f>J44*Pars!J36/100</f>
        <v>99918.189130865212</v>
      </c>
      <c r="K45" s="43">
        <f>K44*Pars!K36/100</f>
        <v>101362.26804530769</v>
      </c>
      <c r="L45" s="43">
        <f>L44*Pars!L36/100</f>
        <v>100393.87505699953</v>
      </c>
      <c r="M45" s="43">
        <f>M44*Pars!M36/100</f>
        <v>100460.83657247083</v>
      </c>
      <c r="N45" s="43">
        <f>N44*Pars!N36/100</f>
        <v>101310.73928659112</v>
      </c>
      <c r="O45" s="63">
        <f>O44*Pars!O36/100</f>
        <v>106018.63365674444</v>
      </c>
      <c r="P45" s="63">
        <f>P44*Pars!P36/100</f>
        <v>95450.473848073816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53971.963199999998</v>
      </c>
      <c r="E46" s="43">
        <f>Pars!E40*E15</f>
        <v>57513.211600000002</v>
      </c>
      <c r="F46" s="43">
        <f>Pars!F40*F15</f>
        <v>57989.849099999999</v>
      </c>
      <c r="G46" s="43">
        <f>Pars!G40*G15</f>
        <v>56797.470300000001</v>
      </c>
      <c r="H46" s="43">
        <f>Pars!H40*H15</f>
        <v>54212.861400000002</v>
      </c>
      <c r="I46" s="43">
        <f>Pars!I40*I15</f>
        <v>60080.773699999998</v>
      </c>
      <c r="J46" s="43">
        <f>Pars!J40*J15</f>
        <v>67611.421900000001</v>
      </c>
      <c r="K46" s="43">
        <f>Pars!K40*K15</f>
        <v>67451.720300000001</v>
      </c>
      <c r="L46" s="43">
        <f>Pars!L40*L15</f>
        <v>64637.652499999997</v>
      </c>
      <c r="M46" s="43">
        <f>Pars!M40*M15</f>
        <v>70637.453200000004</v>
      </c>
      <c r="N46" s="43">
        <f>Pars!N40*N15</f>
        <v>66576.950299999997</v>
      </c>
      <c r="O46" s="63">
        <f>Pars!O40*O15</f>
        <v>70457.474879999994</v>
      </c>
      <c r="P46" s="63">
        <f>Pars!P40*P15</f>
        <v>61644.817600000002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1650.8808000000001</v>
      </c>
      <c r="E47" s="43">
        <f>Pars!E41*E16</f>
        <v>1949.8704</v>
      </c>
      <c r="F47" s="43">
        <f>Pars!F41*F16</f>
        <v>1883.2704000000001</v>
      </c>
      <c r="G47" s="43">
        <f>Pars!G41*G16</f>
        <v>1388.8912</v>
      </c>
      <c r="H47" s="43">
        <f>Pars!H41*H16</f>
        <v>1542.1896000000002</v>
      </c>
      <c r="I47" s="43">
        <f>Pars!I41*I16</f>
        <v>1729.3208</v>
      </c>
      <c r="J47" s="43">
        <f>Pars!J41*J16</f>
        <v>1865.8952000000002</v>
      </c>
      <c r="K47" s="43">
        <f>Pars!K41*K16</f>
        <v>2088.2208000000001</v>
      </c>
      <c r="L47" s="43">
        <f>Pars!L41*L16</f>
        <v>2074.5455999999999</v>
      </c>
      <c r="M47" s="43">
        <f>Pars!M41*M16</f>
        <v>2067.5304000000001</v>
      </c>
      <c r="N47" s="43">
        <f>Pars!N41*N16</f>
        <v>1666.7760000000001</v>
      </c>
      <c r="O47" s="63">
        <f>Pars!O41*O16</f>
        <v>2252.8459360000002</v>
      </c>
      <c r="P47" s="63">
        <f>Pars!P41*P16</f>
        <v>2031.8624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2336.9257502387545</v>
      </c>
      <c r="E48" s="67">
        <f t="array" ref="E48">SUMPRODUCT(E33:E41,Pars!E44:E52)</f>
        <v>2841.5835387716261</v>
      </c>
      <c r="F48" s="67">
        <f t="array" ref="F48">SUMPRODUCT(F33:F41,Pars!F44:F52)</f>
        <v>4852.7017300000007</v>
      </c>
      <c r="G48" s="67">
        <f t="array" ref="G48">SUMPRODUCT(G33:G41,Pars!G44:G52)</f>
        <v>3243.1611720000001</v>
      </c>
      <c r="H48" s="67">
        <f t="array" ref="H48">SUMPRODUCT(H33:H41,Pars!H44:H52)</f>
        <v>3315.0287759999997</v>
      </c>
      <c r="I48" s="67">
        <f t="array" ref="I48">SUMPRODUCT(I33:I41,Pars!I44:I52)</f>
        <v>2542.34</v>
      </c>
      <c r="J48" s="67">
        <f t="array" ref="J48">SUMPRODUCT(J33:J41,Pars!J44:J52)</f>
        <v>1930.86</v>
      </c>
      <c r="K48" s="67">
        <f t="array" ref="K48">SUMPRODUCT(K33:K41,Pars!K44:K52)</f>
        <v>3804.4645000000005</v>
      </c>
      <c r="L48" s="67">
        <f t="array" ref="L48">SUMPRODUCT(L33:L41,Pars!L44:L52)</f>
        <v>4739.4000000000005</v>
      </c>
      <c r="M48" s="67">
        <f t="array" ref="M48">SUMPRODUCT(M33:M41,Pars!M44:M52)</f>
        <v>6809.05</v>
      </c>
      <c r="N48" s="67">
        <f t="array" ref="N48">SUMPRODUCT(N33:N41,Pars!N44:N52)</f>
        <v>7163.65</v>
      </c>
      <c r="O48" s="67">
        <f t="array" ref="O48">SUMPRODUCT(O33:O41,Pars!O44:O52)</f>
        <v>10024.9611076</v>
      </c>
      <c r="P48" s="67">
        <f t="array" ref="P48">SUMPRODUCT(P33:P41,Pars!P44:P52)</f>
        <v>8894.75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57959.769750238753</v>
      </c>
      <c r="E49" s="67">
        <f t="shared" ref="E49:AC49" si="1">SUM(E46:E48)</f>
        <v>62304.665538771631</v>
      </c>
      <c r="F49" s="67">
        <f t="shared" si="1"/>
        <v>64725.821230000001</v>
      </c>
      <c r="G49" s="67">
        <f t="shared" si="1"/>
        <v>61429.522671999999</v>
      </c>
      <c r="H49" s="67">
        <f t="shared" si="1"/>
        <v>59070.079775999999</v>
      </c>
      <c r="I49" s="67">
        <f t="shared" si="1"/>
        <v>64352.434500000003</v>
      </c>
      <c r="J49" s="67">
        <f t="shared" si="1"/>
        <v>71408.177100000001</v>
      </c>
      <c r="K49" s="67">
        <f t="shared" si="1"/>
        <v>73344.405599999998</v>
      </c>
      <c r="L49" s="67">
        <f t="shared" si="1"/>
        <v>71451.598099999988</v>
      </c>
      <c r="M49" s="67">
        <f t="shared" si="1"/>
        <v>79514.03360000001</v>
      </c>
      <c r="N49" s="67">
        <f t="shared" si="1"/>
        <v>75407.376299999989</v>
      </c>
      <c r="O49" s="67">
        <f t="shared" si="1"/>
        <v>82735.281923599992</v>
      </c>
      <c r="P49" s="67">
        <f t="shared" si="1"/>
        <v>72571.429999999993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27602.413762721255</v>
      </c>
      <c r="E50" s="70">
        <f t="shared" ref="E50:AC50" si="2">E45-E49</f>
        <v>32559.388366454456</v>
      </c>
      <c r="F50" s="70">
        <f t="shared" si="2"/>
        <v>29540.696229413094</v>
      </c>
      <c r="G50" s="70">
        <f t="shared" si="2"/>
        <v>25167.137653219012</v>
      </c>
      <c r="H50" s="70">
        <f t="shared" si="2"/>
        <v>25721.485505098884</v>
      </c>
      <c r="I50" s="70">
        <f t="shared" si="2"/>
        <v>27247.066696094</v>
      </c>
      <c r="J50" s="70">
        <f t="shared" si="2"/>
        <v>28510.012030865211</v>
      </c>
      <c r="K50" s="70">
        <f t="shared" si="2"/>
        <v>28017.862445307692</v>
      </c>
      <c r="L50" s="70">
        <f t="shared" si="2"/>
        <v>28942.276956999543</v>
      </c>
      <c r="M50" s="70">
        <f t="shared" si="2"/>
        <v>20946.802972470818</v>
      </c>
      <c r="N50" s="70">
        <f t="shared" si="2"/>
        <v>25903.362986591135</v>
      </c>
      <c r="O50" s="70">
        <f t="shared" si="2"/>
        <v>23283.351733144445</v>
      </c>
      <c r="P50" s="70">
        <f t="shared" si="2"/>
        <v>22879.043848073823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27602.413762721255</v>
      </c>
      <c r="E62" s="79">
        <f t="shared" ref="E62:AC62" si="4">E50+E61</f>
        <v>32559.388366454456</v>
      </c>
      <c r="F62" s="79">
        <f t="shared" si="4"/>
        <v>29540.696229413094</v>
      </c>
      <c r="G62" s="79">
        <f t="shared" si="4"/>
        <v>25167.137653219012</v>
      </c>
      <c r="H62" s="79">
        <f t="shared" si="4"/>
        <v>25721.485505098884</v>
      </c>
      <c r="I62" s="79">
        <f t="shared" si="4"/>
        <v>27247.066696094</v>
      </c>
      <c r="J62" s="79">
        <f t="shared" si="4"/>
        <v>28510.012030865211</v>
      </c>
      <c r="K62" s="79">
        <f t="shared" si="4"/>
        <v>28017.862445307692</v>
      </c>
      <c r="L62" s="79">
        <f t="shared" si="4"/>
        <v>28942.276956999543</v>
      </c>
      <c r="M62" s="79">
        <f t="shared" si="4"/>
        <v>20946.802972470818</v>
      </c>
      <c r="N62" s="79">
        <f t="shared" si="4"/>
        <v>25903.362986591135</v>
      </c>
      <c r="O62" s="79">
        <f t="shared" si="4"/>
        <v>23283.351733144445</v>
      </c>
      <c r="P62" s="79">
        <f t="shared" si="4"/>
        <v>22879.043848073823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68" priority="5" operator="containsText" text="Nein">
      <formula>NOT(ISERROR(SEARCH("Nein",D22)))</formula>
    </cfRule>
  </conditionalFormatting>
  <conditionalFormatting sqref="D31:AC31">
    <cfRule type="cellIs" dxfId="67" priority="6" operator="equal">
      <formula>"ok"</formula>
    </cfRule>
  </conditionalFormatting>
  <conditionalFormatting sqref="H5:AC12 H14:AC16 H18:AC19 H33:AC41">
    <cfRule type="cellIs" dxfId="66" priority="4" operator="greaterThan">
      <formula>0</formula>
    </cfRule>
  </conditionalFormatting>
  <conditionalFormatting sqref="H6:AC12">
    <cfRule type="expression" dxfId="65" priority="3">
      <formula>NOT(ISBLANK(H6))</formula>
    </cfRule>
  </conditionalFormatting>
  <conditionalFormatting sqref="H18:AC19">
    <cfRule type="expression" dxfId="64" priority="2">
      <formula>NOT(ISBLANK(H18))</formula>
    </cfRule>
  </conditionalFormatting>
  <conditionalFormatting sqref="H56:AC60">
    <cfRule type="cellIs" dxfId="63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3BC35605-9D94-46FC-B173-650E7CA76DE8}">
      <formula1>"Ja, Nein"</formula1>
    </dataValidation>
  </dataValidations>
  <pageMargins left="0.7" right="0.7" top="0.75" bottom="0.75" header="0.3" footer="0.3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2137-FF87-4825-9C6E-9BED647BA99E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201</v>
      </c>
      <c r="D1" s="32"/>
      <c r="E1" s="32"/>
    </row>
    <row r="2" spans="1:30" x14ac:dyDescent="0.3">
      <c r="A2" s="30"/>
      <c r="B2" s="31" t="s">
        <v>86</v>
      </c>
      <c r="C2" s="33" t="s">
        <v>202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41639</v>
      </c>
      <c r="E5" s="42">
        <v>41639</v>
      </c>
      <c r="F5" s="42">
        <v>41639</v>
      </c>
      <c r="G5" s="42">
        <v>41639</v>
      </c>
      <c r="H5" s="43">
        <v>41639</v>
      </c>
      <c r="I5" s="43">
        <v>41140</v>
      </c>
      <c r="J5" s="43">
        <v>41131</v>
      </c>
      <c r="K5" s="43">
        <v>41203.141655163512</v>
      </c>
      <c r="L5" s="43">
        <v>41639</v>
      </c>
      <c r="M5" s="43">
        <v>41994</v>
      </c>
      <c r="N5" s="43">
        <v>41743</v>
      </c>
      <c r="O5" s="43">
        <v>41274.281751772724</v>
      </c>
      <c r="P5" s="43">
        <v>41405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38966</v>
      </c>
      <c r="E6" s="42">
        <v>39147</v>
      </c>
      <c r="F6" s="42">
        <v>40166</v>
      </c>
      <c r="G6" s="42">
        <v>37912</v>
      </c>
      <c r="H6" s="47">
        <v>36727</v>
      </c>
      <c r="I6" s="47">
        <v>37205</v>
      </c>
      <c r="J6" s="47">
        <v>35017</v>
      </c>
      <c r="K6" s="47">
        <v>39526</v>
      </c>
      <c r="L6" s="47">
        <v>37863</v>
      </c>
      <c r="M6" s="47">
        <v>38657</v>
      </c>
      <c r="N6" s="47">
        <v>37828</v>
      </c>
      <c r="O6" s="47">
        <v>42985</v>
      </c>
      <c r="P6" s="47">
        <v>41741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0</v>
      </c>
      <c r="E7" s="42">
        <v>0</v>
      </c>
      <c r="F7" s="42">
        <v>0</v>
      </c>
      <c r="G7" s="42">
        <v>0</v>
      </c>
      <c r="H7" s="47">
        <v>0</v>
      </c>
      <c r="I7" s="47">
        <v>0</v>
      </c>
      <c r="J7" s="47">
        <v>0</v>
      </c>
      <c r="K7" s="47">
        <v>0</v>
      </c>
      <c r="L7" s="47">
        <v>0</v>
      </c>
      <c r="M7" s="47">
        <v>0</v>
      </c>
      <c r="N7" s="47">
        <v>0</v>
      </c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11.5</v>
      </c>
      <c r="E14" s="51">
        <v>11.5</v>
      </c>
      <c r="F14" s="51">
        <v>11.5</v>
      </c>
      <c r="G14" s="51">
        <v>12.47</v>
      </c>
      <c r="H14" s="43">
        <v>12.39</v>
      </c>
      <c r="I14" s="43">
        <v>12.75</v>
      </c>
      <c r="J14" s="43">
        <v>12.93</v>
      </c>
      <c r="K14" s="43">
        <v>12.36</v>
      </c>
      <c r="L14" s="43">
        <v>12.48</v>
      </c>
      <c r="M14" s="43">
        <v>12.64</v>
      </c>
      <c r="N14" s="43">
        <v>12.583</v>
      </c>
      <c r="O14" s="43">
        <v>12.508940224045491</v>
      </c>
      <c r="P14" s="43">
        <v>12.26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15000</v>
      </c>
      <c r="E15" s="42">
        <v>39154</v>
      </c>
      <c r="F15" s="42">
        <v>77620</v>
      </c>
      <c r="G15" s="42">
        <v>74145</v>
      </c>
      <c r="H15" s="47">
        <v>74682</v>
      </c>
      <c r="I15" s="47">
        <v>77398</v>
      </c>
      <c r="J15" s="47">
        <v>70059</v>
      </c>
      <c r="K15" s="47">
        <v>74741</v>
      </c>
      <c r="L15" s="47">
        <v>74822</v>
      </c>
      <c r="M15" s="47">
        <v>79634</v>
      </c>
      <c r="N15" s="47">
        <v>74725</v>
      </c>
      <c r="O15" s="47">
        <v>91778.42268387675</v>
      </c>
      <c r="P15" s="47">
        <v>88732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509</v>
      </c>
      <c r="E16" s="42">
        <v>510</v>
      </c>
      <c r="F16" s="42">
        <v>534</v>
      </c>
      <c r="G16" s="42">
        <v>511</v>
      </c>
      <c r="H16" s="47">
        <v>426</v>
      </c>
      <c r="I16" s="47">
        <v>671</v>
      </c>
      <c r="J16" s="47">
        <v>426</v>
      </c>
      <c r="K16" s="47">
        <v>847</v>
      </c>
      <c r="L16" s="47">
        <v>651</v>
      </c>
      <c r="M16" s="47">
        <v>907</v>
      </c>
      <c r="N16" s="47">
        <v>898</v>
      </c>
      <c r="O16" s="47">
        <v>1247</v>
      </c>
      <c r="P16" s="47">
        <v>1459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8611</v>
      </c>
      <c r="E18" s="42">
        <v>7642</v>
      </c>
      <c r="F18" s="42">
        <v>8032</v>
      </c>
      <c r="G18" s="42">
        <v>7206</v>
      </c>
      <c r="H18" s="43">
        <v>6965</v>
      </c>
      <c r="I18" s="43">
        <v>6291</v>
      </c>
      <c r="J18" s="43">
        <v>6825</v>
      </c>
      <c r="K18" s="43">
        <v>7756</v>
      </c>
      <c r="L18" s="43">
        <v>7342</v>
      </c>
      <c r="M18" s="43">
        <v>6470</v>
      </c>
      <c r="N18" s="43">
        <v>7875</v>
      </c>
      <c r="O18" s="43">
        <v>8486.5600000000013</v>
      </c>
      <c r="P18" s="43">
        <v>8531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857</v>
      </c>
      <c r="E19" s="42">
        <v>1781</v>
      </c>
      <c r="F19" s="42">
        <v>1455</v>
      </c>
      <c r="G19" s="42">
        <v>1405</v>
      </c>
      <c r="H19" s="47">
        <v>1477</v>
      </c>
      <c r="I19" s="47">
        <v>895</v>
      </c>
      <c r="J19" s="47">
        <v>1135</v>
      </c>
      <c r="K19" s="47">
        <v>1284</v>
      </c>
      <c r="L19" s="47">
        <v>1208</v>
      </c>
      <c r="M19" s="47">
        <v>1043</v>
      </c>
      <c r="N19" s="47">
        <v>903</v>
      </c>
      <c r="O19" s="47">
        <v>934</v>
      </c>
      <c r="P19" s="47">
        <v>994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112</v>
      </c>
      <c r="E22" s="59" t="s">
        <v>112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112</v>
      </c>
      <c r="G23" s="59" t="s">
        <v>112</v>
      </c>
      <c r="H23" s="59" t="s">
        <v>112</v>
      </c>
      <c r="I23" s="59" t="s">
        <v>112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112</v>
      </c>
      <c r="K26" s="59" t="s">
        <v>112</v>
      </c>
      <c r="L26" s="59" t="s">
        <v>112</v>
      </c>
      <c r="M26" s="59" t="s">
        <v>112</v>
      </c>
      <c r="N26" s="59" t="s">
        <v>112</v>
      </c>
      <c r="O26" s="59" t="s">
        <v>112</v>
      </c>
      <c r="P26" s="59" t="s">
        <v>112</v>
      </c>
      <c r="Q26" s="59" t="s">
        <v>112</v>
      </c>
      <c r="R26" s="59" t="s">
        <v>112</v>
      </c>
      <c r="S26" s="59" t="s">
        <v>112</v>
      </c>
      <c r="T26" s="59" t="s">
        <v>112</v>
      </c>
      <c r="U26" s="59" t="s">
        <v>112</v>
      </c>
      <c r="V26" s="59" t="s">
        <v>112</v>
      </c>
      <c r="W26" s="59" t="s">
        <v>112</v>
      </c>
      <c r="X26" s="59" t="s">
        <v>112</v>
      </c>
      <c r="Y26" s="59" t="s">
        <v>112</v>
      </c>
      <c r="Z26" s="59" t="s">
        <v>112</v>
      </c>
      <c r="AA26" s="59" t="s">
        <v>112</v>
      </c>
      <c r="AB26" s="59" t="s">
        <v>112</v>
      </c>
      <c r="AC26" s="59" t="s">
        <v>112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352.69536570000002</v>
      </c>
      <c r="E33" s="47">
        <v>637</v>
      </c>
      <c r="F33" s="47">
        <v>759</v>
      </c>
      <c r="G33" s="47">
        <v>693</v>
      </c>
      <c r="H33" s="43">
        <v>692</v>
      </c>
      <c r="I33" s="43">
        <v>769</v>
      </c>
      <c r="J33" s="43">
        <v>728</v>
      </c>
      <c r="K33" s="43">
        <v>786</v>
      </c>
      <c r="L33" s="43">
        <v>779</v>
      </c>
      <c r="M33" s="43">
        <v>792</v>
      </c>
      <c r="N33" s="43">
        <v>808</v>
      </c>
      <c r="O33" s="82">
        <v>894.94</v>
      </c>
      <c r="P33" s="63">
        <v>939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73</v>
      </c>
      <c r="K34" s="47">
        <v>72.5</v>
      </c>
      <c r="L34" s="47">
        <v>62</v>
      </c>
      <c r="M34" s="47">
        <v>62</v>
      </c>
      <c r="N34" s="47">
        <v>60</v>
      </c>
      <c r="O34" s="83">
        <v>69.5</v>
      </c>
      <c r="P34" s="64">
        <v>70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83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83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/>
      <c r="H37" s="47"/>
      <c r="I37" s="47"/>
      <c r="J37" s="47">
        <v>10</v>
      </c>
      <c r="K37" s="47">
        <v>10</v>
      </c>
      <c r="L37" s="47">
        <v>10</v>
      </c>
      <c r="M37" s="47">
        <v>5</v>
      </c>
      <c r="N37" s="47">
        <v>5</v>
      </c>
      <c r="O37" s="83">
        <v>10.45</v>
      </c>
      <c r="P37" s="64">
        <v>10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83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83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83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/>
      <c r="E41" s="47"/>
      <c r="F41" s="47">
        <v>92</v>
      </c>
      <c r="G41" s="47">
        <v>85.255987500000003</v>
      </c>
      <c r="H41" s="47">
        <v>82.404656250000002</v>
      </c>
      <c r="I41" s="47">
        <v>80</v>
      </c>
      <c r="J41" s="47">
        <v>59</v>
      </c>
      <c r="K41" s="47">
        <v>58.5</v>
      </c>
      <c r="L41" s="47">
        <v>31</v>
      </c>
      <c r="M41" s="47">
        <v>31</v>
      </c>
      <c r="N41" s="47">
        <v>30</v>
      </c>
      <c r="O41" s="83">
        <v>91.66</v>
      </c>
      <c r="P41" s="64">
        <v>92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(Pars!D56+(D_VS_1!D14-Pars!D57)*Pars!D58)/Pars!D59</f>
        <v>0.29339999999999999</v>
      </c>
      <c r="E43" s="66">
        <f>(Pars!E56+(D_VS_1!E14-Pars!E57)*Pars!E58)/Pars!E59</f>
        <v>0.29339970660029341</v>
      </c>
      <c r="F43" s="66">
        <f>(Pars!F56+(D_VS_1!F14-Pars!F57)*Pars!F58)/Pars!F59</f>
        <v>0.29339941320117358</v>
      </c>
      <c r="G43" s="66">
        <f>(Pars!G56+(D_VS_1!G14-Pars!G57)*Pars!G58)/Pars!G59</f>
        <v>0.31241106276681169</v>
      </c>
      <c r="H43" s="66">
        <f>(Pars!H56+(D_VS_1!H14-Pars!H57)*Pars!H58)/Pars!H59</f>
        <v>0.31084275662897348</v>
      </c>
      <c r="I43" s="66">
        <f>(Pars!I56+(D_VS_1!I14-Pars!I57)*Pars!I58)/Pars!I59</f>
        <v>0.31789841050794748</v>
      </c>
      <c r="J43" s="66">
        <f>(Pars!J56+(D_VS_1!J14-Pars!J57)*Pars!J58)/Pars!J59</f>
        <v>0.32142607144357133</v>
      </c>
      <c r="K43" s="66">
        <f>(Pars!K56+(D_VS_1!K14-Pars!K57)*Pars!K58)/Pars!K59</f>
        <v>0.31025382822320241</v>
      </c>
      <c r="L43" s="66">
        <f>(Pars!L56+(D_VS_1!L14-Pars!L57)*Pars!L58)/Pars!L59</f>
        <v>0.31260549915600677</v>
      </c>
      <c r="M43" s="66">
        <f>(Pars!M56+(D_VS_1!M14-Pars!M57)*Pars!M58)/Pars!M59</f>
        <v>0.31574115832957506</v>
      </c>
      <c r="N43" s="66">
        <f>(Pars!N56+(D_VS_1!N14-Pars!N57)*Pars!N58)/Pars!N59</f>
        <v>0.31462365376346235</v>
      </c>
      <c r="O43" s="66">
        <f>(Pars!O56+(D_VS_1!O14-Pars!O57)*Pars!O58)/Pars!O59</f>
        <v>0.31317178350167313</v>
      </c>
      <c r="P43" s="66">
        <f>(Pars!P56+(D_VS_1!P14-Pars!P57)*Pars!P58)/Pars!P59</f>
        <v>0.30829230049239409</v>
      </c>
      <c r="Q43" s="66">
        <f>(Pars!Q56+(D_VS_1!Q14-Pars!Q57)*Pars!Q58)/Pars!Q59</f>
        <v>6.7999116011491847E-2</v>
      </c>
      <c r="R43" s="66">
        <f>(Pars!R56+(D_VS_1!R14-Pars!R57)*Pars!R58)/Pars!R59</f>
        <v>6.7999048013327817E-2</v>
      </c>
      <c r="S43" s="66">
        <f>(Pars!S56+(D_VS_1!S14-Pars!S57)*Pars!S58)/Pars!S59</f>
        <v>6.7998980015299776E-2</v>
      </c>
      <c r="T43" s="66">
        <f>(Pars!T56+(D_VS_1!T14-Pars!T57)*Pars!T58)/Pars!T59</f>
        <v>6.7998980015299776E-2</v>
      </c>
      <c r="U43" s="66">
        <f>(Pars!U56+(D_VS_1!U14-Pars!U57)*Pars!U58)/Pars!U59</f>
        <v>6.7998980015299776E-2</v>
      </c>
      <c r="V43" s="66">
        <f>(Pars!V56+(D_VS_1!V14-Pars!V57)*Pars!V58)/Pars!V59</f>
        <v>6.7998980015299776E-2</v>
      </c>
      <c r="W43" s="66">
        <f>(Pars!W56+(D_VS_1!W14-Pars!W57)*Pars!W58)/Pars!W59</f>
        <v>6.7998980015299776E-2</v>
      </c>
      <c r="X43" s="66">
        <f>(Pars!X56+(D_VS_1!X14-Pars!X57)*Pars!X58)/Pars!X59</f>
        <v>6.7998980015299776E-2</v>
      </c>
      <c r="Y43" s="66">
        <f>(Pars!Y56+(D_VS_1!Y14-Pars!Y57)*Pars!Y58)/Pars!Y59</f>
        <v>6.7998980015299776E-2</v>
      </c>
      <c r="Z43" s="66">
        <f>(Pars!Z56+(D_VS_1!Z14-Pars!Z57)*Pars!Z58)/Pars!Z59</f>
        <v>6.7998980015299776E-2</v>
      </c>
      <c r="AA43" s="66">
        <f>(Pars!AA56+(D_VS_1!AA14-Pars!AA57)*Pars!AA58)/Pars!AA59</f>
        <v>6.7998980015299776E-2</v>
      </c>
      <c r="AB43" s="66">
        <f>(Pars!AB56+(D_VS_1!AB14-Pars!AB57)*Pars!AB58)/Pars!AB59</f>
        <v>6.7998980015299776E-2</v>
      </c>
      <c r="AC43" s="66">
        <f>(Pars!AC56+(D_VS_1!AC14-Pars!AC57)*Pars!AC58)/Pars!AC59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41919.622799999997</v>
      </c>
      <c r="E44" s="43">
        <f>Pars!E37*E43*E6</f>
        <v>42114.30048569951</v>
      </c>
      <c r="F44" s="43">
        <f>Pars!F37*F43*F6</f>
        <v>43210.496379007243</v>
      </c>
      <c r="G44" s="43">
        <f>Pars!G37*G43*G6</f>
        <v>43428.470109256341</v>
      </c>
      <c r="H44" s="43">
        <f>Pars!H37*H43*H6</f>
        <v>41859.847049945129</v>
      </c>
      <c r="I44" s="43">
        <f>Pars!I37*I43*I6</f>
        <v>43367.171330810015</v>
      </c>
      <c r="J44" s="43">
        <f>Pars!J37*J43*J6</f>
        <v>41269.714727044971</v>
      </c>
      <c r="K44" s="43">
        <f>Pars!K37*K43*K6</f>
        <v>44964.673652617756</v>
      </c>
      <c r="L44" s="43">
        <f>Pars!L37*L43*L6</f>
        <v>43399.334053327577</v>
      </c>
      <c r="M44" s="43">
        <f>Pars!M37*M43*M6</f>
        <v>44753.888511003403</v>
      </c>
      <c r="N44" s="43">
        <f>Pars!N37*N43*N6</f>
        <v>43639.139773402261</v>
      </c>
      <c r="O44" s="63">
        <f>Pars!O37*O43*O6</f>
        <v>49359.526750671204</v>
      </c>
      <c r="P44" s="63">
        <f>Pars!P37*P43*P6</f>
        <v>47184.239354461075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20121.418943999997</v>
      </c>
      <c r="E45" s="43">
        <f>E44*Pars!E36/100</f>
        <v>20214.864233135766</v>
      </c>
      <c r="F45" s="43">
        <f>F44*Pars!F36/100</f>
        <v>20741.038261923477</v>
      </c>
      <c r="G45" s="43">
        <f>G44*Pars!G36/100</f>
        <v>20845.665652443044</v>
      </c>
      <c r="H45" s="43">
        <f>H44*Pars!H36/100</f>
        <v>20092.726583973665</v>
      </c>
      <c r="I45" s="43">
        <f>I44*Pars!I36/100</f>
        <v>20816.242238788807</v>
      </c>
      <c r="J45" s="43">
        <f>J44*Pars!J36/100</f>
        <v>19809.463068981586</v>
      </c>
      <c r="K45" s="43">
        <f>K44*Pars!K36/100</f>
        <v>21583.043353256522</v>
      </c>
      <c r="L45" s="43">
        <f>L44*Pars!L36/100</f>
        <v>20831.680345597237</v>
      </c>
      <c r="M45" s="43">
        <f>M44*Pars!M36/100</f>
        <v>21481.866485281633</v>
      </c>
      <c r="N45" s="43">
        <f>N44*Pars!N36/100</f>
        <v>20946.787091233084</v>
      </c>
      <c r="O45" s="63">
        <f>O44*Pars!O36/100</f>
        <v>23692.572840322176</v>
      </c>
      <c r="P45" s="63">
        <f>P44*Pars!P36/100</f>
        <v>22648.434890141314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3364.5</v>
      </c>
      <c r="E46" s="43">
        <f>Pars!E40*E15</f>
        <v>8782.2422000000006</v>
      </c>
      <c r="F46" s="43">
        <f>Pars!F40*F15</f>
        <v>17410.166000000001</v>
      </c>
      <c r="G46" s="43">
        <f>Pars!G40*G15</f>
        <v>16630.7235</v>
      </c>
      <c r="H46" s="43">
        <f>Pars!H40*H15</f>
        <v>16751.172600000002</v>
      </c>
      <c r="I46" s="43">
        <f>Pars!I40*I15</f>
        <v>17360.3714</v>
      </c>
      <c r="J46" s="43">
        <f>Pars!J40*J15</f>
        <v>15714.233700000001</v>
      </c>
      <c r="K46" s="43">
        <f>Pars!K40*K15</f>
        <v>16764.406299999999</v>
      </c>
      <c r="L46" s="43">
        <f>Pars!L40*L15</f>
        <v>16782.5746</v>
      </c>
      <c r="M46" s="43">
        <f>Pars!M40*M15</f>
        <v>17861.906200000001</v>
      </c>
      <c r="N46" s="43">
        <f>Pars!N40*N15</f>
        <v>16760.817500000001</v>
      </c>
      <c r="O46" s="63">
        <f>Pars!O40*O15</f>
        <v>20585.900207993556</v>
      </c>
      <c r="P46" s="63">
        <f>Pars!P40*P15</f>
        <v>19902.587599999999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15.0664</v>
      </c>
      <c r="E47" s="43">
        <f>Pars!E41*E16</f>
        <v>15.096</v>
      </c>
      <c r="F47" s="43">
        <f>Pars!F41*F16</f>
        <v>15.8064</v>
      </c>
      <c r="G47" s="43">
        <f>Pars!G41*G16</f>
        <v>15.1256</v>
      </c>
      <c r="H47" s="43">
        <f>Pars!H41*H16</f>
        <v>12.6096</v>
      </c>
      <c r="I47" s="43">
        <f>Pars!I41*I16</f>
        <v>19.861599999999999</v>
      </c>
      <c r="J47" s="43">
        <f>Pars!J41*J16</f>
        <v>12.6096</v>
      </c>
      <c r="K47" s="43">
        <f>Pars!K41*K16</f>
        <v>25.071200000000001</v>
      </c>
      <c r="L47" s="43">
        <f>Pars!L41*L16</f>
        <v>19.269600000000001</v>
      </c>
      <c r="M47" s="43">
        <f>Pars!M41*M16</f>
        <v>26.847200000000001</v>
      </c>
      <c r="N47" s="43">
        <f>Pars!N41*N16</f>
        <v>26.5808</v>
      </c>
      <c r="O47" s="63">
        <f>Pars!O41*O16</f>
        <v>36.911200000000001</v>
      </c>
      <c r="P47" s="63">
        <f>Pars!P41*P16</f>
        <v>43.186399999999999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532.57000220700002</v>
      </c>
      <c r="E48" s="67">
        <f t="array" ref="E48">SUMPRODUCT(E33:E41,Pars!E44:E52)</f>
        <v>961.87</v>
      </c>
      <c r="F48" s="67">
        <f t="array" ref="F48">SUMPRODUCT(F33:F41,Pars!F44:F52)</f>
        <v>1606.09</v>
      </c>
      <c r="G48" s="67">
        <f t="array" ref="G48">SUMPRODUCT(G33:G41,Pars!G44:G52)</f>
        <v>1472.7099375</v>
      </c>
      <c r="H48" s="67">
        <f t="array" ref="H48">SUMPRODUCT(H33:H41,Pars!H44:H52)</f>
        <v>1456.9432812500002</v>
      </c>
      <c r="I48" s="67">
        <f t="array" ref="I48">SUMPRODUCT(I33:I41,Pars!I44:I52)</f>
        <v>1561.19</v>
      </c>
      <c r="J48" s="67">
        <f t="array" ref="J48">SUMPRODUCT(J33:J41,Pars!J44:J52)</f>
        <v>2053.0500000000002</v>
      </c>
      <c r="K48" s="67">
        <f t="array" ref="K48">SUMPRODUCT(K33:K41,Pars!K44:K52)</f>
        <v>2133.7849999999999</v>
      </c>
      <c r="L48" s="67">
        <f t="array" ref="L48">SUMPRODUCT(L33:L41,Pars!L44:L52)</f>
        <v>1894.47</v>
      </c>
      <c r="M48" s="67">
        <f t="array" ref="M48">SUMPRODUCT(M33:M41,Pars!M44:M52)</f>
        <v>1901.9</v>
      </c>
      <c r="N48" s="67">
        <f t="array" ref="N48">SUMPRODUCT(N33:N41,Pars!N44:N52)</f>
        <v>1903.68</v>
      </c>
      <c r="O48" s="67">
        <f t="array" ref="O48">SUMPRODUCT(O33:O41,Pars!O44:O52)</f>
        <v>2439.1124</v>
      </c>
      <c r="P48" s="67">
        <f t="array" ref="P48">SUMPRODUCT(P33:P41,Pars!P44:P52)</f>
        <v>2510.59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3912.1364022070002</v>
      </c>
      <c r="E49" s="67">
        <f t="shared" ref="E49:AC49" si="1">SUM(E46:E48)</f>
        <v>9759.2082000000009</v>
      </c>
      <c r="F49" s="67">
        <f t="shared" si="1"/>
        <v>19032.062400000003</v>
      </c>
      <c r="G49" s="67">
        <f t="shared" si="1"/>
        <v>18118.559037499999</v>
      </c>
      <c r="H49" s="67">
        <f t="shared" si="1"/>
        <v>18220.725481250003</v>
      </c>
      <c r="I49" s="67">
        <f t="shared" si="1"/>
        <v>18941.422999999999</v>
      </c>
      <c r="J49" s="67">
        <f t="shared" si="1"/>
        <v>17779.8933</v>
      </c>
      <c r="K49" s="67">
        <f t="shared" si="1"/>
        <v>18923.262499999997</v>
      </c>
      <c r="L49" s="67">
        <f t="shared" si="1"/>
        <v>18696.314200000001</v>
      </c>
      <c r="M49" s="67">
        <f t="shared" si="1"/>
        <v>19790.653400000003</v>
      </c>
      <c r="N49" s="67">
        <f t="shared" si="1"/>
        <v>18691.078300000001</v>
      </c>
      <c r="O49" s="67">
        <f t="shared" si="1"/>
        <v>23061.923807993553</v>
      </c>
      <c r="P49" s="67">
        <f t="shared" si="1"/>
        <v>22456.363999999998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16209.282541792996</v>
      </c>
      <c r="E50" s="70">
        <f t="shared" ref="E50:AC50" si="2">E45-E49</f>
        <v>10455.656033135765</v>
      </c>
      <c r="F50" s="70">
        <f t="shared" si="2"/>
        <v>1708.9758619234744</v>
      </c>
      <c r="G50" s="70">
        <f t="shared" si="2"/>
        <v>2727.1066149430444</v>
      </c>
      <c r="H50" s="70">
        <f t="shared" si="2"/>
        <v>1872.0011027236615</v>
      </c>
      <c r="I50" s="70">
        <f t="shared" si="2"/>
        <v>1874.8192387888084</v>
      </c>
      <c r="J50" s="70">
        <f t="shared" si="2"/>
        <v>2029.5697689815861</v>
      </c>
      <c r="K50" s="70">
        <f t="shared" si="2"/>
        <v>2659.780853256525</v>
      </c>
      <c r="L50" s="70">
        <f t="shared" si="2"/>
        <v>2135.366145597236</v>
      </c>
      <c r="M50" s="70">
        <f t="shared" si="2"/>
        <v>1691.2130852816299</v>
      </c>
      <c r="N50" s="70">
        <f t="shared" si="2"/>
        <v>2255.7087912330826</v>
      </c>
      <c r="O50" s="70">
        <f t="shared" si="2"/>
        <v>630.64903232862343</v>
      </c>
      <c r="P50" s="70">
        <f t="shared" si="2"/>
        <v>192.07089014131634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16209.282541792996</v>
      </c>
      <c r="E62" s="79">
        <f t="shared" ref="E62:AC62" si="4">E50+E61</f>
        <v>10455.656033135765</v>
      </c>
      <c r="F62" s="79">
        <f t="shared" si="4"/>
        <v>1708.9758619234744</v>
      </c>
      <c r="G62" s="79">
        <f t="shared" si="4"/>
        <v>2727.1066149430444</v>
      </c>
      <c r="H62" s="79">
        <f t="shared" si="4"/>
        <v>1872.0011027236615</v>
      </c>
      <c r="I62" s="79">
        <f t="shared" si="4"/>
        <v>1874.8192387888084</v>
      </c>
      <c r="J62" s="79">
        <f t="shared" si="4"/>
        <v>2029.5697689815861</v>
      </c>
      <c r="K62" s="79">
        <f t="shared" si="4"/>
        <v>2659.780853256525</v>
      </c>
      <c r="L62" s="79">
        <f t="shared" si="4"/>
        <v>2135.366145597236</v>
      </c>
      <c r="M62" s="79">
        <f t="shared" si="4"/>
        <v>1691.2130852816299</v>
      </c>
      <c r="N62" s="79">
        <f t="shared" si="4"/>
        <v>2255.7087912330826</v>
      </c>
      <c r="O62" s="79">
        <f t="shared" si="4"/>
        <v>630.64903232862343</v>
      </c>
      <c r="P62" s="79">
        <f t="shared" si="4"/>
        <v>192.07089014131634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62" priority="5" operator="containsText" text="Nein">
      <formula>NOT(ISERROR(SEARCH("Nein",D22)))</formula>
    </cfRule>
  </conditionalFormatting>
  <conditionalFormatting sqref="D31:AC31">
    <cfRule type="cellIs" dxfId="61" priority="6" operator="equal">
      <formula>"ok"</formula>
    </cfRule>
  </conditionalFormatting>
  <conditionalFormatting sqref="H5:AC12 H14:AC16 H18:AC19 H33:AC41">
    <cfRule type="cellIs" dxfId="60" priority="4" operator="greaterThan">
      <formula>0</formula>
    </cfRule>
  </conditionalFormatting>
  <conditionalFormatting sqref="H6:AC12">
    <cfRule type="expression" dxfId="59" priority="3">
      <formula>NOT(ISBLANK(H6))</formula>
    </cfRule>
  </conditionalFormatting>
  <conditionalFormatting sqref="H18:AC19">
    <cfRule type="expression" dxfId="58" priority="2">
      <formula>NOT(ISBLANK(H18))</formula>
    </cfRule>
  </conditionalFormatting>
  <conditionalFormatting sqref="H56:AC60">
    <cfRule type="cellIs" dxfId="57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E6ED0C05-EA79-4DD4-95B9-F0A7F76E8D5F}">
      <formula1>"Ja, Nein"</formula1>
    </dataValidation>
  </dataValidation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AD6B5-4A04-478A-A5B8-1BE277FF5357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203</v>
      </c>
      <c r="D1" s="32"/>
      <c r="E1" s="32"/>
    </row>
    <row r="2" spans="1:30" x14ac:dyDescent="0.3">
      <c r="A2" s="30"/>
      <c r="B2" s="31" t="s">
        <v>86</v>
      </c>
      <c r="C2" s="33" t="s">
        <v>204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65000</v>
      </c>
      <c r="E5" s="42">
        <v>65000</v>
      </c>
      <c r="F5" s="42">
        <v>65000</v>
      </c>
      <c r="G5" s="42">
        <v>65000</v>
      </c>
      <c r="H5" s="43">
        <v>65000</v>
      </c>
      <c r="I5" s="43">
        <v>65000</v>
      </c>
      <c r="J5" s="43">
        <v>65000</v>
      </c>
      <c r="K5" s="43">
        <v>65000</v>
      </c>
      <c r="L5" s="43">
        <v>65000</v>
      </c>
      <c r="M5" s="43">
        <v>65000</v>
      </c>
      <c r="N5" s="43">
        <v>62545</v>
      </c>
      <c r="O5" s="43">
        <v>63124.429545739105</v>
      </c>
      <c r="P5" s="43">
        <v>62367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72100</v>
      </c>
      <c r="E6" s="42">
        <v>72932</v>
      </c>
      <c r="F6" s="42">
        <v>72778</v>
      </c>
      <c r="G6" s="42">
        <v>77632</v>
      </c>
      <c r="H6" s="47">
        <v>68065</v>
      </c>
      <c r="I6" s="47">
        <v>70306</v>
      </c>
      <c r="J6" s="47">
        <v>69903</v>
      </c>
      <c r="K6" s="47">
        <v>66965</v>
      </c>
      <c r="L6" s="47">
        <v>56350</v>
      </c>
      <c r="M6" s="47">
        <v>57675</v>
      </c>
      <c r="N6" s="47">
        <v>55968</v>
      </c>
      <c r="O6" s="47">
        <v>58614</v>
      </c>
      <c r="P6" s="47">
        <v>55686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11230</v>
      </c>
      <c r="E7" s="42">
        <v>10620</v>
      </c>
      <c r="F7" s="42">
        <v>9541</v>
      </c>
      <c r="G7" s="42">
        <v>9238</v>
      </c>
      <c r="H7" s="47">
        <v>0</v>
      </c>
      <c r="I7" s="47">
        <v>0</v>
      </c>
      <c r="J7" s="47">
        <v>0</v>
      </c>
      <c r="K7" s="47">
        <v>0</v>
      </c>
      <c r="L7" s="47">
        <v>0</v>
      </c>
      <c r="M7" s="47">
        <v>0</v>
      </c>
      <c r="N7" s="47">
        <v>0</v>
      </c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9.4179999999999993</v>
      </c>
      <c r="E14" s="51">
        <v>9.7469999999999999</v>
      </c>
      <c r="F14" s="51">
        <v>10.217000000000001</v>
      </c>
      <c r="G14" s="51">
        <v>9.7899999999999991</v>
      </c>
      <c r="H14" s="43">
        <v>11.2</v>
      </c>
      <c r="I14" s="43">
        <v>10.81</v>
      </c>
      <c r="J14" s="43">
        <v>11.08</v>
      </c>
      <c r="K14" s="43">
        <v>11.21</v>
      </c>
      <c r="L14" s="43">
        <v>12.66</v>
      </c>
      <c r="M14" s="43">
        <v>11.86</v>
      </c>
      <c r="N14" s="43">
        <v>12.865</v>
      </c>
      <c r="O14" s="43">
        <v>11.856836945978619</v>
      </c>
      <c r="P14" s="43">
        <v>12.76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1916</v>
      </c>
      <c r="E15" s="42">
        <v>4480</v>
      </c>
      <c r="F15" s="42">
        <v>5535</v>
      </c>
      <c r="G15" s="42">
        <v>9203</v>
      </c>
      <c r="H15" s="47">
        <v>16768</v>
      </c>
      <c r="I15" s="47">
        <f>8269+7401</f>
        <v>15670</v>
      </c>
      <c r="J15" s="47">
        <v>14156</v>
      </c>
      <c r="K15" s="47">
        <v>15131</v>
      </c>
      <c r="L15" s="47">
        <v>16549</v>
      </c>
      <c r="M15" s="47">
        <f>8405+8090</f>
        <v>16495</v>
      </c>
      <c r="N15" s="47">
        <v>18541</v>
      </c>
      <c r="O15" s="47">
        <v>16585.310587755106</v>
      </c>
      <c r="P15" s="47">
        <f>9654+10701</f>
        <v>20355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27212</v>
      </c>
      <c r="E16" s="42">
        <v>26342</v>
      </c>
      <c r="F16" s="42">
        <v>26529</v>
      </c>
      <c r="G16" s="42">
        <v>24556</v>
      </c>
      <c r="H16" s="47">
        <v>25955</v>
      </c>
      <c r="I16" s="47">
        <v>23055</v>
      </c>
      <c r="J16" s="47">
        <v>23864</v>
      </c>
      <c r="K16" s="47">
        <v>23314</v>
      </c>
      <c r="L16" s="47">
        <v>27329</v>
      </c>
      <c r="M16" s="47">
        <v>26227</v>
      </c>
      <c r="N16" s="47">
        <v>21902</v>
      </c>
      <c r="O16" s="47">
        <v>2253.9790473870144</v>
      </c>
      <c r="P16" s="47">
        <v>21209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13753</v>
      </c>
      <c r="E18" s="42">
        <v>15848</v>
      </c>
      <c r="F18" s="42">
        <v>14896</v>
      </c>
      <c r="G18" s="42">
        <v>15029</v>
      </c>
      <c r="H18" s="43">
        <v>14355</v>
      </c>
      <c r="I18" s="43">
        <v>13859</v>
      </c>
      <c r="J18" s="43">
        <v>13734</v>
      </c>
      <c r="K18" s="43">
        <v>13927</v>
      </c>
      <c r="L18" s="43">
        <v>12356</v>
      </c>
      <c r="M18" s="43">
        <v>11402</v>
      </c>
      <c r="N18" s="43">
        <v>13045</v>
      </c>
      <c r="O18" s="43">
        <v>12815</v>
      </c>
      <c r="P18" s="43">
        <v>12550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1210</v>
      </c>
      <c r="E19" s="42">
        <v>1495</v>
      </c>
      <c r="F19" s="42">
        <v>1144</v>
      </c>
      <c r="G19" s="42">
        <v>1544</v>
      </c>
      <c r="H19" s="47">
        <v>1401</v>
      </c>
      <c r="I19" s="47">
        <v>1174</v>
      </c>
      <c r="J19" s="47">
        <v>1512</v>
      </c>
      <c r="K19" s="47">
        <v>1669</v>
      </c>
      <c r="L19" s="47">
        <v>1086</v>
      </c>
      <c r="M19" s="47">
        <v>730</v>
      </c>
      <c r="N19" s="47">
        <v>1059</v>
      </c>
      <c r="O19" s="47">
        <v>1160</v>
      </c>
      <c r="P19" s="47">
        <v>1170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112</v>
      </c>
      <c r="E22" s="59" t="s">
        <v>112</v>
      </c>
      <c r="F22" s="59" t="s">
        <v>112</v>
      </c>
      <c r="G22" s="59" t="s">
        <v>112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113</v>
      </c>
      <c r="G23" s="59" t="s">
        <v>113</v>
      </c>
      <c r="H23" s="59" t="s">
        <v>112</v>
      </c>
      <c r="I23" s="59" t="s">
        <v>112</v>
      </c>
      <c r="J23" s="59" t="s">
        <v>112</v>
      </c>
      <c r="K23" s="59" t="s">
        <v>112</v>
      </c>
      <c r="L23" s="59" t="s">
        <v>112</v>
      </c>
      <c r="M23" s="59" t="s">
        <v>112</v>
      </c>
      <c r="N23" s="59" t="s">
        <v>112</v>
      </c>
      <c r="O23" s="59" t="s">
        <v>112</v>
      </c>
      <c r="P23" s="59" t="s">
        <v>112</v>
      </c>
      <c r="Q23" s="59" t="s">
        <v>112</v>
      </c>
      <c r="R23" s="59" t="s">
        <v>112</v>
      </c>
      <c r="S23" s="59" t="s">
        <v>112</v>
      </c>
      <c r="T23" s="59" t="s">
        <v>112</v>
      </c>
      <c r="U23" s="59" t="s">
        <v>112</v>
      </c>
      <c r="V23" s="59" t="s">
        <v>112</v>
      </c>
      <c r="W23" s="59" t="s">
        <v>112</v>
      </c>
      <c r="X23" s="59" t="s">
        <v>112</v>
      </c>
      <c r="Y23" s="59" t="s">
        <v>112</v>
      </c>
      <c r="Z23" s="59" t="s">
        <v>112</v>
      </c>
      <c r="AA23" s="59" t="s">
        <v>112</v>
      </c>
      <c r="AB23" s="59" t="s">
        <v>112</v>
      </c>
      <c r="AC23" s="59" t="s">
        <v>112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583</v>
      </c>
      <c r="E33" s="47">
        <v>647</v>
      </c>
      <c r="F33" s="47">
        <v>710</v>
      </c>
      <c r="G33" s="47">
        <v>474</v>
      </c>
      <c r="H33" s="43">
        <v>605</v>
      </c>
      <c r="I33" s="43">
        <v>635</v>
      </c>
      <c r="J33" s="43">
        <v>545</v>
      </c>
      <c r="K33" s="43">
        <v>573</v>
      </c>
      <c r="L33" s="43">
        <v>472</v>
      </c>
      <c r="M33" s="43">
        <v>420</v>
      </c>
      <c r="N33" s="43">
        <v>490</v>
      </c>
      <c r="O33" s="63">
        <v>525</v>
      </c>
      <c r="P33" s="63">
        <v>360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/>
      <c r="K34" s="47">
        <v>0</v>
      </c>
      <c r="L34" s="47"/>
      <c r="M34" s="47"/>
      <c r="N34" s="47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/>
      <c r="E41" s="47"/>
      <c r="F41" s="47"/>
      <c r="G41" s="47"/>
      <c r="H41" s="47">
        <v>165</v>
      </c>
      <c r="I41" s="47">
        <v>165</v>
      </c>
      <c r="J41" s="47">
        <v>165</v>
      </c>
      <c r="K41" s="47">
        <v>165</v>
      </c>
      <c r="L41" s="47">
        <v>165</v>
      </c>
      <c r="M41" s="47">
        <v>165</v>
      </c>
      <c r="N41" s="47">
        <v>165</v>
      </c>
      <c r="O41" s="64">
        <v>165</v>
      </c>
      <c r="P41" s="64">
        <v>165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(Pars!D56+(D_VS_2!D14-Pars!D57)*Pars!D58)/Pars!D59</f>
        <v>0.25259280000000001</v>
      </c>
      <c r="E43" s="66">
        <f>(Pars!E56+(D_VS_2!E14-Pars!E57)*Pars!E58)/Pars!E59</f>
        <v>0.25904094095905905</v>
      </c>
      <c r="F43" s="66">
        <f>(Pars!F56+(D_VS_2!F14-Pars!F57)*Pars!F58)/Pars!F59</f>
        <v>0.26825266349467303</v>
      </c>
      <c r="G43" s="66">
        <f>(Pars!G56+(D_VS_2!G14-Pars!G57)*Pars!G58)/Pars!G59</f>
        <v>0.25988322035033889</v>
      </c>
      <c r="H43" s="66">
        <f>(Pars!H56+(D_VS_2!H14-Pars!H57)*Pars!H58)/Pars!H59</f>
        <v>0.28751884992460031</v>
      </c>
      <c r="I43" s="66">
        <f>(Pars!I56+(D_VS_2!I14-Pars!I57)*Pars!I58)/Pars!I59</f>
        <v>0.27987460062699687</v>
      </c>
      <c r="J43" s="66">
        <f>(Pars!J56+(D_VS_2!J14-Pars!J57)*Pars!J58)/Pars!J59</f>
        <v>0.28516628900226598</v>
      </c>
      <c r="K43" s="66">
        <f>(Pars!K56+(D_VS_2!K14-Pars!K57)*Pars!K58)/Pars!K59</f>
        <v>0.28771398600209797</v>
      </c>
      <c r="L43" s="66">
        <f>(Pars!L56+(D_VS_2!L14-Pars!L57)*Pars!L58)/Pars!L59</f>
        <v>0.31613347093223254</v>
      </c>
      <c r="M43" s="66">
        <f>(Pars!M56+(D_VS_2!M14-Pars!M57)*Pars!M58)/Pars!M59</f>
        <v>0.3004532959203367</v>
      </c>
      <c r="N43" s="66">
        <f>(Pars!N56+(D_VS_2!N14-Pars!N57)*Pars!N58)/Pars!N59</f>
        <v>0.32015079849201505</v>
      </c>
      <c r="O43" s="66">
        <f>(Pars!O56+(D_VS_2!O14-Pars!O57)*Pars!O58)/Pars!O59</f>
        <v>0.30039069984348266</v>
      </c>
      <c r="P43" s="66">
        <f>(Pars!P56+(D_VS_2!P14-Pars!P57)*Pars!P58)/Pars!P59</f>
        <v>0.31809218289380525</v>
      </c>
      <c r="Q43" s="66">
        <f>(Pars!Q56+(D_VS_2!Q14-Pars!Q57)*Pars!Q58)/Pars!Q59</f>
        <v>6.7999116011491847E-2</v>
      </c>
      <c r="R43" s="66">
        <f>(Pars!R56+(D_VS_2!R14-Pars!R57)*Pars!R58)/Pars!R59</f>
        <v>6.7999048013327817E-2</v>
      </c>
      <c r="S43" s="66">
        <f>(Pars!S56+(D_VS_2!S14-Pars!S57)*Pars!S58)/Pars!S59</f>
        <v>6.7998980015299776E-2</v>
      </c>
      <c r="T43" s="66">
        <f>(Pars!T56+(D_VS_2!T14-Pars!T57)*Pars!T58)/Pars!T59</f>
        <v>6.7998980015299776E-2</v>
      </c>
      <c r="U43" s="66">
        <f>(Pars!U56+(D_VS_2!U14-Pars!U57)*Pars!U58)/Pars!U59</f>
        <v>6.7998980015299776E-2</v>
      </c>
      <c r="V43" s="66">
        <f>(Pars!V56+(D_VS_2!V14-Pars!V57)*Pars!V58)/Pars!V59</f>
        <v>6.7998980015299776E-2</v>
      </c>
      <c r="W43" s="66">
        <f>(Pars!W56+(D_VS_2!W14-Pars!W57)*Pars!W58)/Pars!W59</f>
        <v>6.7998980015299776E-2</v>
      </c>
      <c r="X43" s="66">
        <f>(Pars!X56+(D_VS_2!X14-Pars!X57)*Pars!X58)/Pars!X59</f>
        <v>6.7998980015299776E-2</v>
      </c>
      <c r="Y43" s="66">
        <f>(Pars!Y56+(D_VS_2!Y14-Pars!Y57)*Pars!Y58)/Pars!Y59</f>
        <v>6.7998980015299776E-2</v>
      </c>
      <c r="Z43" s="66">
        <f>(Pars!Z56+(D_VS_2!Z14-Pars!Z57)*Pars!Z58)/Pars!Z59</f>
        <v>6.7998980015299776E-2</v>
      </c>
      <c r="AA43" s="66">
        <f>(Pars!AA56+(D_VS_2!AA14-Pars!AA57)*Pars!AA58)/Pars!AA59</f>
        <v>6.7998980015299776E-2</v>
      </c>
      <c r="AB43" s="66">
        <f>(Pars!AB56+(D_VS_2!AB14-Pars!AB57)*Pars!AB58)/Pars!AB59</f>
        <v>6.7998980015299776E-2</v>
      </c>
      <c r="AC43" s="66">
        <f>(Pars!AC56+(D_VS_2!AC14-Pars!AC57)*Pars!AC58)/Pars!AC59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66777.116559999995</v>
      </c>
      <c r="E44" s="43">
        <f>Pars!E37*E43*E6</f>
        <v>69272.037655429012</v>
      </c>
      <c r="F44" s="43">
        <f>Pars!F37*F43*F6</f>
        <v>71583.938593989471</v>
      </c>
      <c r="G44" s="43">
        <f>Pars!G37*G43*G6</f>
        <v>73975.931928204198</v>
      </c>
      <c r="H44" s="43">
        <f>Pars!H37*H43*H6</f>
        <v>71756.558573765709</v>
      </c>
      <c r="I44" s="43">
        <f>Pars!I37*I43*I6</f>
        <v>72148.500129499356</v>
      </c>
      <c r="J44" s="43">
        <f>Pars!J37*J43*J6</f>
        <v>73091.256700459795</v>
      </c>
      <c r="K44" s="43">
        <f>Pars!K37*K43*K6</f>
        <v>70644.812599645127</v>
      </c>
      <c r="L44" s="43">
        <f>Pars!L37*L43*L6</f>
        <v>65318.443985781436</v>
      </c>
      <c r="M44" s="43">
        <f>Pars!M37*M43*M6</f>
        <v>63538.360754753208</v>
      </c>
      <c r="N44" s="43">
        <f>Pars!N37*N43*N6</f>
        <v>65700.066263337358</v>
      </c>
      <c r="O44" s="63">
        <f>Pars!O37*O43*O6</f>
        <v>64559.368428961607</v>
      </c>
      <c r="P44" s="63">
        <f>Pars!P37*P43*P6</f>
        <v>64948.698087622943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32053.015948799999</v>
      </c>
      <c r="E45" s="43">
        <f>E44*Pars!E36/100</f>
        <v>33250.578074605924</v>
      </c>
      <c r="F45" s="43">
        <f>F44*Pars!F36/100</f>
        <v>34360.29052511495</v>
      </c>
      <c r="G45" s="43">
        <f>G44*Pars!G36/100</f>
        <v>35508.447325538014</v>
      </c>
      <c r="H45" s="43">
        <f>H44*Pars!H36/100</f>
        <v>34443.148115407537</v>
      </c>
      <c r="I45" s="43">
        <f>I44*Pars!I36/100</f>
        <v>34631.280062159691</v>
      </c>
      <c r="J45" s="43">
        <f>J44*Pars!J36/100</f>
        <v>35083.803216220702</v>
      </c>
      <c r="K45" s="43">
        <f>K44*Pars!K36/100</f>
        <v>33909.510047829666</v>
      </c>
      <c r="L45" s="43">
        <f>L44*Pars!L36/100</f>
        <v>31352.85311317509</v>
      </c>
      <c r="M45" s="43">
        <f>M44*Pars!M36/100</f>
        <v>30498.41316228154</v>
      </c>
      <c r="N45" s="43">
        <f>N44*Pars!N36/100</f>
        <v>31536.03180640193</v>
      </c>
      <c r="O45" s="63">
        <f>O44*Pars!O36/100</f>
        <v>30988.496845901573</v>
      </c>
      <c r="P45" s="63">
        <f>P44*Pars!P36/100</f>
        <v>31175.375082059014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429.75880000000001</v>
      </c>
      <c r="E46" s="43">
        <f>Pars!E40*E15</f>
        <v>1004.864</v>
      </c>
      <c r="F46" s="43">
        <f>Pars!F40*F15</f>
        <v>1241.5005000000001</v>
      </c>
      <c r="G46" s="43">
        <f>Pars!G40*G15</f>
        <v>2064.2329</v>
      </c>
      <c r="H46" s="43">
        <f>Pars!H40*H15</f>
        <v>3761.0623999999998</v>
      </c>
      <c r="I46" s="43">
        <f>Pars!I40*I15</f>
        <v>3514.7809999999999</v>
      </c>
      <c r="J46" s="43">
        <f>Pars!J40*J15</f>
        <v>3175.1907999999999</v>
      </c>
      <c r="K46" s="43">
        <f>Pars!K40*K15</f>
        <v>3393.8833</v>
      </c>
      <c r="L46" s="43">
        <f>Pars!L40*L15</f>
        <v>3711.9407000000001</v>
      </c>
      <c r="M46" s="43">
        <f>Pars!M40*M15</f>
        <v>3699.8285000000001</v>
      </c>
      <c r="N46" s="43">
        <f>Pars!N40*N15</f>
        <v>4158.7462999999998</v>
      </c>
      <c r="O46" s="63">
        <f>Pars!O40*O15</f>
        <v>3720.0851648334701</v>
      </c>
      <c r="P46" s="63">
        <f>Pars!P40*P15</f>
        <v>4565.6265000000003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805.47520000000009</v>
      </c>
      <c r="E47" s="43">
        <f>Pars!E41*E16</f>
        <v>779.72320000000002</v>
      </c>
      <c r="F47" s="43">
        <f>Pars!F41*F16</f>
        <v>785.25840000000005</v>
      </c>
      <c r="G47" s="43">
        <f>Pars!G41*G16</f>
        <v>726.85760000000005</v>
      </c>
      <c r="H47" s="43">
        <f>Pars!H41*H16</f>
        <v>768.26800000000003</v>
      </c>
      <c r="I47" s="43">
        <f>Pars!I41*I16</f>
        <v>682.428</v>
      </c>
      <c r="J47" s="43">
        <f>Pars!J41*J16</f>
        <v>706.37440000000004</v>
      </c>
      <c r="K47" s="43">
        <f>Pars!K41*K16</f>
        <v>690.09440000000006</v>
      </c>
      <c r="L47" s="43">
        <f>Pars!L41*L16</f>
        <v>808.9384</v>
      </c>
      <c r="M47" s="43">
        <f>Pars!M41*M16</f>
        <v>776.31920000000002</v>
      </c>
      <c r="N47" s="43">
        <f>Pars!N41*N16</f>
        <v>648.29920000000004</v>
      </c>
      <c r="O47" s="63">
        <f>Pars!O41*O16</f>
        <v>66.717779802655627</v>
      </c>
      <c r="P47" s="63">
        <f>Pars!P41*P16</f>
        <v>627.78640000000007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880.33</v>
      </c>
      <c r="E48" s="67">
        <f t="array" ref="E48">SUMPRODUCT(E33:E41,Pars!E44:E52)</f>
        <v>976.97</v>
      </c>
      <c r="F48" s="67">
        <f t="array" ref="F48">SUMPRODUCT(F33:F41,Pars!F44:F52)</f>
        <v>1072.0999999999999</v>
      </c>
      <c r="G48" s="67">
        <f t="array" ref="G48">SUMPRODUCT(G33:G41,Pars!G44:G52)</f>
        <v>715.74</v>
      </c>
      <c r="H48" s="67">
        <f t="array" ref="H48">SUMPRODUCT(H33:H41,Pars!H44:H52)</f>
        <v>1738.55</v>
      </c>
      <c r="I48" s="67">
        <f t="array" ref="I48">SUMPRODUCT(I33:I41,Pars!I44:I52)</f>
        <v>1783.85</v>
      </c>
      <c r="J48" s="67">
        <f t="array" ref="J48">SUMPRODUCT(J33:J41,Pars!J44:J52)</f>
        <v>1647.95</v>
      </c>
      <c r="K48" s="67">
        <f t="array" ref="K48">SUMPRODUCT(K33:K41,Pars!K44:K52)</f>
        <v>1690.23</v>
      </c>
      <c r="L48" s="67">
        <f t="array" ref="L48">SUMPRODUCT(L33:L41,Pars!L44:L52)</f>
        <v>1537.72</v>
      </c>
      <c r="M48" s="67">
        <f t="array" ref="M48">SUMPRODUCT(M33:M41,Pars!M44:M52)</f>
        <v>1459.2</v>
      </c>
      <c r="N48" s="67">
        <f t="array" ref="N48">SUMPRODUCT(N33:N41,Pars!N44:N52)</f>
        <v>1564.9</v>
      </c>
      <c r="O48" s="67">
        <f t="array" ref="O48">SUMPRODUCT(O33:O41,Pars!O44:O52)</f>
        <v>1617.75</v>
      </c>
      <c r="P48" s="67">
        <f t="array" ref="P48">SUMPRODUCT(P33:P41,Pars!P44:P52)</f>
        <v>1368.6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2115.5640000000003</v>
      </c>
      <c r="E49" s="67">
        <f t="shared" ref="E49:AC49" si="1">SUM(E46:E48)</f>
        <v>2761.5572000000002</v>
      </c>
      <c r="F49" s="67">
        <f t="shared" si="1"/>
        <v>3098.8589000000002</v>
      </c>
      <c r="G49" s="67">
        <f t="shared" si="1"/>
        <v>3506.8305</v>
      </c>
      <c r="H49" s="67">
        <f t="shared" si="1"/>
        <v>6267.8804</v>
      </c>
      <c r="I49" s="67">
        <f t="shared" si="1"/>
        <v>5981.0589999999993</v>
      </c>
      <c r="J49" s="67">
        <f t="shared" si="1"/>
        <v>5529.5151999999998</v>
      </c>
      <c r="K49" s="67">
        <f t="shared" si="1"/>
        <v>5774.2076999999999</v>
      </c>
      <c r="L49" s="67">
        <f t="shared" si="1"/>
        <v>6058.5991000000004</v>
      </c>
      <c r="M49" s="67">
        <f t="shared" si="1"/>
        <v>5935.3477000000003</v>
      </c>
      <c r="N49" s="67">
        <f t="shared" si="1"/>
        <v>6371.9454999999998</v>
      </c>
      <c r="O49" s="67">
        <f t="shared" si="1"/>
        <v>5404.5529446361252</v>
      </c>
      <c r="P49" s="67">
        <f t="shared" si="1"/>
        <v>6562.0128999999997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29937.451948800001</v>
      </c>
      <c r="E50" s="70">
        <f t="shared" ref="E50:AC50" si="2">E45-E49</f>
        <v>30489.020874605925</v>
      </c>
      <c r="F50" s="70">
        <f t="shared" si="2"/>
        <v>31261.43162511495</v>
      </c>
      <c r="G50" s="70">
        <f t="shared" si="2"/>
        <v>32001.616825538014</v>
      </c>
      <c r="H50" s="70">
        <f t="shared" si="2"/>
        <v>28175.267715407535</v>
      </c>
      <c r="I50" s="70">
        <f t="shared" si="2"/>
        <v>28650.22106215969</v>
      </c>
      <c r="J50" s="70">
        <f t="shared" si="2"/>
        <v>29554.2880162207</v>
      </c>
      <c r="K50" s="70">
        <f t="shared" si="2"/>
        <v>28135.302347829667</v>
      </c>
      <c r="L50" s="70">
        <f t="shared" si="2"/>
        <v>25294.25401317509</v>
      </c>
      <c r="M50" s="70">
        <f t="shared" si="2"/>
        <v>24563.065462281542</v>
      </c>
      <c r="N50" s="70">
        <f t="shared" si="2"/>
        <v>25164.086306401929</v>
      </c>
      <c r="O50" s="70">
        <f t="shared" si="2"/>
        <v>25583.943901265447</v>
      </c>
      <c r="P50" s="70">
        <f t="shared" si="2"/>
        <v>24613.362182059012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29937.451948800001</v>
      </c>
      <c r="E62" s="79">
        <f t="shared" ref="E62:AC62" si="4">E50+E61</f>
        <v>30489.020874605925</v>
      </c>
      <c r="F62" s="79">
        <f t="shared" si="4"/>
        <v>31261.43162511495</v>
      </c>
      <c r="G62" s="79">
        <f t="shared" si="4"/>
        <v>32001.616825538014</v>
      </c>
      <c r="H62" s="79">
        <f t="shared" si="4"/>
        <v>28175.267715407535</v>
      </c>
      <c r="I62" s="79">
        <f t="shared" si="4"/>
        <v>28650.22106215969</v>
      </c>
      <c r="J62" s="79">
        <f t="shared" si="4"/>
        <v>29554.2880162207</v>
      </c>
      <c r="K62" s="79">
        <f t="shared" si="4"/>
        <v>28135.302347829667</v>
      </c>
      <c r="L62" s="79">
        <f t="shared" si="4"/>
        <v>25294.25401317509</v>
      </c>
      <c r="M62" s="79">
        <f t="shared" si="4"/>
        <v>24563.065462281542</v>
      </c>
      <c r="N62" s="79">
        <f t="shared" si="4"/>
        <v>25164.086306401929</v>
      </c>
      <c r="O62" s="79">
        <f t="shared" si="4"/>
        <v>25583.943901265447</v>
      </c>
      <c r="P62" s="79">
        <f t="shared" si="4"/>
        <v>24613.362182059012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56" priority="5" operator="containsText" text="Nein">
      <formula>NOT(ISERROR(SEARCH("Nein",D22)))</formula>
    </cfRule>
  </conditionalFormatting>
  <conditionalFormatting sqref="D31:AC31">
    <cfRule type="cellIs" dxfId="55" priority="6" operator="equal">
      <formula>"ok"</formula>
    </cfRule>
  </conditionalFormatting>
  <conditionalFormatting sqref="H5:AC12 H14:AC16 H18:AC19 H33:AC41">
    <cfRule type="cellIs" dxfId="54" priority="4" operator="greaterThan">
      <formula>0</formula>
    </cfRule>
  </conditionalFormatting>
  <conditionalFormatting sqref="H6:AC12">
    <cfRule type="expression" dxfId="53" priority="3">
      <formula>NOT(ISBLANK(H6))</formula>
    </cfRule>
  </conditionalFormatting>
  <conditionalFormatting sqref="H18:AC19">
    <cfRule type="expression" dxfId="52" priority="2">
      <formula>NOT(ISBLANK(H18))</formula>
    </cfRule>
  </conditionalFormatting>
  <conditionalFormatting sqref="H56:AC60">
    <cfRule type="cellIs" dxfId="51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56A05361-68AA-4DEA-9667-55FD41E87A0D}">
      <formula1>"Ja, Nein"</formula1>
    </dataValidation>
  </dataValidations>
  <pageMargins left="0.7" right="0.7" top="0.75" bottom="0.75" header="0.3" footer="0.3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E5C83-06ED-46B1-8CBE-245048D0E966}">
  <sheetPr>
    <tabColor theme="2" tint="-0.499984740745262"/>
  </sheetPr>
  <dimension ref="A1:AD134"/>
  <sheetViews>
    <sheetView topLeftCell="B1" workbookViewId="0">
      <selection activeCell="B3" sqref="A3:XFD6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205</v>
      </c>
      <c r="D1" s="32"/>
      <c r="E1" s="32"/>
    </row>
    <row r="2" spans="1:30" x14ac:dyDescent="0.3">
      <c r="A2" s="30"/>
      <c r="B2" s="31" t="s">
        <v>86</v>
      </c>
      <c r="C2" s="33" t="s">
        <v>206</v>
      </c>
      <c r="I2" s="34" t="s">
        <v>88</v>
      </c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196193</v>
      </c>
      <c r="E5" s="42">
        <v>196193</v>
      </c>
      <c r="F5" s="42">
        <v>196193</v>
      </c>
      <c r="G5" s="42">
        <v>196193</v>
      </c>
      <c r="H5" s="43">
        <v>196193</v>
      </c>
      <c r="I5" s="43">
        <v>194037</v>
      </c>
      <c r="J5" s="43">
        <v>186224</v>
      </c>
      <c r="K5" s="43">
        <v>188410.69391870685</v>
      </c>
      <c r="L5" s="43">
        <v>196193</v>
      </c>
      <c r="M5" s="43">
        <v>190626</v>
      </c>
      <c r="N5" s="43">
        <v>191213</v>
      </c>
      <c r="O5" s="43">
        <v>190304.95403062424</v>
      </c>
      <c r="P5" s="43">
        <v>192102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168325</v>
      </c>
      <c r="E6" s="42">
        <v>142477</v>
      </c>
      <c r="F6" s="42">
        <v>202086</v>
      </c>
      <c r="G6" s="42">
        <v>169886</v>
      </c>
      <c r="H6" s="47">
        <v>180291</v>
      </c>
      <c r="I6" s="47">
        <v>163299</v>
      </c>
      <c r="J6" s="47">
        <v>170947</v>
      </c>
      <c r="K6" s="47">
        <v>170259</v>
      </c>
      <c r="L6" s="47">
        <v>158718</v>
      </c>
      <c r="M6" s="47">
        <v>177348</v>
      </c>
      <c r="N6" s="47">
        <v>180213</v>
      </c>
      <c r="O6" s="47">
        <v>169506</v>
      </c>
      <c r="P6" s="47">
        <v>152292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16258</v>
      </c>
      <c r="E7" s="42">
        <v>14323</v>
      </c>
      <c r="F7" s="42">
        <v>15533</v>
      </c>
      <c r="G7" s="42">
        <v>14481</v>
      </c>
      <c r="H7" s="47">
        <v>15899</v>
      </c>
      <c r="I7" s="47">
        <v>17061</v>
      </c>
      <c r="J7" s="47">
        <v>15356</v>
      </c>
      <c r="K7" s="47">
        <v>15522.939999999999</v>
      </c>
      <c r="L7" s="47">
        <v>15875</v>
      </c>
      <c r="M7" s="47">
        <v>16085</v>
      </c>
      <c r="N7" s="47">
        <v>16511</v>
      </c>
      <c r="O7" s="47">
        <v>14749</v>
      </c>
      <c r="P7" s="47">
        <v>16398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/>
      <c r="J8" s="47"/>
      <c r="K8" s="47">
        <v>0</v>
      </c>
      <c r="L8" s="47">
        <v>0</v>
      </c>
      <c r="M8" s="47">
        <v>0</v>
      </c>
      <c r="N8" s="47"/>
      <c r="O8" s="47">
        <v>0</v>
      </c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>
        <v>1500</v>
      </c>
      <c r="E9" s="42">
        <v>1501</v>
      </c>
      <c r="F9" s="42">
        <v>1429</v>
      </c>
      <c r="G9" s="42">
        <v>1140</v>
      </c>
      <c r="H9" s="47">
        <v>2121</v>
      </c>
      <c r="I9" s="47">
        <v>1551</v>
      </c>
      <c r="J9" s="47">
        <v>1655</v>
      </c>
      <c r="K9" s="47">
        <v>1592</v>
      </c>
      <c r="L9" s="47">
        <v>2893</v>
      </c>
      <c r="M9" s="47">
        <v>3023</v>
      </c>
      <c r="N9" s="47">
        <v>2462</v>
      </c>
      <c r="O9" s="47">
        <v>2874.34</v>
      </c>
      <c r="P9" s="47">
        <v>3418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>
        <v>0</v>
      </c>
      <c r="L10" s="47">
        <v>0</v>
      </c>
      <c r="M10" s="47">
        <v>0</v>
      </c>
      <c r="N10" s="47">
        <v>0</v>
      </c>
      <c r="O10" s="47">
        <v>0</v>
      </c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>
        <v>1500</v>
      </c>
      <c r="E11" s="42">
        <v>1495</v>
      </c>
      <c r="F11" s="42">
        <v>1703</v>
      </c>
      <c r="G11" s="42">
        <v>1765</v>
      </c>
      <c r="H11" s="47">
        <v>1631</v>
      </c>
      <c r="I11" s="47">
        <v>2408</v>
      </c>
      <c r="J11" s="47">
        <v>1419</v>
      </c>
      <c r="K11" s="47">
        <v>1514.6899999999998</v>
      </c>
      <c r="L11" s="47">
        <v>1286</v>
      </c>
      <c r="M11" s="47">
        <v>2811</v>
      </c>
      <c r="N11" s="47">
        <v>3493</v>
      </c>
      <c r="O11" s="47">
        <v>10858.89</v>
      </c>
      <c r="P11" s="47">
        <v>2929</v>
      </c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10.587999999999999</v>
      </c>
      <c r="E14" s="51">
        <v>11.084</v>
      </c>
      <c r="F14" s="51">
        <v>10.667999999999999</v>
      </c>
      <c r="G14" s="51">
        <v>10.119999999999999</v>
      </c>
      <c r="H14" s="43">
        <v>11.05</v>
      </c>
      <c r="I14" s="43">
        <v>10.75</v>
      </c>
      <c r="J14" s="43">
        <v>11.21</v>
      </c>
      <c r="K14" s="43">
        <v>10.91</v>
      </c>
      <c r="L14" s="43">
        <v>10.96</v>
      </c>
      <c r="M14" s="43">
        <v>10.85</v>
      </c>
      <c r="N14" s="43">
        <v>10.829000000000001</v>
      </c>
      <c r="O14" s="43">
        <v>11.14153235428782</v>
      </c>
      <c r="P14" s="43">
        <v>10.75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69441</v>
      </c>
      <c r="E15" s="42">
        <v>115433</v>
      </c>
      <c r="F15" s="42">
        <v>87230</v>
      </c>
      <c r="G15" s="42">
        <v>72025</v>
      </c>
      <c r="H15" s="47">
        <v>83895</v>
      </c>
      <c r="I15" s="47">
        <f>51794+47298</f>
        <v>99092</v>
      </c>
      <c r="J15" s="47">
        <v>62156</v>
      </c>
      <c r="K15" s="47">
        <v>73063</v>
      </c>
      <c r="L15" s="47">
        <v>69107</v>
      </c>
      <c r="M15" s="47">
        <v>77949</v>
      </c>
      <c r="N15" s="47">
        <v>80124</v>
      </c>
      <c r="O15" s="47">
        <v>85686.43</v>
      </c>
      <c r="P15" s="47">
        <f>47344+68174</f>
        <v>115518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80182</v>
      </c>
      <c r="E16" s="42">
        <v>50576</v>
      </c>
      <c r="F16" s="42">
        <v>112786</v>
      </c>
      <c r="G16" s="42">
        <v>97010</v>
      </c>
      <c r="H16" s="47">
        <v>111816</v>
      </c>
      <c r="I16" s="47">
        <v>86413</v>
      </c>
      <c r="J16" s="47">
        <v>113888</v>
      </c>
      <c r="K16" s="47">
        <v>107423</v>
      </c>
      <c r="L16" s="47">
        <v>90212</v>
      </c>
      <c r="M16" s="47">
        <v>109733</v>
      </c>
      <c r="N16" s="47">
        <v>113575</v>
      </c>
      <c r="O16" s="47">
        <v>100959</v>
      </c>
      <c r="P16" s="47">
        <v>83614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33877</v>
      </c>
      <c r="E18" s="42">
        <v>27019</v>
      </c>
      <c r="F18" s="42">
        <v>38607</v>
      </c>
      <c r="G18" s="42">
        <v>30512</v>
      </c>
      <c r="H18" s="43">
        <v>34527</v>
      </c>
      <c r="I18" s="43">
        <v>24252</v>
      </c>
      <c r="J18" s="43">
        <v>31197</v>
      </c>
      <c r="K18" s="43">
        <v>27834.880000000001</v>
      </c>
      <c r="L18" s="43">
        <v>27137</v>
      </c>
      <c r="M18" s="43">
        <v>28211</v>
      </c>
      <c r="N18" s="43">
        <v>29968</v>
      </c>
      <c r="O18" s="43">
        <v>28501.589</v>
      </c>
      <c r="P18" s="43">
        <v>27975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3433</v>
      </c>
      <c r="E19" s="42">
        <v>3173</v>
      </c>
      <c r="F19" s="42">
        <v>4403</v>
      </c>
      <c r="G19" s="42">
        <v>3811</v>
      </c>
      <c r="H19" s="47">
        <v>3860</v>
      </c>
      <c r="I19" s="47">
        <v>3919</v>
      </c>
      <c r="J19" s="47">
        <v>3033</v>
      </c>
      <c r="K19" s="47">
        <v>2994.223</v>
      </c>
      <c r="L19" s="47">
        <v>3039</v>
      </c>
      <c r="M19" s="47">
        <v>3349</v>
      </c>
      <c r="N19" s="47"/>
      <c r="O19" s="47">
        <v>3841.56</v>
      </c>
      <c r="P19" s="47">
        <v>3205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112</v>
      </c>
      <c r="E23" s="59" t="s">
        <v>112</v>
      </c>
      <c r="F23" s="59" t="s">
        <v>113</v>
      </c>
      <c r="G23" s="59" t="s">
        <v>113</v>
      </c>
      <c r="H23" s="59" t="s">
        <v>113</v>
      </c>
      <c r="I23" s="59" t="s">
        <v>113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112</v>
      </c>
      <c r="G27" s="59" t="s">
        <v>112</v>
      </c>
      <c r="H27" s="59" t="s">
        <v>112</v>
      </c>
      <c r="I27" s="59" t="s">
        <v>112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112</v>
      </c>
      <c r="K30" s="59" t="s">
        <v>112</v>
      </c>
      <c r="L30" s="59" t="s">
        <v>112</v>
      </c>
      <c r="M30" s="59" t="s">
        <v>112</v>
      </c>
      <c r="N30" s="59" t="s">
        <v>112</v>
      </c>
      <c r="O30" s="59" t="s">
        <v>112</v>
      </c>
      <c r="P30" s="59" t="s">
        <v>112</v>
      </c>
      <c r="Q30" s="59" t="s">
        <v>112</v>
      </c>
      <c r="R30" s="59" t="s">
        <v>112</v>
      </c>
      <c r="S30" s="59" t="s">
        <v>112</v>
      </c>
      <c r="T30" s="59" t="s">
        <v>112</v>
      </c>
      <c r="U30" s="59" t="s">
        <v>112</v>
      </c>
      <c r="V30" s="59" t="s">
        <v>112</v>
      </c>
      <c r="W30" s="59" t="s">
        <v>112</v>
      </c>
      <c r="X30" s="59" t="s">
        <v>112</v>
      </c>
      <c r="Y30" s="59" t="s">
        <v>112</v>
      </c>
      <c r="Z30" s="59" t="s">
        <v>112</v>
      </c>
      <c r="AA30" s="59" t="s">
        <v>112</v>
      </c>
      <c r="AB30" s="59" t="s">
        <v>112</v>
      </c>
      <c r="AC30" s="59" t="s">
        <v>112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3283</v>
      </c>
      <c r="E33" s="47">
        <v>2857</v>
      </c>
      <c r="F33" s="47">
        <v>4164</v>
      </c>
      <c r="G33" s="47">
        <v>3208</v>
      </c>
      <c r="H33" s="43">
        <v>4294</v>
      </c>
      <c r="I33" s="43">
        <v>2716</v>
      </c>
      <c r="J33" s="43">
        <v>4826</v>
      </c>
      <c r="K33" s="43">
        <v>3189</v>
      </c>
      <c r="L33" s="43">
        <v>2147</v>
      </c>
      <c r="M33" s="43">
        <f>9.61/100*M18</f>
        <v>2711.0770999999995</v>
      </c>
      <c r="N33" s="43">
        <v>2647</v>
      </c>
      <c r="O33" s="82">
        <v>2624</v>
      </c>
      <c r="P33" s="63">
        <v>1914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733</v>
      </c>
      <c r="K34" s="47">
        <v>391</v>
      </c>
      <c r="L34" s="47">
        <f>2196/99076*L18</f>
        <v>601.48625297751221</v>
      </c>
      <c r="M34" s="47">
        <f>1.48/100*M18</f>
        <v>417.52280000000002</v>
      </c>
      <c r="N34" s="47">
        <v>781</v>
      </c>
      <c r="O34" s="83">
        <v>378</v>
      </c>
      <c r="P34" s="64">
        <v>631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>
        <f>505/99076*L18</f>
        <v>138.31992611732406</v>
      </c>
      <c r="M35" s="47"/>
      <c r="N35" s="47"/>
      <c r="O35" s="83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>
        <f>20/99076*L19</f>
        <v>0.61346844846380555</v>
      </c>
      <c r="M36" s="47"/>
      <c r="N36" s="47"/>
      <c r="O36" s="83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83">
        <v>0</v>
      </c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>
        <f>0.0553/99076*L18</f>
        <v>1.514671666195648E-2</v>
      </c>
      <c r="M38" s="47"/>
      <c r="N38" s="47"/>
      <c r="O38" s="83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>
        <f>1.6128/99076*L18</f>
        <v>0.4417472808752877</v>
      </c>
      <c r="M39" s="47"/>
      <c r="N39" s="47"/>
      <c r="O39" s="83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>
        <f>L41-L34-L35-L36-L38-L39</f>
        <v>16.123458459162684</v>
      </c>
      <c r="M40" s="47"/>
      <c r="N40" s="47"/>
      <c r="O40" s="83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446</v>
      </c>
      <c r="E41" s="47">
        <v>410</v>
      </c>
      <c r="F41" s="47">
        <v>589</v>
      </c>
      <c r="G41" s="47">
        <v>647</v>
      </c>
      <c r="H41" s="47">
        <v>601</v>
      </c>
      <c r="I41" s="47">
        <v>512</v>
      </c>
      <c r="J41" s="47">
        <v>315</v>
      </c>
      <c r="K41" s="47">
        <v>915</v>
      </c>
      <c r="L41" s="47">
        <v>757</v>
      </c>
      <c r="M41" s="47">
        <f>(2.45+0.47)/100*M18</f>
        <v>823.76120000000003</v>
      </c>
      <c r="N41" s="47">
        <v>425</v>
      </c>
      <c r="O41" s="83">
        <v>891</v>
      </c>
      <c r="P41" s="64">
        <v>288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(Pars!D56+(D_VS_3!D14-Pars!D57)*Pars!D58)/Pars!D59</f>
        <v>0.27552480000000001</v>
      </c>
      <c r="E43" s="66">
        <f>(Pars!E56+(D_VS_3!E14-Pars!E57)*Pars!E58)/Pars!E59</f>
        <v>0.28524611475388528</v>
      </c>
      <c r="F43" s="66">
        <f>(Pars!F56+(D_VS_3!F14-Pars!F57)*Pars!F58)/Pars!F59</f>
        <v>0.27709224581550834</v>
      </c>
      <c r="G43" s="66">
        <f>(Pars!G56+(D_VS_3!G14-Pars!G57)*Pars!G58)/Pars!G59</f>
        <v>0.26635120094639714</v>
      </c>
      <c r="H43" s="66">
        <f>(Pars!H56+(D_VS_3!H14-Pars!H57)*Pars!H58)/Pars!H59</f>
        <v>0.28457886168455326</v>
      </c>
      <c r="I43" s="66">
        <f>(Pars!I56+(D_VS_3!I14-Pars!I57)*Pars!I58)/Pars!I59</f>
        <v>0.27869860650696748</v>
      </c>
      <c r="J43" s="66">
        <f>(Pars!J56+(D_VS_3!J14-Pars!J57)*Pars!J58)/Pars!J59</f>
        <v>0.2877142737143577</v>
      </c>
      <c r="K43" s="66">
        <f>(Pars!K56+(D_VS_3!K14-Pars!K57)*Pars!K58)/Pars!K59</f>
        <v>0.28183402716180989</v>
      </c>
      <c r="L43" s="66">
        <f>(Pars!L56+(D_VS_3!L14-Pars!L57)*Pars!L58)/Pars!L59</f>
        <v>0.28281373749010008</v>
      </c>
      <c r="M43" s="66">
        <f>(Pars!M56+(D_VS_3!M14-Pars!M57)*Pars!M58)/Pars!M59</f>
        <v>0.28065747408273328</v>
      </c>
      <c r="N43" s="66">
        <f>(Pars!N56+(D_VS_3!N14-Pars!N57)*Pars!N58)/Pars!N59</f>
        <v>0.28024559754402456</v>
      </c>
      <c r="O43" s="66">
        <f>(Pars!O56+(D_VS_3!O14-Pars!O57)*Pars!O58)/Pars!O59</f>
        <v>0.28637088406431654</v>
      </c>
      <c r="P43" s="66">
        <f>(Pars!P56+(D_VS_3!P14-Pars!P57)*Pars!P58)/Pars!P59</f>
        <v>0.2786966556401323</v>
      </c>
      <c r="Q43" s="66">
        <f>(Pars!Q56+(D_VS_3!Q14-Pars!Q57)*Pars!Q58)/Pars!Q59</f>
        <v>6.7999116011491847E-2</v>
      </c>
      <c r="R43" s="66">
        <f>(Pars!R56+(D_VS_3!R14-Pars!R57)*Pars!R58)/Pars!R59</f>
        <v>6.7999048013327817E-2</v>
      </c>
      <c r="S43" s="66">
        <f>(Pars!S56+(D_VS_3!S14-Pars!S57)*Pars!S58)/Pars!S59</f>
        <v>6.7998980015299776E-2</v>
      </c>
      <c r="T43" s="66">
        <f>(Pars!T56+(D_VS_3!T14-Pars!T57)*Pars!T58)/Pars!T59</f>
        <v>6.7998980015299776E-2</v>
      </c>
      <c r="U43" s="66">
        <f>(Pars!U56+(D_VS_3!U14-Pars!U57)*Pars!U58)/Pars!U59</f>
        <v>6.7998980015299776E-2</v>
      </c>
      <c r="V43" s="66">
        <f>(Pars!V56+(D_VS_3!V14-Pars!V57)*Pars!V58)/Pars!V59</f>
        <v>6.7998980015299776E-2</v>
      </c>
      <c r="W43" s="66">
        <f>(Pars!W56+(D_VS_3!W14-Pars!W57)*Pars!W58)/Pars!W59</f>
        <v>6.7998980015299776E-2</v>
      </c>
      <c r="X43" s="66">
        <f>(Pars!X56+(D_VS_3!X14-Pars!X57)*Pars!X58)/Pars!X59</f>
        <v>6.7998980015299776E-2</v>
      </c>
      <c r="Y43" s="66">
        <f>(Pars!Y56+(D_VS_3!Y14-Pars!Y57)*Pars!Y58)/Pars!Y59</f>
        <v>6.7998980015299776E-2</v>
      </c>
      <c r="Z43" s="66">
        <f>(Pars!Z56+(D_VS_3!Z14-Pars!Z57)*Pars!Z58)/Pars!Z59</f>
        <v>6.7998980015299776E-2</v>
      </c>
      <c r="AA43" s="66">
        <f>(Pars!AA56+(D_VS_3!AA14-Pars!AA57)*Pars!AA58)/Pars!AA59</f>
        <v>6.7998980015299776E-2</v>
      </c>
      <c r="AB43" s="66">
        <f>(Pars!AB56+(D_VS_3!AB14-Pars!AB57)*Pars!AB58)/Pars!AB59</f>
        <v>6.7998980015299776E-2</v>
      </c>
      <c r="AC43" s="66">
        <f>(Pars!AC56+(D_VS_3!AC14-Pars!AC57)*Pars!AC58)/Pars!AC59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170051.61052000002</v>
      </c>
      <c r="E44" s="43">
        <f>Pars!E37*E43*E6</f>
        <v>149017.03920322747</v>
      </c>
      <c r="F44" s="43">
        <f>Pars!F37*F43*F6</f>
        <v>205320.366488867</v>
      </c>
      <c r="G44" s="43">
        <f>Pars!G37*G43*G6</f>
        <v>165914.24712125861</v>
      </c>
      <c r="H44" s="43">
        <f>Pars!H37*H43*H6</f>
        <v>188125.69435722259</v>
      </c>
      <c r="I44" s="43">
        <f>Pars!I37*I43*I6</f>
        <v>166874.41372793136</v>
      </c>
      <c r="J44" s="43">
        <f>Pars!J37*J43*J6</f>
        <v>180340.93714504378</v>
      </c>
      <c r="K44" s="43">
        <f>Pars!K37*K43*K6</f>
        <v>175944.19197865616</v>
      </c>
      <c r="L44" s="43">
        <f>Pars!L37*L43*L6</f>
        <v>164587.97955216357</v>
      </c>
      <c r="M44" s="43">
        <f>Pars!M37*M43*M6</f>
        <v>182504.81961662346</v>
      </c>
      <c r="N44" s="43">
        <f>Pars!N37*N43*N6</f>
        <v>185180.96619073808</v>
      </c>
      <c r="O44" s="63">
        <f>Pars!O37*O43*O6</f>
        <v>177985.80460542213</v>
      </c>
      <c r="P44" s="63">
        <f>Pars!P37*P43*P6</f>
        <v>155625.32729607244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81624.773049600015</v>
      </c>
      <c r="E45" s="43">
        <f>E44*Pars!E36/100</f>
        <v>71528.178817549182</v>
      </c>
      <c r="F45" s="43">
        <f>F44*Pars!F36/100</f>
        <v>98553.775914656173</v>
      </c>
      <c r="G45" s="43">
        <f>G44*Pars!G36/100</f>
        <v>79638.838618204129</v>
      </c>
      <c r="H45" s="43">
        <f>H44*Pars!H36/100</f>
        <v>90300.333291466828</v>
      </c>
      <c r="I45" s="43">
        <f>I44*Pars!I36/100</f>
        <v>80099.718589407057</v>
      </c>
      <c r="J45" s="43">
        <f>J44*Pars!J36/100</f>
        <v>86563.649829621019</v>
      </c>
      <c r="K45" s="43">
        <f>K44*Pars!K36/100</f>
        <v>84453.212149754952</v>
      </c>
      <c r="L45" s="43">
        <f>L44*Pars!L36/100</f>
        <v>79002.230185038512</v>
      </c>
      <c r="M45" s="43">
        <f>M44*Pars!M36/100</f>
        <v>87602.313415979253</v>
      </c>
      <c r="N45" s="43">
        <f>N44*Pars!N36/100</f>
        <v>88886.863771554272</v>
      </c>
      <c r="O45" s="63">
        <f>O44*Pars!O36/100</f>
        <v>85433.186210602638</v>
      </c>
      <c r="P45" s="63">
        <f>P44*Pars!P36/100</f>
        <v>74700.157102114768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15575.6163</v>
      </c>
      <c r="E46" s="43">
        <f>Pars!E40*E15</f>
        <v>25891.621899999998</v>
      </c>
      <c r="F46" s="43">
        <f>Pars!F40*F15</f>
        <v>19565.688999999998</v>
      </c>
      <c r="G46" s="43">
        <f>Pars!G40*G15</f>
        <v>16155.2075</v>
      </c>
      <c r="H46" s="43">
        <f>Pars!H40*H15</f>
        <v>18817.648499999999</v>
      </c>
      <c r="I46" s="43">
        <f>Pars!I40*I15</f>
        <v>22226.335599999999</v>
      </c>
      <c r="J46" s="43">
        <f>Pars!J40*J15</f>
        <v>13941.5908</v>
      </c>
      <c r="K46" s="43">
        <f>Pars!K40*K15</f>
        <v>16388.030900000002</v>
      </c>
      <c r="L46" s="43">
        <f>Pars!L40*L15</f>
        <v>15500.7001</v>
      </c>
      <c r="M46" s="43">
        <f>Pars!M40*M15</f>
        <v>17483.9607</v>
      </c>
      <c r="N46" s="43">
        <f>Pars!N40*N15</f>
        <v>17971.813200000001</v>
      </c>
      <c r="O46" s="63">
        <f>Pars!O40*O15</f>
        <v>19219.466248999997</v>
      </c>
      <c r="P46" s="63">
        <f>Pars!P40*P15</f>
        <v>25910.687399999999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2373.3872000000001</v>
      </c>
      <c r="E47" s="43">
        <f>Pars!E41*E16</f>
        <v>1497.0496000000001</v>
      </c>
      <c r="F47" s="43">
        <f>Pars!F41*F16</f>
        <v>3338.4656</v>
      </c>
      <c r="G47" s="43">
        <f>Pars!G41*G16</f>
        <v>2871.4960000000001</v>
      </c>
      <c r="H47" s="43">
        <f>Pars!H41*H16</f>
        <v>3309.7536</v>
      </c>
      <c r="I47" s="43">
        <f>Pars!I41*I16</f>
        <v>2557.8248000000003</v>
      </c>
      <c r="J47" s="43">
        <f>Pars!J41*J16</f>
        <v>3371.0848000000001</v>
      </c>
      <c r="K47" s="43">
        <f>Pars!K41*K16</f>
        <v>3179.7208000000001</v>
      </c>
      <c r="L47" s="43">
        <f>Pars!L41*L16</f>
        <v>2670.2752</v>
      </c>
      <c r="M47" s="43">
        <f>Pars!M41*M16</f>
        <v>3248.0968000000003</v>
      </c>
      <c r="N47" s="43">
        <f>Pars!N41*N16</f>
        <v>3361.82</v>
      </c>
      <c r="O47" s="63">
        <f>Pars!O41*O16</f>
        <v>2988.3864000000003</v>
      </c>
      <c r="P47" s="63">
        <f>Pars!P41*P16</f>
        <v>2474.9744000000001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7187.33</v>
      </c>
      <c r="E48" s="67">
        <f t="array" ref="E48">SUMPRODUCT(E33:E41,Pars!E44:E52)</f>
        <v>6364.07</v>
      </c>
      <c r="F48" s="67">
        <f t="array" ref="F48">SUMPRODUCT(F33:F41,Pars!F44:F52)</f>
        <v>9232.64</v>
      </c>
      <c r="G48" s="67">
        <f t="array" ref="G48">SUMPRODUCT(G33:G41,Pars!G44:G52)</f>
        <v>8079.08</v>
      </c>
      <c r="H48" s="67">
        <f t="array" ref="H48">SUMPRODUCT(H33:H41,Pars!H44:H52)</f>
        <v>9488.9399999999987</v>
      </c>
      <c r="I48" s="67">
        <f t="array" ref="I48">SUMPRODUCT(I33:I41,Pars!I44:I52)</f>
        <v>6661.16</v>
      </c>
      <c r="J48" s="67">
        <f t="array" ref="J48">SUMPRODUCT(J33:J41,Pars!J44:J52)</f>
        <v>15232.029999999999</v>
      </c>
      <c r="K48" s="67">
        <f t="array" ref="K48">SUMPRODUCT(K33:K41,Pars!K44:K52)</f>
        <v>12788.18</v>
      </c>
      <c r="L48" s="67">
        <f t="array" ref="L48">SUMPRODUCT(L33:L41,Pars!L44:L52)</f>
        <v>12879.533765335451</v>
      </c>
      <c r="M48" s="67">
        <f t="array" ref="M48">SUMPRODUCT(M33:M41,Pars!M44:M52)</f>
        <v>11840.805553</v>
      </c>
      <c r="N48" s="67">
        <f t="array" ref="N48">SUMPRODUCT(N33:N41,Pars!N44:N52)</f>
        <v>12908.859999999999</v>
      </c>
      <c r="O48" s="67">
        <f t="array" ref="O48">SUMPRODUCT(O33:O41,Pars!O44:O52)</f>
        <v>11702.06</v>
      </c>
      <c r="P48" s="67">
        <f t="array" ref="P48">SUMPRODUCT(P33:P41,Pars!P44:P52)</f>
        <v>9813.5299999999988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25136.333500000001</v>
      </c>
      <c r="E49" s="67">
        <f t="shared" ref="E49:AC49" si="1">SUM(E46:E48)</f>
        <v>33752.741499999996</v>
      </c>
      <c r="F49" s="67">
        <f t="shared" si="1"/>
        <v>32136.794599999997</v>
      </c>
      <c r="G49" s="67">
        <f t="shared" si="1"/>
        <v>27105.783499999998</v>
      </c>
      <c r="H49" s="67">
        <f t="shared" si="1"/>
        <v>31616.342099999998</v>
      </c>
      <c r="I49" s="67">
        <f t="shared" si="1"/>
        <v>31445.320400000001</v>
      </c>
      <c r="J49" s="67">
        <f t="shared" si="1"/>
        <v>32544.705599999998</v>
      </c>
      <c r="K49" s="67">
        <f t="shared" si="1"/>
        <v>32355.931700000001</v>
      </c>
      <c r="L49" s="67">
        <f t="shared" si="1"/>
        <v>31050.509065335449</v>
      </c>
      <c r="M49" s="67">
        <f t="shared" si="1"/>
        <v>32572.863053000001</v>
      </c>
      <c r="N49" s="67">
        <f t="shared" si="1"/>
        <v>34242.493199999997</v>
      </c>
      <c r="O49" s="67">
        <f t="shared" si="1"/>
        <v>33909.912648999998</v>
      </c>
      <c r="P49" s="67">
        <f t="shared" si="1"/>
        <v>38199.191800000001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56488.439549600014</v>
      </c>
      <c r="E50" s="70">
        <f t="shared" ref="E50:AC50" si="2">E45-E49</f>
        <v>37775.437317549186</v>
      </c>
      <c r="F50" s="70">
        <f t="shared" si="2"/>
        <v>66416.981314656179</v>
      </c>
      <c r="G50" s="70">
        <f t="shared" si="2"/>
        <v>52533.055118204131</v>
      </c>
      <c r="H50" s="70">
        <f t="shared" si="2"/>
        <v>58683.991191466834</v>
      </c>
      <c r="I50" s="70">
        <f t="shared" si="2"/>
        <v>48654.39818940706</v>
      </c>
      <c r="J50" s="70">
        <f t="shared" si="2"/>
        <v>54018.944229621018</v>
      </c>
      <c r="K50" s="70">
        <f t="shared" si="2"/>
        <v>52097.280449754951</v>
      </c>
      <c r="L50" s="70">
        <f t="shared" si="2"/>
        <v>47951.721119703063</v>
      </c>
      <c r="M50" s="70">
        <f t="shared" si="2"/>
        <v>55029.450362979253</v>
      </c>
      <c r="N50" s="70">
        <f t="shared" si="2"/>
        <v>54644.370571554275</v>
      </c>
      <c r="O50" s="70">
        <f t="shared" si="2"/>
        <v>51523.27356160264</v>
      </c>
      <c r="P50" s="70">
        <f t="shared" si="2"/>
        <v>36500.965302114768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146</v>
      </c>
      <c r="F56" s="47">
        <v>669</v>
      </c>
      <c r="G56" s="47">
        <v>2802</v>
      </c>
      <c r="H56" s="47">
        <v>5136</v>
      </c>
      <c r="I56" s="47">
        <v>8003</v>
      </c>
      <c r="J56" s="47">
        <v>11544</v>
      </c>
      <c r="K56" s="47">
        <v>13790</v>
      </c>
      <c r="L56" s="47">
        <v>12519</v>
      </c>
      <c r="M56" s="47">
        <v>15439</v>
      </c>
      <c r="N56" s="47">
        <v>13771</v>
      </c>
      <c r="O56" s="64">
        <v>13479</v>
      </c>
      <c r="P56" s="64">
        <v>12821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146</v>
      </c>
      <c r="F61" s="76">
        <f t="shared" si="3"/>
        <v>669</v>
      </c>
      <c r="G61" s="76">
        <f t="shared" si="3"/>
        <v>2802</v>
      </c>
      <c r="H61" s="76">
        <f t="shared" si="3"/>
        <v>5136</v>
      </c>
      <c r="I61" s="76">
        <f t="shared" si="3"/>
        <v>8003</v>
      </c>
      <c r="J61" s="76">
        <f t="shared" si="3"/>
        <v>11544</v>
      </c>
      <c r="K61" s="76">
        <f t="shared" si="3"/>
        <v>13790</v>
      </c>
      <c r="L61" s="76">
        <f t="shared" si="3"/>
        <v>12519</v>
      </c>
      <c r="M61" s="76">
        <f t="shared" si="3"/>
        <v>15439</v>
      </c>
      <c r="N61" s="76">
        <f t="shared" si="3"/>
        <v>13771</v>
      </c>
      <c r="O61" s="76">
        <f t="shared" si="3"/>
        <v>13479</v>
      </c>
      <c r="P61" s="76">
        <f t="shared" si="3"/>
        <v>12821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56488.439549600014</v>
      </c>
      <c r="E62" s="79">
        <f t="shared" ref="E62:AC62" si="4">E50+E61</f>
        <v>37921.437317549186</v>
      </c>
      <c r="F62" s="79">
        <f t="shared" si="4"/>
        <v>67085.981314656179</v>
      </c>
      <c r="G62" s="79">
        <f t="shared" si="4"/>
        <v>55335.055118204131</v>
      </c>
      <c r="H62" s="79">
        <f t="shared" si="4"/>
        <v>63819.991191466834</v>
      </c>
      <c r="I62" s="79">
        <f t="shared" si="4"/>
        <v>56657.39818940706</v>
      </c>
      <c r="J62" s="79">
        <f t="shared" si="4"/>
        <v>65562.944229621018</v>
      </c>
      <c r="K62" s="79">
        <f t="shared" si="4"/>
        <v>65887.280449754951</v>
      </c>
      <c r="L62" s="79">
        <f t="shared" si="4"/>
        <v>60470.721119703063</v>
      </c>
      <c r="M62" s="79">
        <f t="shared" si="4"/>
        <v>70468.45036297926</v>
      </c>
      <c r="N62" s="79">
        <f t="shared" si="4"/>
        <v>68415.370571554275</v>
      </c>
      <c r="O62" s="79">
        <f t="shared" si="4"/>
        <v>65002.27356160264</v>
      </c>
      <c r="P62" s="79">
        <f t="shared" si="4"/>
        <v>49321.965302114768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50" priority="5" operator="containsText" text="Nein">
      <formula>NOT(ISERROR(SEARCH("Nein",D22)))</formula>
    </cfRule>
  </conditionalFormatting>
  <conditionalFormatting sqref="D31:AC31">
    <cfRule type="cellIs" dxfId="49" priority="6" operator="equal">
      <formula>"ok"</formula>
    </cfRule>
  </conditionalFormatting>
  <conditionalFormatting sqref="H5:AC12 H14:AC16 H18:AC19 H33:AC41">
    <cfRule type="cellIs" dxfId="48" priority="4" operator="greaterThan">
      <formula>0</formula>
    </cfRule>
  </conditionalFormatting>
  <conditionalFormatting sqref="H6:AC12">
    <cfRule type="expression" dxfId="47" priority="3">
      <formula>NOT(ISBLANK(H6))</formula>
    </cfRule>
  </conditionalFormatting>
  <conditionalFormatting sqref="H18:AC19">
    <cfRule type="expression" dxfId="46" priority="2">
      <formula>NOT(ISBLANK(H18))</formula>
    </cfRule>
  </conditionalFormatting>
  <conditionalFormatting sqref="H56:AC60">
    <cfRule type="cellIs" dxfId="45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7DE2B329-DC27-4E01-9D28-D68652185DD0}">
      <formula1>"Ja, Nein"</formula1>
    </dataValidation>
  </dataValidations>
  <pageMargins left="0.7" right="0.7" top="0.75" bottom="0.75" header="0.3" footer="0.3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86F7D-A5CC-440D-815D-3D7CAEB328A2}">
  <sheetPr>
    <tabColor theme="2" tint="-0.499984740745262"/>
  </sheetPr>
  <dimension ref="A1:AD134"/>
  <sheetViews>
    <sheetView topLeftCell="B1"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207</v>
      </c>
      <c r="D1" s="32"/>
      <c r="E1" s="32"/>
    </row>
    <row r="2" spans="1:30" x14ac:dyDescent="0.3">
      <c r="A2" s="30"/>
      <c r="B2" s="31" t="s">
        <v>86</v>
      </c>
      <c r="C2" s="33" t="s">
        <v>208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114079</v>
      </c>
      <c r="E5" s="42">
        <v>114079</v>
      </c>
      <c r="F5" s="42">
        <v>114079</v>
      </c>
      <c r="G5" s="42">
        <v>114079</v>
      </c>
      <c r="H5" s="43">
        <v>114079</v>
      </c>
      <c r="I5" s="43">
        <v>113421</v>
      </c>
      <c r="J5" s="43">
        <v>114079</v>
      </c>
      <c r="K5" s="43">
        <v>117938.90413995956</v>
      </c>
      <c r="L5" s="43">
        <v>93014</v>
      </c>
      <c r="M5" s="43">
        <v>92988</v>
      </c>
      <c r="N5" s="43">
        <v>92729</v>
      </c>
      <c r="O5" s="43">
        <v>93881.381033816811</v>
      </c>
      <c r="P5" s="43">
        <v>99286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87221</v>
      </c>
      <c r="E6" s="42">
        <v>88427</v>
      </c>
      <c r="F6" s="42">
        <v>86271</v>
      </c>
      <c r="G6" s="42">
        <v>84744</v>
      </c>
      <c r="H6" s="47">
        <v>86302</v>
      </c>
      <c r="I6" s="47">
        <v>85266</v>
      </c>
      <c r="J6" s="47">
        <v>95341</v>
      </c>
      <c r="K6" s="47">
        <v>91318.551000000007</v>
      </c>
      <c r="L6" s="47">
        <v>92600</v>
      </c>
      <c r="M6" s="47">
        <v>94112</v>
      </c>
      <c r="N6" s="47">
        <v>93870</v>
      </c>
      <c r="O6" s="47">
        <v>95088.69099999989</v>
      </c>
      <c r="P6" s="47">
        <v>93425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0</v>
      </c>
      <c r="E7" s="42">
        <v>0</v>
      </c>
      <c r="F7" s="42">
        <v>0</v>
      </c>
      <c r="G7" s="42">
        <v>0</v>
      </c>
      <c r="H7" s="47">
        <v>0</v>
      </c>
      <c r="I7" s="47">
        <v>0</v>
      </c>
      <c r="J7" s="47">
        <v>0</v>
      </c>
      <c r="K7" s="47">
        <v>0</v>
      </c>
      <c r="L7" s="47">
        <v>669</v>
      </c>
      <c r="M7" s="47">
        <v>1490</v>
      </c>
      <c r="N7" s="47">
        <v>2257</v>
      </c>
      <c r="O7" s="47">
        <v>2365.8499999999995</v>
      </c>
      <c r="P7" s="47">
        <v>0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>
        <v>1851</v>
      </c>
      <c r="J8" s="47">
        <v>3860</v>
      </c>
      <c r="K8" s="47">
        <v>3899.7400000000025</v>
      </c>
      <c r="L8" s="47">
        <v>4219</v>
      </c>
      <c r="M8" s="47">
        <v>3819</v>
      </c>
      <c r="N8" s="47">
        <v>2864</v>
      </c>
      <c r="O8" s="47">
        <v>2527.23</v>
      </c>
      <c r="P8" s="47">
        <v>4295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47">
        <v>0</v>
      </c>
      <c r="P9" s="47">
        <v>0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>
        <v>0</v>
      </c>
      <c r="P10" s="47">
        <v>0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>
        <v>0</v>
      </c>
      <c r="P11" s="47">
        <v>0</v>
      </c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11.608000000000001</v>
      </c>
      <c r="E14" s="51">
        <v>11.699</v>
      </c>
      <c r="F14" s="51">
        <v>11.756</v>
      </c>
      <c r="G14" s="51">
        <v>11.76</v>
      </c>
      <c r="H14" s="43">
        <v>12.44</v>
      </c>
      <c r="I14" s="43">
        <v>12.55</v>
      </c>
      <c r="J14" s="43">
        <v>12.3</v>
      </c>
      <c r="K14" s="43">
        <v>12.32</v>
      </c>
      <c r="L14" s="43">
        <v>12.35</v>
      </c>
      <c r="M14" s="43">
        <v>12.56</v>
      </c>
      <c r="N14" s="43">
        <v>12.63</v>
      </c>
      <c r="O14" s="43">
        <v>12.188703340368747</v>
      </c>
      <c r="P14" s="43">
        <v>11.93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27005</v>
      </c>
      <c r="E15" s="42">
        <v>23615</v>
      </c>
      <c r="F15" s="42">
        <v>25070</v>
      </c>
      <c r="G15" s="42">
        <v>24818</v>
      </c>
      <c r="H15" s="47">
        <v>24665</v>
      </c>
      <c r="I15" s="47">
        <f>5671+20240</f>
        <v>25911</v>
      </c>
      <c r="J15" s="47">
        <v>26752</v>
      </c>
      <c r="K15" s="47">
        <v>25520</v>
      </c>
      <c r="L15" s="47">
        <v>33896</v>
      </c>
      <c r="M15" s="47">
        <f>8424+57878</f>
        <v>66302</v>
      </c>
      <c r="N15" s="47">
        <v>74540</v>
      </c>
      <c r="O15" s="47">
        <v>99170.8</v>
      </c>
      <c r="P15" s="47">
        <f>96003+7000</f>
        <v>103003</v>
      </c>
      <c r="Q15" s="47">
        <v>100000</v>
      </c>
      <c r="R15" s="47">
        <v>100000</v>
      </c>
      <c r="S15" s="47">
        <v>105000</v>
      </c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47919</v>
      </c>
      <c r="E16" s="42">
        <v>50675</v>
      </c>
      <c r="F16" s="42">
        <v>49832</v>
      </c>
      <c r="G16" s="42">
        <v>50627</v>
      </c>
      <c r="H16" s="47">
        <v>53094</v>
      </c>
      <c r="I16" s="47">
        <v>51773</v>
      </c>
      <c r="J16" s="47">
        <v>55517</v>
      </c>
      <c r="K16" s="47">
        <v>53305</v>
      </c>
      <c r="L16" s="47">
        <v>54388</v>
      </c>
      <c r="M16" s="47">
        <v>47447</v>
      </c>
      <c r="N16" s="47">
        <v>46329</v>
      </c>
      <c r="O16" s="47">
        <v>44043</v>
      </c>
      <c r="P16" s="47">
        <v>41465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19634</v>
      </c>
      <c r="E18" s="42">
        <v>19069</v>
      </c>
      <c r="F18" s="42">
        <v>17958</v>
      </c>
      <c r="G18" s="42">
        <v>19198</v>
      </c>
      <c r="H18" s="43">
        <v>16189</v>
      </c>
      <c r="I18" s="43">
        <v>17818</v>
      </c>
      <c r="J18" s="43">
        <v>20662</v>
      </c>
      <c r="K18" s="43">
        <v>20163.18</v>
      </c>
      <c r="L18" s="43">
        <v>20436</v>
      </c>
      <c r="M18" s="43">
        <v>17811</v>
      </c>
      <c r="N18" s="43">
        <v>20511</v>
      </c>
      <c r="O18" s="43">
        <v>20827.650000000001</v>
      </c>
      <c r="P18" s="43">
        <v>20592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1434</v>
      </c>
      <c r="E19" s="42">
        <v>3656</v>
      </c>
      <c r="F19" s="42">
        <v>1360</v>
      </c>
      <c r="G19" s="42">
        <v>3811</v>
      </c>
      <c r="H19" s="47">
        <v>1311</v>
      </c>
      <c r="I19" s="47">
        <v>1369</v>
      </c>
      <c r="J19" s="47">
        <v>1747</v>
      </c>
      <c r="K19" s="47">
        <v>1380.67</v>
      </c>
      <c r="L19" s="47">
        <v>1543</v>
      </c>
      <c r="M19" s="47">
        <v>1570</v>
      </c>
      <c r="N19" s="47">
        <v>1558</v>
      </c>
      <c r="O19" s="47">
        <v>1645.03</v>
      </c>
      <c r="P19" s="47">
        <v>1421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112</v>
      </c>
      <c r="E23" s="59" t="s">
        <v>112</v>
      </c>
      <c r="F23" s="59" t="s">
        <v>112</v>
      </c>
      <c r="G23" s="59" t="s">
        <v>112</v>
      </c>
      <c r="H23" s="59" t="s">
        <v>112</v>
      </c>
      <c r="I23" s="59" t="s">
        <v>112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112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112</v>
      </c>
      <c r="L26" s="59" t="s">
        <v>112</v>
      </c>
      <c r="M26" s="59" t="s">
        <v>112</v>
      </c>
      <c r="N26" s="59" t="s">
        <v>112</v>
      </c>
      <c r="O26" s="59" t="s">
        <v>112</v>
      </c>
      <c r="P26" s="59" t="s">
        <v>112</v>
      </c>
      <c r="Q26" s="59" t="s">
        <v>112</v>
      </c>
      <c r="R26" s="59" t="s">
        <v>112</v>
      </c>
      <c r="S26" s="59" t="s">
        <v>112</v>
      </c>
      <c r="T26" s="59" t="s">
        <v>112</v>
      </c>
      <c r="U26" s="59" t="s">
        <v>112</v>
      </c>
      <c r="V26" s="59" t="s">
        <v>112</v>
      </c>
      <c r="W26" s="59" t="s">
        <v>112</v>
      </c>
      <c r="X26" s="59" t="s">
        <v>112</v>
      </c>
      <c r="Y26" s="59" t="s">
        <v>112</v>
      </c>
      <c r="Z26" s="59" t="s">
        <v>112</v>
      </c>
      <c r="AA26" s="59" t="s">
        <v>112</v>
      </c>
      <c r="AB26" s="59" t="s">
        <v>112</v>
      </c>
      <c r="AC26" s="59" t="s">
        <v>112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1342</v>
      </c>
      <c r="E33" s="47">
        <v>1200</v>
      </c>
      <c r="F33" s="47">
        <v>964</v>
      </c>
      <c r="G33" s="47">
        <v>1049</v>
      </c>
      <c r="H33" s="43">
        <v>1478</v>
      </c>
      <c r="I33" s="43">
        <v>1094</v>
      </c>
      <c r="J33" s="43">
        <v>1373</v>
      </c>
      <c r="K33" s="43">
        <v>1362.62</v>
      </c>
      <c r="L33" s="43">
        <v>1424</v>
      </c>
      <c r="M33" s="43">
        <v>1657</v>
      </c>
      <c r="N33" s="43">
        <v>1576</v>
      </c>
      <c r="O33" s="82">
        <v>1448.2149999999999</v>
      </c>
      <c r="P33" s="63">
        <v>1619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283</v>
      </c>
      <c r="K34" s="47">
        <v>276.54519892551087</v>
      </c>
      <c r="L34" s="47">
        <v>292</v>
      </c>
      <c r="M34" s="47">
        <v>339</v>
      </c>
      <c r="N34" s="47">
        <v>566</v>
      </c>
      <c r="O34" s="83">
        <v>281.37700000000001</v>
      </c>
      <c r="P34" s="64">
        <v>273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83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83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/>
      <c r="H37" s="47"/>
      <c r="I37" s="47"/>
      <c r="J37" s="47"/>
      <c r="K37" s="47">
        <v>25</v>
      </c>
      <c r="L37" s="47">
        <v>25</v>
      </c>
      <c r="M37" s="47">
        <v>22</v>
      </c>
      <c r="N37" s="47">
        <v>37</v>
      </c>
      <c r="O37" s="83">
        <v>32.65</v>
      </c>
      <c r="P37" s="64">
        <v>22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83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83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83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303</v>
      </c>
      <c r="E41" s="47">
        <v>340</v>
      </c>
      <c r="F41" s="47">
        <v>395</v>
      </c>
      <c r="G41" s="47">
        <v>297</v>
      </c>
      <c r="H41" s="47">
        <v>364</v>
      </c>
      <c r="I41" s="47">
        <v>495</v>
      </c>
      <c r="J41" s="47">
        <v>296</v>
      </c>
      <c r="K41" s="47">
        <v>376.59999999999997</v>
      </c>
      <c r="L41" s="47">
        <v>241</v>
      </c>
      <c r="M41" s="47">
        <v>305</v>
      </c>
      <c r="N41" s="47">
        <v>295</v>
      </c>
      <c r="O41" s="83">
        <v>108.315</v>
      </c>
      <c r="P41" s="64">
        <v>146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(Pars!D56+(D_ZH_1!D14-Pars!D57)*Pars!D58)/Pars!D59</f>
        <v>0.29551679999999997</v>
      </c>
      <c r="E43" s="66">
        <f>(Pars!E56+(D_ZH_1!E14-Pars!E57)*Pars!E58)/Pars!E59</f>
        <v>0.29730010269989732</v>
      </c>
      <c r="F43" s="66">
        <f>(Pars!F56+(D_ZH_1!F14-Pars!F57)*Pars!F58)/Pars!F59</f>
        <v>0.29841700316599362</v>
      </c>
      <c r="G43" s="66">
        <f>(Pars!G56+(D_ZH_1!G14-Pars!G57)*Pars!G58)/Pars!G59</f>
        <v>0.29849510451468647</v>
      </c>
      <c r="H43" s="66">
        <f>(Pars!H56+(D_ZH_1!H14-Pars!H57)*Pars!H58)/Pars!H59</f>
        <v>0.31182275270898918</v>
      </c>
      <c r="I43" s="66">
        <f>(Pars!I56+(D_ZH_1!I14-Pars!I57)*Pars!I58)/Pars!I59</f>
        <v>0.31397843010784948</v>
      </c>
      <c r="J43" s="66">
        <f>(Pars!J56+(D_ZH_1!J14-Pars!J57)*Pars!J58)/Pars!J59</f>
        <v>0.30907814553112684</v>
      </c>
      <c r="K43" s="66">
        <f>(Pars!K56+(D_ZH_1!K14-Pars!K57)*Pars!K58)/Pars!K59</f>
        <v>0.30946983371116404</v>
      </c>
      <c r="L43" s="66">
        <f>(Pars!L56+(D_ZH_1!L14-Pars!L57)*Pars!L58)/Pars!L59</f>
        <v>0.31005751953984367</v>
      </c>
      <c r="M43" s="66">
        <f>(Pars!M56+(D_ZH_1!M14-Pars!M57)*Pars!M58)/Pars!M59</f>
        <v>0.31417317244144805</v>
      </c>
      <c r="N43" s="66">
        <f>(Pars!N56+(D_ZH_1!N14-Pars!N57)*Pars!N58)/Pars!N59</f>
        <v>0.31554484455155446</v>
      </c>
      <c r="O43" s="66">
        <f>(Pars!O56+(D_ZH_1!O14-Pars!O57)*Pars!O58)/Pars!O59</f>
        <v>0.30689520962392153</v>
      </c>
      <c r="P43" s="66">
        <f>(Pars!P56+(D_ZH_1!P14-Pars!P57)*Pars!P58)/Pars!P59</f>
        <v>0.30182437810746271</v>
      </c>
      <c r="Q43" s="66">
        <f>(Pars!Q56+(D_ZH_1!Q14-Pars!Q57)*Pars!Q58)/Pars!Q59</f>
        <v>6.7999116011491847E-2</v>
      </c>
      <c r="R43" s="66">
        <f>(Pars!R56+(D_ZH_1!R14-Pars!R57)*Pars!R58)/Pars!R59</f>
        <v>6.7999048013327817E-2</v>
      </c>
      <c r="S43" s="66">
        <f>(Pars!S56+(D_ZH_1!S14-Pars!S57)*Pars!S58)/Pars!S59</f>
        <v>6.7998980015299776E-2</v>
      </c>
      <c r="T43" s="66">
        <f>(Pars!T56+(D_ZH_1!T14-Pars!T57)*Pars!T58)/Pars!T59</f>
        <v>6.7998980015299776E-2</v>
      </c>
      <c r="U43" s="66">
        <f>(Pars!U56+(D_ZH_1!U14-Pars!U57)*Pars!U58)/Pars!U59</f>
        <v>6.7998980015299776E-2</v>
      </c>
      <c r="V43" s="66">
        <f>(Pars!V56+(D_ZH_1!V14-Pars!V57)*Pars!V58)/Pars!V59</f>
        <v>6.7998980015299776E-2</v>
      </c>
      <c r="W43" s="66">
        <f>(Pars!W56+(D_ZH_1!W14-Pars!W57)*Pars!W58)/Pars!W59</f>
        <v>6.7998980015299776E-2</v>
      </c>
      <c r="X43" s="66">
        <f>(Pars!X56+(D_ZH_1!X14-Pars!X57)*Pars!X58)/Pars!X59</f>
        <v>6.7998980015299776E-2</v>
      </c>
      <c r="Y43" s="66">
        <f>(Pars!Y56+(D_ZH_1!Y14-Pars!Y57)*Pars!Y58)/Pars!Y59</f>
        <v>6.7998980015299776E-2</v>
      </c>
      <c r="Z43" s="66">
        <f>(Pars!Z56+(D_ZH_1!Z14-Pars!Z57)*Pars!Z58)/Pars!Z59</f>
        <v>6.7998980015299776E-2</v>
      </c>
      <c r="AA43" s="66">
        <f>(Pars!AA56+(D_ZH_1!AA14-Pars!AA57)*Pars!AA58)/Pars!AA59</f>
        <v>6.7998980015299776E-2</v>
      </c>
      <c r="AB43" s="66">
        <f>(Pars!AB56+(D_ZH_1!AB14-Pars!AB57)*Pars!AB58)/Pars!AB59</f>
        <v>6.7998980015299776E-2</v>
      </c>
      <c r="AC43" s="66">
        <f>(Pars!AC56+(D_ZH_1!AC14-Pars!AC57)*Pars!AC58)/Pars!AC59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94509.326313599988</v>
      </c>
      <c r="E44" s="43">
        <f>Pars!E37*E43*E6</f>
        <v>96394.305998627344</v>
      </c>
      <c r="F44" s="43">
        <f>Pars!F37*F43*F6</f>
        <v>94397.355360489266</v>
      </c>
      <c r="G44" s="43">
        <f>Pars!G37*G43*G6</f>
        <v>92750.78683563949</v>
      </c>
      <c r="H44" s="43">
        <f>Pars!H37*H43*H6</f>
        <v>98673.39974906767</v>
      </c>
      <c r="I44" s="43">
        <f>Pars!I37*I43*I6</f>
        <v>98162.844345778271</v>
      </c>
      <c r="J44" s="43">
        <f>Pars!J37*J43*J6</f>
        <v>108048.67140130493</v>
      </c>
      <c r="K44" s="43">
        <f>Pars!K37*K43*K6</f>
        <v>103621.23490661966</v>
      </c>
      <c r="L44" s="43">
        <f>Pars!L37*L43*L6</f>
        <v>105274.86313442826</v>
      </c>
      <c r="M44" s="43">
        <f>Pars!M37*M43*M6</f>
        <v>108414.04055096838</v>
      </c>
      <c r="N44" s="43">
        <f>Pars!N37*N43*N6</f>
        <v>108607.38004619953</v>
      </c>
      <c r="O44" s="63">
        <f>Pars!O37*O43*O6</f>
        <v>107001.63377680063</v>
      </c>
      <c r="P44" s="63">
        <f>Pars!P37*P43*P6</f>
        <v>103392.45592386225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45364.476630527992</v>
      </c>
      <c r="E45" s="43">
        <f>E44*Pars!E36/100</f>
        <v>46269.266879341129</v>
      </c>
      <c r="F45" s="43">
        <f>F44*Pars!F36/100</f>
        <v>45310.730573034845</v>
      </c>
      <c r="G45" s="43">
        <f>G44*Pars!G36/100</f>
        <v>44520.377681106955</v>
      </c>
      <c r="H45" s="43">
        <f>H44*Pars!H36/100</f>
        <v>47363.231879552484</v>
      </c>
      <c r="I45" s="43">
        <f>I44*Pars!I36/100</f>
        <v>47118.16528597357</v>
      </c>
      <c r="J45" s="43">
        <f>J44*Pars!J36/100</f>
        <v>51863.362272626364</v>
      </c>
      <c r="K45" s="43">
        <f>K44*Pars!K36/100</f>
        <v>49738.192755177442</v>
      </c>
      <c r="L45" s="43">
        <f>L44*Pars!L36/100</f>
        <v>50531.934304525566</v>
      </c>
      <c r="M45" s="43">
        <f>M44*Pars!M36/100</f>
        <v>52038.739464464823</v>
      </c>
      <c r="N45" s="43">
        <f>N44*Pars!N36/100</f>
        <v>52131.542422175771</v>
      </c>
      <c r="O45" s="63">
        <f>O44*Pars!O36/100</f>
        <v>51360.784212864302</v>
      </c>
      <c r="P45" s="63">
        <f>P44*Pars!P36/100</f>
        <v>49628.37884345388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6057.2214999999997</v>
      </c>
      <c r="E46" s="43">
        <f>Pars!E40*E15</f>
        <v>5296.8445000000002</v>
      </c>
      <c r="F46" s="43">
        <f>Pars!F40*F15</f>
        <v>5623.201</v>
      </c>
      <c r="G46" s="43">
        <f>Pars!G40*G15</f>
        <v>5566.6773999999996</v>
      </c>
      <c r="H46" s="43">
        <f>Pars!H40*H15</f>
        <v>5532.3594999999996</v>
      </c>
      <c r="I46" s="43">
        <f>Pars!I40*I15</f>
        <v>5811.8373000000001</v>
      </c>
      <c r="J46" s="43">
        <f>Pars!J40*J15</f>
        <v>6000.4736000000003</v>
      </c>
      <c r="K46" s="43">
        <f>Pars!K40*K15</f>
        <v>5724.1360000000004</v>
      </c>
      <c r="L46" s="43">
        <f>Pars!L40*L15</f>
        <v>7602.8728000000001</v>
      </c>
      <c r="M46" s="43">
        <f>Pars!M40*M15</f>
        <v>14871.5386</v>
      </c>
      <c r="N46" s="43">
        <f>Pars!N40*N15</f>
        <v>16719.322</v>
      </c>
      <c r="O46" s="63">
        <f>Pars!O40*O15</f>
        <v>22244.010440000002</v>
      </c>
      <c r="P46" s="63">
        <f>Pars!P40*P15</f>
        <v>23103.572899999999</v>
      </c>
      <c r="Q46" s="63">
        <f>Pars!Q40*Q15</f>
        <v>22430</v>
      </c>
      <c r="R46" s="63">
        <f>Pars!R40*R15</f>
        <v>22430</v>
      </c>
      <c r="S46" s="63">
        <f>Pars!S40*S15</f>
        <v>23551.5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1418.4024000000002</v>
      </c>
      <c r="E47" s="43">
        <f>Pars!E41*E16</f>
        <v>1499.98</v>
      </c>
      <c r="F47" s="43">
        <f>Pars!F41*F16</f>
        <v>1475.0272</v>
      </c>
      <c r="G47" s="43">
        <f>Pars!G41*G16</f>
        <v>1498.5592000000001</v>
      </c>
      <c r="H47" s="43">
        <f>Pars!H41*H16</f>
        <v>1571.5824</v>
      </c>
      <c r="I47" s="43">
        <f>Pars!I41*I16</f>
        <v>1532.4808</v>
      </c>
      <c r="J47" s="43">
        <f>Pars!J41*J16</f>
        <v>1643.3032000000001</v>
      </c>
      <c r="K47" s="43">
        <f>Pars!K41*K16</f>
        <v>1577.828</v>
      </c>
      <c r="L47" s="43">
        <f>Pars!L41*L16</f>
        <v>1609.8848</v>
      </c>
      <c r="M47" s="43">
        <f>Pars!M41*M16</f>
        <v>1404.4312</v>
      </c>
      <c r="N47" s="43">
        <f>Pars!N41*N16</f>
        <v>1371.3384000000001</v>
      </c>
      <c r="O47" s="63">
        <f>Pars!O41*O16</f>
        <v>1303.6728000000001</v>
      </c>
      <c r="P47" s="63">
        <f>Pars!P41*P16</f>
        <v>1227.364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3541.42</v>
      </c>
      <c r="E48" s="67">
        <f t="array" ref="E48">SUMPRODUCT(E33:E41,Pars!E44:E52)</f>
        <v>3512</v>
      </c>
      <c r="F48" s="67">
        <f t="array" ref="F48">SUMPRODUCT(F33:F41,Pars!F44:F52)</f>
        <v>3430.6400000000003</v>
      </c>
      <c r="G48" s="67">
        <f t="array" ref="G48">SUMPRODUCT(G33:G41,Pars!G44:G52)</f>
        <v>3068.99</v>
      </c>
      <c r="H48" s="67">
        <f t="array" ref="H48">SUMPRODUCT(H33:H41,Pars!H44:H52)</f>
        <v>4051.78</v>
      </c>
      <c r="I48" s="67">
        <f t="array" ref="I48">SUMPRODUCT(I33:I41,Pars!I44:I52)</f>
        <v>4126.9400000000005</v>
      </c>
      <c r="J48" s="67">
        <f t="array" ref="J48">SUMPRODUCT(J33:J41,Pars!J44:J52)</f>
        <v>6012.5</v>
      </c>
      <c r="K48" s="67">
        <f t="array" ref="K48">SUMPRODUCT(K33:K41,Pars!K44:K52)</f>
        <v>6404.733978662689</v>
      </c>
      <c r="L48" s="67">
        <f t="array" ref="L48">SUMPRODUCT(L33:L41,Pars!L44:L52)</f>
        <v>5953.72</v>
      </c>
      <c r="M48" s="67">
        <f t="array" ref="M48">SUMPRODUCT(M33:M41,Pars!M44:M52)</f>
        <v>7026.66</v>
      </c>
      <c r="N48" s="67">
        <f t="array" ref="N48">SUMPRODUCT(N33:N41,Pars!N44:N52)</f>
        <v>8863.58</v>
      </c>
      <c r="O48" s="67">
        <f t="array" ref="O48">SUMPRODUCT(O33:O41,Pars!O44:O52)</f>
        <v>5253.2117799999996</v>
      </c>
      <c r="P48" s="67">
        <f t="array" ref="P48">SUMPRODUCT(P33:P41,Pars!P44:P52)</f>
        <v>5600.74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11017.043900000001</v>
      </c>
      <c r="E49" s="67">
        <f t="shared" ref="E49:AC49" si="1">SUM(E46:E48)</f>
        <v>10308.824500000001</v>
      </c>
      <c r="F49" s="67">
        <f t="shared" si="1"/>
        <v>10528.868200000001</v>
      </c>
      <c r="G49" s="67">
        <f t="shared" si="1"/>
        <v>10134.2266</v>
      </c>
      <c r="H49" s="67">
        <f t="shared" si="1"/>
        <v>11155.7219</v>
      </c>
      <c r="I49" s="67">
        <f t="shared" si="1"/>
        <v>11471.258100000001</v>
      </c>
      <c r="J49" s="67">
        <f t="shared" si="1"/>
        <v>13656.2768</v>
      </c>
      <c r="K49" s="67">
        <f t="shared" si="1"/>
        <v>13706.697978662689</v>
      </c>
      <c r="L49" s="67">
        <f t="shared" si="1"/>
        <v>15166.477600000002</v>
      </c>
      <c r="M49" s="67">
        <f t="shared" si="1"/>
        <v>23302.629799999999</v>
      </c>
      <c r="N49" s="67">
        <f t="shared" si="1"/>
        <v>26954.240400000002</v>
      </c>
      <c r="O49" s="67">
        <f t="shared" si="1"/>
        <v>28800.895020000004</v>
      </c>
      <c r="P49" s="67">
        <f t="shared" si="1"/>
        <v>29931.676899999999</v>
      </c>
      <c r="Q49" s="67">
        <f t="shared" si="1"/>
        <v>22430</v>
      </c>
      <c r="R49" s="67">
        <f t="shared" si="1"/>
        <v>22430</v>
      </c>
      <c r="S49" s="67">
        <f t="shared" si="1"/>
        <v>23551.5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34347.432730527988</v>
      </c>
      <c r="E50" s="70">
        <f t="shared" ref="E50:AC50" si="2">E45-E49</f>
        <v>35960.442379341126</v>
      </c>
      <c r="F50" s="70">
        <f t="shared" si="2"/>
        <v>34781.862373034848</v>
      </c>
      <c r="G50" s="70">
        <f t="shared" si="2"/>
        <v>34386.151081106953</v>
      </c>
      <c r="H50" s="70">
        <f t="shared" si="2"/>
        <v>36207.509979552487</v>
      </c>
      <c r="I50" s="70">
        <f t="shared" si="2"/>
        <v>35646.90718597357</v>
      </c>
      <c r="J50" s="70">
        <f t="shared" si="2"/>
        <v>38207.085472626364</v>
      </c>
      <c r="K50" s="70">
        <f t="shared" si="2"/>
        <v>36031.494776514752</v>
      </c>
      <c r="L50" s="70">
        <f t="shared" si="2"/>
        <v>35365.456704525568</v>
      </c>
      <c r="M50" s="70">
        <f t="shared" si="2"/>
        <v>28736.109664464824</v>
      </c>
      <c r="N50" s="70">
        <f t="shared" si="2"/>
        <v>25177.302022175769</v>
      </c>
      <c r="O50" s="70">
        <f t="shared" si="2"/>
        <v>22559.889192864299</v>
      </c>
      <c r="P50" s="70">
        <f t="shared" si="2"/>
        <v>19696.701943453882</v>
      </c>
      <c r="Q50" s="70">
        <f t="shared" si="2"/>
        <v>-22430</v>
      </c>
      <c r="R50" s="70">
        <f t="shared" si="2"/>
        <v>-22430</v>
      </c>
      <c r="S50" s="70">
        <f t="shared" si="2"/>
        <v>-23551.5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292</v>
      </c>
      <c r="L56" s="47">
        <v>1938</v>
      </c>
      <c r="M56" s="47">
        <v>7586</v>
      </c>
      <c r="N56" s="47">
        <v>10557</v>
      </c>
      <c r="O56" s="64">
        <v>14831</v>
      </c>
      <c r="P56" s="64">
        <v>15139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292</v>
      </c>
      <c r="L61" s="76">
        <f t="shared" si="3"/>
        <v>1938</v>
      </c>
      <c r="M61" s="76">
        <f t="shared" si="3"/>
        <v>7586</v>
      </c>
      <c r="N61" s="76">
        <f t="shared" si="3"/>
        <v>10557</v>
      </c>
      <c r="O61" s="76">
        <f t="shared" si="3"/>
        <v>14831</v>
      </c>
      <c r="P61" s="76">
        <f t="shared" si="3"/>
        <v>15139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34347.432730527988</v>
      </c>
      <c r="E62" s="79">
        <f t="shared" ref="E62:AC62" si="4">E50+E61</f>
        <v>35960.442379341126</v>
      </c>
      <c r="F62" s="79">
        <f t="shared" si="4"/>
        <v>34781.862373034848</v>
      </c>
      <c r="G62" s="79">
        <f t="shared" si="4"/>
        <v>34386.151081106953</v>
      </c>
      <c r="H62" s="79">
        <f t="shared" si="4"/>
        <v>36207.509979552487</v>
      </c>
      <c r="I62" s="79">
        <f t="shared" si="4"/>
        <v>35646.90718597357</v>
      </c>
      <c r="J62" s="79">
        <f t="shared" si="4"/>
        <v>38207.085472626364</v>
      </c>
      <c r="K62" s="79">
        <f t="shared" si="4"/>
        <v>36323.494776514752</v>
      </c>
      <c r="L62" s="79">
        <f t="shared" si="4"/>
        <v>37303.456704525568</v>
      </c>
      <c r="M62" s="79">
        <f t="shared" si="4"/>
        <v>36322.109664464821</v>
      </c>
      <c r="N62" s="79">
        <f t="shared" si="4"/>
        <v>35734.302022175769</v>
      </c>
      <c r="O62" s="79">
        <f t="shared" si="4"/>
        <v>37390.889192864299</v>
      </c>
      <c r="P62" s="79">
        <f t="shared" si="4"/>
        <v>34835.701943453882</v>
      </c>
      <c r="Q62" s="79">
        <f t="shared" si="4"/>
        <v>-22430</v>
      </c>
      <c r="R62" s="79">
        <f t="shared" si="4"/>
        <v>-22430</v>
      </c>
      <c r="S62" s="79">
        <f t="shared" si="4"/>
        <v>-23551.5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44" priority="5" operator="containsText" text="Nein">
      <formula>NOT(ISERROR(SEARCH("Nein",D22)))</formula>
    </cfRule>
  </conditionalFormatting>
  <conditionalFormatting sqref="D31:AC31">
    <cfRule type="cellIs" dxfId="43" priority="6" operator="equal">
      <formula>"ok"</formula>
    </cfRule>
  </conditionalFormatting>
  <conditionalFormatting sqref="H5:AC12 H14:AC16 H18:AC19 H33:AC41">
    <cfRule type="cellIs" dxfId="42" priority="4" operator="greaterThan">
      <formula>0</formula>
    </cfRule>
  </conditionalFormatting>
  <conditionalFormatting sqref="H6:AC12">
    <cfRule type="expression" dxfId="41" priority="3">
      <formula>NOT(ISBLANK(H6))</formula>
    </cfRule>
  </conditionalFormatting>
  <conditionalFormatting sqref="H18:AC19">
    <cfRule type="expression" dxfId="40" priority="2">
      <formula>NOT(ISBLANK(H18))</formula>
    </cfRule>
  </conditionalFormatting>
  <conditionalFormatting sqref="H56:AC60">
    <cfRule type="cellIs" dxfId="39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CE502361-D5DF-4670-BEDF-345790F121B1}">
      <formula1>"Ja, Nein"</formula1>
    </dataValidation>
  </dataValidation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BA7A7-5BF3-4581-9956-D63B1CDDB985}">
  <sheetPr>
    <tabColor theme="2" tint="-0.499984740745262"/>
  </sheetPr>
  <dimension ref="A1:AD134"/>
  <sheetViews>
    <sheetView zoomScale="90" zoomScaleNormal="90"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209</v>
      </c>
      <c r="D1" s="32"/>
      <c r="E1" s="32"/>
    </row>
    <row r="2" spans="1:30" x14ac:dyDescent="0.3">
      <c r="A2" s="30"/>
      <c r="B2" s="31" t="s">
        <v>86</v>
      </c>
      <c r="C2" s="33" t="s">
        <v>210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209347</v>
      </c>
      <c r="E5" s="42">
        <v>209347</v>
      </c>
      <c r="F5" s="42">
        <v>209347</v>
      </c>
      <c r="G5" s="42">
        <v>209347</v>
      </c>
      <c r="H5" s="43">
        <v>209347</v>
      </c>
      <c r="I5" s="43">
        <v>207134</v>
      </c>
      <c r="J5" s="43">
        <v>201369</v>
      </c>
      <c r="K5" s="43">
        <v>195152.67718051642</v>
      </c>
      <c r="L5" s="43">
        <v>189579</v>
      </c>
      <c r="M5" s="43">
        <v>190559</v>
      </c>
      <c r="N5" s="43">
        <v>191183</v>
      </c>
      <c r="O5" s="43">
        <v>193287.08944220305</v>
      </c>
      <c r="P5" s="43">
        <v>189665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194303</v>
      </c>
      <c r="E6" s="42">
        <v>203455</v>
      </c>
      <c r="F6" s="42">
        <v>192897</v>
      </c>
      <c r="G6" s="42">
        <v>194174</v>
      </c>
      <c r="H6" s="47">
        <v>193163</v>
      </c>
      <c r="I6" s="47">
        <v>190950</v>
      </c>
      <c r="J6" s="47">
        <v>187351</v>
      </c>
      <c r="K6" s="47">
        <v>188989.12290000005</v>
      </c>
      <c r="L6" s="47">
        <v>183769</v>
      </c>
      <c r="M6" s="47">
        <v>189609</v>
      </c>
      <c r="N6" s="47">
        <v>187632</v>
      </c>
      <c r="O6" s="47">
        <v>187965.4712</v>
      </c>
      <c r="P6" s="47">
        <v>168049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19689</v>
      </c>
      <c r="E7" s="42">
        <v>20585</v>
      </c>
      <c r="F7" s="42">
        <v>17074</v>
      </c>
      <c r="G7" s="42">
        <v>19194</v>
      </c>
      <c r="H7" s="47">
        <v>21377</v>
      </c>
      <c r="I7" s="47">
        <v>16861</v>
      </c>
      <c r="J7" s="47">
        <v>2737</v>
      </c>
      <c r="K7" s="47">
        <v>2467.2199999999998</v>
      </c>
      <c r="L7" s="47">
        <v>3969</v>
      </c>
      <c r="M7" s="47">
        <v>2530</v>
      </c>
      <c r="N7" s="47">
        <v>2357</v>
      </c>
      <c r="O7" s="47">
        <v>2105.36</v>
      </c>
      <c r="P7" s="47">
        <v>1758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>
        <v>4971</v>
      </c>
      <c r="H8" s="47">
        <v>3142</v>
      </c>
      <c r="I8" s="47">
        <v>3927</v>
      </c>
      <c r="J8" s="47">
        <v>5640</v>
      </c>
      <c r="K8" s="47">
        <v>7752.9200000000019</v>
      </c>
      <c r="L8" s="47">
        <v>6982</v>
      </c>
      <c r="M8" s="47">
        <v>4175</v>
      </c>
      <c r="N8" s="47">
        <v>3972</v>
      </c>
      <c r="O8" s="47">
        <v>0</v>
      </c>
      <c r="P8" s="47">
        <v>953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>
        <v>0</v>
      </c>
      <c r="L9" s="47">
        <v>0</v>
      </c>
      <c r="M9" s="47"/>
      <c r="N9" s="47"/>
      <c r="O9" s="47">
        <v>0</v>
      </c>
      <c r="P9" s="47">
        <v>0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>
        <v>64</v>
      </c>
      <c r="J10" s="47">
        <v>6284</v>
      </c>
      <c r="K10" s="47">
        <v>6603.8000000000011</v>
      </c>
      <c r="L10" s="47">
        <v>5456</v>
      </c>
      <c r="M10" s="47">
        <v>3785</v>
      </c>
      <c r="N10" s="47">
        <v>3816</v>
      </c>
      <c r="O10" s="47">
        <v>2509.1799999999998</v>
      </c>
      <c r="P10" s="47">
        <v>2867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>
        <v>0</v>
      </c>
      <c r="L11" s="47">
        <v>0</v>
      </c>
      <c r="M11" s="47"/>
      <c r="N11" s="47"/>
      <c r="O11" s="47">
        <v>0</v>
      </c>
      <c r="P11" s="47">
        <v>0</v>
      </c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11.539</v>
      </c>
      <c r="E14" s="51">
        <v>11.733000000000001</v>
      </c>
      <c r="F14" s="51">
        <v>11.465999999999999</v>
      </c>
      <c r="G14" s="51">
        <v>11.18</v>
      </c>
      <c r="H14" s="43">
        <v>11.18</v>
      </c>
      <c r="I14" s="43">
        <v>11.69</v>
      </c>
      <c r="J14" s="43">
        <v>12.36</v>
      </c>
      <c r="K14" s="43">
        <v>12.61</v>
      </c>
      <c r="L14" s="43">
        <v>12.94</v>
      </c>
      <c r="M14" s="43">
        <v>12.2</v>
      </c>
      <c r="N14" s="43">
        <v>12.522</v>
      </c>
      <c r="O14" s="43">
        <v>12.278728415596996</v>
      </c>
      <c r="P14" s="43">
        <v>12.24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40754</v>
      </c>
      <c r="E15" s="42">
        <v>42257</v>
      </c>
      <c r="F15" s="42">
        <v>39819</v>
      </c>
      <c r="G15" s="42">
        <v>41225</v>
      </c>
      <c r="H15" s="47">
        <v>37415</v>
      </c>
      <c r="I15" s="47">
        <v>56583</v>
      </c>
      <c r="J15" s="47">
        <v>62015</v>
      </c>
      <c r="K15" s="47">
        <v>57644</v>
      </c>
      <c r="L15" s="47">
        <v>60391</v>
      </c>
      <c r="M15" s="47">
        <f>59127</f>
        <v>59127</v>
      </c>
      <c r="N15" s="47">
        <v>57258</v>
      </c>
      <c r="O15" s="47">
        <v>61670.058599999997</v>
      </c>
      <c r="P15" s="47">
        <v>49212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89089</v>
      </c>
      <c r="E16" s="42">
        <v>98781</v>
      </c>
      <c r="F16" s="42">
        <v>99645</v>
      </c>
      <c r="G16" s="42">
        <v>102441</v>
      </c>
      <c r="H16" s="47">
        <v>102341</v>
      </c>
      <c r="I16" s="47">
        <v>91368</v>
      </c>
      <c r="J16" s="47">
        <v>110190</v>
      </c>
      <c r="K16" s="47">
        <v>112274</v>
      </c>
      <c r="L16" s="47">
        <v>102185</v>
      </c>
      <c r="M16" s="47">
        <v>108743</v>
      </c>
      <c r="N16" s="47">
        <v>111906</v>
      </c>
      <c r="O16" s="47">
        <v>111730.8198</v>
      </c>
      <c r="P16" s="47">
        <v>99304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38040</v>
      </c>
      <c r="E18" s="42">
        <v>43686</v>
      </c>
      <c r="F18" s="42">
        <v>41327</v>
      </c>
      <c r="G18" s="42">
        <v>41577</v>
      </c>
      <c r="H18" s="43">
        <v>39293</v>
      </c>
      <c r="I18" s="43">
        <v>37376</v>
      </c>
      <c r="J18" s="43">
        <v>33896</v>
      </c>
      <c r="K18" s="43">
        <v>34833.101999999999</v>
      </c>
      <c r="L18" s="43">
        <v>35570</v>
      </c>
      <c r="M18" s="43">
        <v>38196</v>
      </c>
      <c r="N18" s="43">
        <v>36939</v>
      </c>
      <c r="O18" s="43">
        <v>38560.31</v>
      </c>
      <c r="P18" s="43">
        <v>32292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3321</v>
      </c>
      <c r="E19" s="42">
        <v>3656</v>
      </c>
      <c r="F19" s="42">
        <v>3832</v>
      </c>
      <c r="G19" s="42">
        <v>3368</v>
      </c>
      <c r="H19" s="47">
        <v>3318</v>
      </c>
      <c r="I19" s="47">
        <v>3358</v>
      </c>
      <c r="J19" s="47">
        <v>3139</v>
      </c>
      <c r="K19" s="47">
        <v>3201.42</v>
      </c>
      <c r="L19" s="47">
        <v>3150</v>
      </c>
      <c r="M19" s="47">
        <v>3177</v>
      </c>
      <c r="N19" s="47">
        <v>3093</v>
      </c>
      <c r="O19" s="47">
        <v>2884.58</v>
      </c>
      <c r="P19" s="47">
        <v>2724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112</v>
      </c>
      <c r="E22" s="59" t="s">
        <v>112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113</v>
      </c>
      <c r="G23" s="59" t="s">
        <v>113</v>
      </c>
      <c r="H23" s="59" t="s">
        <v>113</v>
      </c>
      <c r="I23" s="59" t="s">
        <v>113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112</v>
      </c>
      <c r="G29" s="59" t="s">
        <v>112</v>
      </c>
      <c r="H29" s="59" t="s">
        <v>112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112</v>
      </c>
      <c r="J30" s="59" t="s">
        <v>112</v>
      </c>
      <c r="K30" s="59" t="s">
        <v>112</v>
      </c>
      <c r="L30" s="59" t="s">
        <v>112</v>
      </c>
      <c r="M30" s="59" t="s">
        <v>112</v>
      </c>
      <c r="N30" s="59" t="s">
        <v>112</v>
      </c>
      <c r="O30" s="59" t="s">
        <v>112</v>
      </c>
      <c r="P30" s="59" t="s">
        <v>112</v>
      </c>
      <c r="Q30" s="59" t="s">
        <v>112</v>
      </c>
      <c r="R30" s="59" t="s">
        <v>112</v>
      </c>
      <c r="S30" s="59" t="s">
        <v>112</v>
      </c>
      <c r="T30" s="59" t="s">
        <v>112</v>
      </c>
      <c r="U30" s="59" t="s">
        <v>112</v>
      </c>
      <c r="V30" s="59" t="s">
        <v>112</v>
      </c>
      <c r="W30" s="59" t="s">
        <v>112</v>
      </c>
      <c r="X30" s="59" t="s">
        <v>112</v>
      </c>
      <c r="Y30" s="59" t="s">
        <v>112</v>
      </c>
      <c r="Z30" s="59" t="s">
        <v>112</v>
      </c>
      <c r="AA30" s="59" t="s">
        <v>112</v>
      </c>
      <c r="AB30" s="59" t="s">
        <v>112</v>
      </c>
      <c r="AC30" s="59" t="s">
        <v>112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2664</v>
      </c>
      <c r="E33" s="47">
        <v>2840</v>
      </c>
      <c r="F33" s="47">
        <v>2914</v>
      </c>
      <c r="G33" s="47">
        <v>3405</v>
      </c>
      <c r="H33" s="43">
        <v>1679</v>
      </c>
      <c r="I33" s="43">
        <v>3609</v>
      </c>
      <c r="J33" s="43">
        <v>2462</v>
      </c>
      <c r="K33" s="43">
        <v>3518</v>
      </c>
      <c r="L33" s="43">
        <v>3372</v>
      </c>
      <c r="M33" s="43">
        <f>9.61/100*M18</f>
        <v>3670.6355999999996</v>
      </c>
      <c r="N33" s="43">
        <v>3678</v>
      </c>
      <c r="O33" s="82">
        <v>3624.8781373239422</v>
      </c>
      <c r="P33" s="63">
        <v>3074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791</v>
      </c>
      <c r="K34" s="47">
        <v>529.46159999999998</v>
      </c>
      <c r="L34" s="47">
        <f>2196/99076*L18</f>
        <v>788.40203480156651</v>
      </c>
      <c r="M34" s="47">
        <f>1.48/100*M18</f>
        <v>565.30079999999998</v>
      </c>
      <c r="N34" s="47">
        <v>469</v>
      </c>
      <c r="O34" s="83">
        <v>1196.7121364140717</v>
      </c>
      <c r="P34" s="64">
        <v>1222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>
        <f>505/99076*L18</f>
        <v>181.30374661875732</v>
      </c>
      <c r="M35" s="47"/>
      <c r="N35" s="47"/>
      <c r="O35" s="83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>
        <f>20/99076*L19</f>
        <v>0.63587548952319428</v>
      </c>
      <c r="M36" s="47"/>
      <c r="N36" s="47"/>
      <c r="O36" s="83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>
        <v>0</v>
      </c>
      <c r="H37" s="47">
        <v>0</v>
      </c>
      <c r="I37" s="47">
        <v>85</v>
      </c>
      <c r="J37" s="47">
        <v>105</v>
      </c>
      <c r="K37" s="47">
        <v>163</v>
      </c>
      <c r="L37" s="47">
        <v>145</v>
      </c>
      <c r="M37" s="47">
        <v>151</v>
      </c>
      <c r="N37" s="47">
        <v>92</v>
      </c>
      <c r="O37" s="83">
        <v>126.25</v>
      </c>
      <c r="P37" s="64">
        <v>45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>
        <f>0.0553/99076*L18</f>
        <v>1.9853657798054022E-2</v>
      </c>
      <c r="M38" s="47"/>
      <c r="N38" s="47"/>
      <c r="O38" s="83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>
        <f>1.6128/99076*L18</f>
        <v>0.57902313375590464</v>
      </c>
      <c r="M39" s="47"/>
      <c r="N39" s="47"/>
      <c r="O39" s="83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>
        <f>L41-L34-L35-L36-L38-L39</f>
        <v>201.05946629859903</v>
      </c>
      <c r="M40" s="47"/>
      <c r="N40" s="47"/>
      <c r="O40" s="83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355</v>
      </c>
      <c r="E41" s="47">
        <v>1075</v>
      </c>
      <c r="F41" s="47">
        <v>760</v>
      </c>
      <c r="G41" s="47">
        <v>1093</v>
      </c>
      <c r="H41" s="47">
        <v>791</v>
      </c>
      <c r="I41" s="47">
        <v>1239</v>
      </c>
      <c r="J41" s="47">
        <f>989-791</f>
        <v>198</v>
      </c>
      <c r="K41" s="47">
        <f>1707-529</f>
        <v>1178</v>
      </c>
      <c r="L41" s="47">
        <v>1172</v>
      </c>
      <c r="M41" s="47">
        <f>(0.47+2.45)/100*M18</f>
        <v>1115.3232</v>
      </c>
      <c r="N41" s="47">
        <v>1206</v>
      </c>
      <c r="O41" s="83">
        <v>550.06225580576449</v>
      </c>
      <c r="P41" s="64">
        <v>477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(Pars!D56+(D_ZH_2!D14-Pars!D57)*Pars!D58)/Pars!D59</f>
        <v>0.29416440000000005</v>
      </c>
      <c r="E43" s="66">
        <f>(Pars!E56+(D_ZH_2!E14-Pars!E57)*Pars!E58)/Pars!E59</f>
        <v>0.29796650203349795</v>
      </c>
      <c r="F43" s="66">
        <f>(Pars!F56+(D_ZH_2!F14-Pars!F57)*Pars!F58)/Pars!F59</f>
        <v>0.29273301453397088</v>
      </c>
      <c r="G43" s="66">
        <f>(Pars!G56+(D_ZH_2!G14-Pars!G57)*Pars!G58)/Pars!G59</f>
        <v>0.28712713861858413</v>
      </c>
      <c r="H43" s="66">
        <f>(Pars!H56+(D_ZH_2!H14-Pars!H57)*Pars!H58)/Pars!H59</f>
        <v>0.28712685149259404</v>
      </c>
      <c r="I43" s="66">
        <f>(Pars!I56+(D_ZH_2!I14-Pars!I57)*Pars!I58)/Pars!I59</f>
        <v>0.29712251438742804</v>
      </c>
      <c r="J43" s="66">
        <f>(Pars!J56+(D_ZH_2!J14-Pars!J57)*Pars!J58)/Pars!J59</f>
        <v>0.31025413847516914</v>
      </c>
      <c r="K43" s="66">
        <f>(Pars!K56+(D_ZH_2!K14-Pars!K57)*Pars!K58)/Pars!K59</f>
        <v>0.31515379392344256</v>
      </c>
      <c r="L43" s="66">
        <f>(Pars!L56+(D_ZH_2!L14-Pars!L57)*Pars!L58)/Pars!L59</f>
        <v>0.32162142702858376</v>
      </c>
      <c r="M43" s="66">
        <f>(Pars!M56+(D_ZH_2!M14-Pars!M57)*Pars!M58)/Pars!M59</f>
        <v>0.3071172359448765</v>
      </c>
      <c r="N43" s="66">
        <f>(Pars!N56+(D_ZH_2!N14-Pars!N57)*Pars!N58)/Pars!N59</f>
        <v>0.31342806571934284</v>
      </c>
      <c r="O43" s="66">
        <f>(Pars!O56+(D_ZH_2!O14-Pars!O57)*Pars!O58)/Pars!O59</f>
        <v>0.30865968168920255</v>
      </c>
      <c r="P43" s="66">
        <f>(Pars!P56+(D_ZH_2!P14-Pars!P57)*Pars!P58)/Pars!P59</f>
        <v>0.30790030519633765</v>
      </c>
      <c r="Q43" s="66">
        <f>(Pars!Q56+(D_ZH_2!Q14-Pars!Q57)*Pars!Q58)/Pars!Q59</f>
        <v>6.7999116011491847E-2</v>
      </c>
      <c r="R43" s="66">
        <f>(Pars!R56+(D_ZH_2!R14-Pars!R57)*Pars!R58)/Pars!R59</f>
        <v>6.7999048013327817E-2</v>
      </c>
      <c r="S43" s="66">
        <f>(Pars!S56+(D_ZH_2!S14-Pars!S57)*Pars!S58)/Pars!S59</f>
        <v>6.7998980015299776E-2</v>
      </c>
      <c r="T43" s="66">
        <f>(Pars!T56+(D_ZH_2!T14-Pars!T57)*Pars!T58)/Pars!T59</f>
        <v>6.7998980015299776E-2</v>
      </c>
      <c r="U43" s="66">
        <f>(Pars!U56+(D_ZH_2!U14-Pars!U57)*Pars!U58)/Pars!U59</f>
        <v>6.7998980015299776E-2</v>
      </c>
      <c r="V43" s="66">
        <f>(Pars!V56+(D_ZH_2!V14-Pars!V57)*Pars!V58)/Pars!V59</f>
        <v>6.7998980015299776E-2</v>
      </c>
      <c r="W43" s="66">
        <f>(Pars!W56+(D_ZH_2!W14-Pars!W57)*Pars!W58)/Pars!W59</f>
        <v>6.7998980015299776E-2</v>
      </c>
      <c r="X43" s="66">
        <f>(Pars!X56+(D_ZH_2!X14-Pars!X57)*Pars!X58)/Pars!X59</f>
        <v>6.7998980015299776E-2</v>
      </c>
      <c r="Y43" s="66">
        <f>(Pars!Y56+(D_ZH_2!Y14-Pars!Y57)*Pars!Y58)/Pars!Y59</f>
        <v>6.7998980015299776E-2</v>
      </c>
      <c r="Z43" s="66">
        <f>(Pars!Z56+(D_ZH_2!Z14-Pars!Z57)*Pars!Z58)/Pars!Z59</f>
        <v>6.7998980015299776E-2</v>
      </c>
      <c r="AA43" s="66">
        <f>(Pars!AA56+(D_ZH_2!AA14-Pars!AA57)*Pars!AA58)/Pars!AA59</f>
        <v>6.7998980015299776E-2</v>
      </c>
      <c r="AB43" s="66">
        <f>(Pars!AB56+(D_ZH_2!AB14-Pars!AB57)*Pars!AB58)/Pars!AB59</f>
        <v>6.7998980015299776E-2</v>
      </c>
      <c r="AC43" s="66">
        <f>(Pars!AC56+(D_ZH_2!AC14-Pars!AC57)*Pars!AC58)/Pars!AC59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209575.75984840002</v>
      </c>
      <c r="E44" s="43">
        <f>Pars!E37*E43*E6</f>
        <v>222283.50712782619</v>
      </c>
      <c r="F44" s="43">
        <f>Pars!F37*F43*F6</f>
        <v>207046.84111671773</v>
      </c>
      <c r="G44" s="43">
        <f>Pars!G37*G43*G6</f>
        <v>204426.29171845817</v>
      </c>
      <c r="H44" s="43">
        <f>Pars!H37*H43*H6</f>
        <v>203361.7080545011</v>
      </c>
      <c r="I44" s="43">
        <f>Pars!I37*I43*I6</f>
        <v>208030.32844835773</v>
      </c>
      <c r="J44" s="43">
        <f>Pars!J37*J43*J6</f>
        <v>213130.21802402518</v>
      </c>
      <c r="K44" s="43">
        <f>Pars!K37*K43*K6</f>
        <v>218389.0100047288</v>
      </c>
      <c r="L44" s="43">
        <f>Pars!L37*L43*L6</f>
        <v>216714.84275325795</v>
      </c>
      <c r="M44" s="43">
        <f>Pars!M37*M43*M6</f>
        <v>213518.0372976643</v>
      </c>
      <c r="N44" s="43">
        <f>Pars!N37*N43*N6</f>
        <v>215633.49436585637</v>
      </c>
      <c r="O44" s="63">
        <f>Pars!O37*O43*O6</f>
        <v>212730.32920022754</v>
      </c>
      <c r="P44" s="63">
        <f>Pars!P37*P43*P6</f>
        <v>189721.90742244426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100596.36472723201</v>
      </c>
      <c r="E45" s="43">
        <f>E44*Pars!E36/100</f>
        <v>106696.08342135657</v>
      </c>
      <c r="F45" s="43">
        <f>F44*Pars!F36/100</f>
        <v>99382.4837360245</v>
      </c>
      <c r="G45" s="43">
        <f>G44*Pars!G36/100</f>
        <v>98124.62002485992</v>
      </c>
      <c r="H45" s="43">
        <f>H44*Pars!H36/100</f>
        <v>97613.61986616053</v>
      </c>
      <c r="I45" s="43">
        <f>I44*Pars!I36/100</f>
        <v>99854.557655211713</v>
      </c>
      <c r="J45" s="43">
        <f>J44*Pars!J36/100</f>
        <v>102302.50465153209</v>
      </c>
      <c r="K45" s="43">
        <f>K44*Pars!K36/100</f>
        <v>104826.72480226982</v>
      </c>
      <c r="L45" s="43">
        <f>L44*Pars!L36/100</f>
        <v>104023.12452156382</v>
      </c>
      <c r="M45" s="43">
        <f>M44*Pars!M36/100</f>
        <v>102488.65790287885</v>
      </c>
      <c r="N45" s="43">
        <f>N44*Pars!N36/100</f>
        <v>103504.07729561106</v>
      </c>
      <c r="O45" s="63">
        <f>O44*Pars!O36/100</f>
        <v>102110.55801610922</v>
      </c>
      <c r="P45" s="63">
        <f>P44*Pars!P36/100</f>
        <v>91066.515562773231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9141.1221999999998</v>
      </c>
      <c r="E46" s="43">
        <f>Pars!E40*E15</f>
        <v>9478.2451000000001</v>
      </c>
      <c r="F46" s="43">
        <f>Pars!F40*F15</f>
        <v>8931.4017000000003</v>
      </c>
      <c r="G46" s="43">
        <f>Pars!G40*G15</f>
        <v>9246.7674999999999</v>
      </c>
      <c r="H46" s="43">
        <f>Pars!H40*H15</f>
        <v>8392.1844999999994</v>
      </c>
      <c r="I46" s="43">
        <f>Pars!I40*I15</f>
        <v>12691.5669</v>
      </c>
      <c r="J46" s="43">
        <f>Pars!J40*J15</f>
        <v>13909.9645</v>
      </c>
      <c r="K46" s="43">
        <f>Pars!K40*K15</f>
        <v>12929.549199999999</v>
      </c>
      <c r="L46" s="43">
        <f>Pars!L40*L15</f>
        <v>13545.701300000001</v>
      </c>
      <c r="M46" s="43">
        <f>Pars!M40*M15</f>
        <v>13262.186100000001</v>
      </c>
      <c r="N46" s="43">
        <f>Pars!N40*N15</f>
        <v>12842.9694</v>
      </c>
      <c r="O46" s="63">
        <f>Pars!O40*O15</f>
        <v>13832.594143979999</v>
      </c>
      <c r="P46" s="63">
        <f>Pars!P40*P15</f>
        <v>11038.2516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2637.0344</v>
      </c>
      <c r="E47" s="43">
        <f>Pars!E41*E16</f>
        <v>2923.9176000000002</v>
      </c>
      <c r="F47" s="43">
        <f>Pars!F41*F16</f>
        <v>2949.4920000000002</v>
      </c>
      <c r="G47" s="43">
        <f>Pars!G41*G16</f>
        <v>3032.2536</v>
      </c>
      <c r="H47" s="43">
        <f>Pars!H41*H16</f>
        <v>3029.2936</v>
      </c>
      <c r="I47" s="43">
        <f>Pars!I41*I16</f>
        <v>2704.4928</v>
      </c>
      <c r="J47" s="43">
        <f>Pars!J41*J16</f>
        <v>3261.6240000000003</v>
      </c>
      <c r="K47" s="43">
        <f>Pars!K41*K16</f>
        <v>3323.3104000000003</v>
      </c>
      <c r="L47" s="43">
        <f>Pars!L41*L16</f>
        <v>3024.6759999999999</v>
      </c>
      <c r="M47" s="43">
        <f>Pars!M41*M16</f>
        <v>3218.7928000000002</v>
      </c>
      <c r="N47" s="43">
        <f>Pars!N41*N16</f>
        <v>3312.4176000000002</v>
      </c>
      <c r="O47" s="63">
        <f>Pars!O41*O16</f>
        <v>3307.23226608</v>
      </c>
      <c r="P47" s="63">
        <f>Pars!P41*P16</f>
        <v>2939.3984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5797.6399999999994</v>
      </c>
      <c r="E48" s="67">
        <f t="array" ref="E48">SUMPRODUCT(E33:E41,Pars!E44:E52)</f>
        <v>9663.4</v>
      </c>
      <c r="F48" s="67">
        <f t="array" ref="F48">SUMPRODUCT(F33:F41,Pars!F44:F52)</f>
        <v>8200.14</v>
      </c>
      <c r="G48" s="67">
        <f t="array" ref="G48">SUMPRODUCT(G33:G41,Pars!G44:G52)</f>
        <v>10606.55</v>
      </c>
      <c r="H48" s="67">
        <f t="array" ref="H48">SUMPRODUCT(H33:H41,Pars!H44:H52)</f>
        <v>6490.29</v>
      </c>
      <c r="I48" s="67">
        <f t="array" ref="I48">SUMPRODUCT(I33:I41,Pars!I44:I52)</f>
        <v>11851.99</v>
      </c>
      <c r="J48" s="67">
        <f t="array" ref="J48">SUMPRODUCT(J33:J41,Pars!J44:J52)</f>
        <v>11837.61</v>
      </c>
      <c r="K48" s="67">
        <f t="array" ref="K48">SUMPRODUCT(K33:K41,Pars!K44:K52)</f>
        <v>16200.921304</v>
      </c>
      <c r="L48" s="67">
        <f t="array" ref="L48">SUMPRODUCT(L33:L41,Pars!L44:L52)</f>
        <v>19723.263321477956</v>
      </c>
      <c r="M48" s="67">
        <f t="array" ref="M48">SUMPRODUCT(M33:M41,Pars!M44:M52)</f>
        <v>16400.179708</v>
      </c>
      <c r="N48" s="67">
        <f t="array" ref="N48">SUMPRODUCT(N33:N41,Pars!N44:N52)</f>
        <v>15883.869999999999</v>
      </c>
      <c r="O48" s="67">
        <f t="array" ref="O48">SUMPRODUCT(O33:O41,Pars!O44:O52)</f>
        <v>18931.355731826257</v>
      </c>
      <c r="P48" s="67">
        <f t="array" ref="P48">SUMPRODUCT(P33:P41,Pars!P44:P52)</f>
        <v>17755.72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17575.796600000001</v>
      </c>
      <c r="E49" s="67">
        <f t="shared" ref="E49:AC49" si="1">SUM(E46:E48)</f>
        <v>22065.562700000002</v>
      </c>
      <c r="F49" s="67">
        <f t="shared" si="1"/>
        <v>20081.0337</v>
      </c>
      <c r="G49" s="67">
        <f t="shared" si="1"/>
        <v>22885.571100000001</v>
      </c>
      <c r="H49" s="67">
        <f t="shared" si="1"/>
        <v>17911.768100000001</v>
      </c>
      <c r="I49" s="67">
        <f t="shared" si="1"/>
        <v>27248.0497</v>
      </c>
      <c r="J49" s="67">
        <f t="shared" si="1"/>
        <v>29009.198500000002</v>
      </c>
      <c r="K49" s="67">
        <f t="shared" si="1"/>
        <v>32453.780903999999</v>
      </c>
      <c r="L49" s="67">
        <f t="shared" si="1"/>
        <v>36293.640621477956</v>
      </c>
      <c r="M49" s="67">
        <f t="shared" si="1"/>
        <v>32881.158607999998</v>
      </c>
      <c r="N49" s="67">
        <f t="shared" si="1"/>
        <v>32039.256999999998</v>
      </c>
      <c r="O49" s="67">
        <f t="shared" si="1"/>
        <v>36071.182141886253</v>
      </c>
      <c r="P49" s="67">
        <f t="shared" si="1"/>
        <v>31733.370000000003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83020.568127232007</v>
      </c>
      <c r="E50" s="70">
        <f t="shared" ref="E50:AC50" si="2">E45-E49</f>
        <v>84630.520721356559</v>
      </c>
      <c r="F50" s="70">
        <f t="shared" si="2"/>
        <v>79301.4500360245</v>
      </c>
      <c r="G50" s="70">
        <f t="shared" si="2"/>
        <v>75239.048924859919</v>
      </c>
      <c r="H50" s="70">
        <f t="shared" si="2"/>
        <v>79701.851766160529</v>
      </c>
      <c r="I50" s="70">
        <f t="shared" si="2"/>
        <v>72606.507955211709</v>
      </c>
      <c r="J50" s="70">
        <f t="shared" si="2"/>
        <v>73293.306151532088</v>
      </c>
      <c r="K50" s="70">
        <f t="shared" si="2"/>
        <v>72372.943898269819</v>
      </c>
      <c r="L50" s="70">
        <f t="shared" si="2"/>
        <v>67729.483900085863</v>
      </c>
      <c r="M50" s="70">
        <f t="shared" si="2"/>
        <v>69607.499294878857</v>
      </c>
      <c r="N50" s="70">
        <f t="shared" si="2"/>
        <v>71464.820295611062</v>
      </c>
      <c r="O50" s="70">
        <f t="shared" si="2"/>
        <v>66039.375874222969</v>
      </c>
      <c r="P50" s="70">
        <f t="shared" si="2"/>
        <v>59333.145562773228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83020.568127232007</v>
      </c>
      <c r="E62" s="79">
        <f t="shared" ref="E62:AC62" si="4">E50+E61</f>
        <v>84630.520721356559</v>
      </c>
      <c r="F62" s="79">
        <f t="shared" si="4"/>
        <v>79301.4500360245</v>
      </c>
      <c r="G62" s="79">
        <f t="shared" si="4"/>
        <v>75239.048924859919</v>
      </c>
      <c r="H62" s="79">
        <f t="shared" si="4"/>
        <v>79701.851766160529</v>
      </c>
      <c r="I62" s="79">
        <f t="shared" si="4"/>
        <v>72606.507955211709</v>
      </c>
      <c r="J62" s="79">
        <f t="shared" si="4"/>
        <v>73293.306151532088</v>
      </c>
      <c r="K62" s="79">
        <f t="shared" si="4"/>
        <v>72372.943898269819</v>
      </c>
      <c r="L62" s="79">
        <f t="shared" si="4"/>
        <v>67729.483900085863</v>
      </c>
      <c r="M62" s="79">
        <f t="shared" si="4"/>
        <v>69607.499294878857</v>
      </c>
      <c r="N62" s="79">
        <f t="shared" si="4"/>
        <v>71464.820295611062</v>
      </c>
      <c r="O62" s="79">
        <f t="shared" si="4"/>
        <v>66039.375874222969</v>
      </c>
      <c r="P62" s="79">
        <f t="shared" si="4"/>
        <v>59333.145562773228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38" priority="5" operator="containsText" text="Nein">
      <formula>NOT(ISERROR(SEARCH("Nein",D22)))</formula>
    </cfRule>
  </conditionalFormatting>
  <conditionalFormatting sqref="D31:AC31">
    <cfRule type="cellIs" dxfId="37" priority="6" operator="equal">
      <formula>"ok"</formula>
    </cfRule>
  </conditionalFormatting>
  <conditionalFormatting sqref="H5:AC12 H14:AC16 H18:AC19 H33:AC41">
    <cfRule type="cellIs" dxfId="36" priority="4" operator="greaterThan">
      <formula>0</formula>
    </cfRule>
  </conditionalFormatting>
  <conditionalFormatting sqref="H6:AC12">
    <cfRule type="expression" dxfId="35" priority="3">
      <formula>NOT(ISBLANK(H6))</formula>
    </cfRule>
  </conditionalFormatting>
  <conditionalFormatting sqref="H18:AC19">
    <cfRule type="expression" dxfId="34" priority="2">
      <formula>NOT(ISBLANK(H18))</formula>
    </cfRule>
  </conditionalFormatting>
  <conditionalFormatting sqref="H56:AC60">
    <cfRule type="cellIs" dxfId="33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8A321F63-DACD-47DF-B57C-84BFC449D81F}">
      <formula1>"Ja, Nein"</formula1>
    </dataValidation>
  </dataValidation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BE977-FEEE-4AD6-BEBE-E01A669B94E8}">
  <sheetPr>
    <tabColor theme="2" tint="-0.499984740745262"/>
  </sheetPr>
  <dimension ref="A1:AD134"/>
  <sheetViews>
    <sheetView zoomScaleNormal="100"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211</v>
      </c>
      <c r="D1" s="32"/>
      <c r="E1" s="32"/>
    </row>
    <row r="2" spans="1:30" x14ac:dyDescent="0.3">
      <c r="A2" s="30"/>
      <c r="B2" s="31" t="s">
        <v>86</v>
      </c>
      <c r="C2" s="33" t="s">
        <v>212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59326</v>
      </c>
      <c r="E5" s="42">
        <v>59326</v>
      </c>
      <c r="F5" s="42">
        <v>59326</v>
      </c>
      <c r="G5" s="42">
        <v>59326</v>
      </c>
      <c r="H5" s="43">
        <v>59326</v>
      </c>
      <c r="I5" s="43">
        <v>33709</v>
      </c>
      <c r="J5" s="43">
        <v>33285</v>
      </c>
      <c r="K5" s="43">
        <v>32336.905184393869</v>
      </c>
      <c r="L5" s="43">
        <v>35634</v>
      </c>
      <c r="M5" s="43">
        <v>35290</v>
      </c>
      <c r="N5" s="43">
        <v>34911</v>
      </c>
      <c r="O5" s="43">
        <v>35116.221783271372</v>
      </c>
      <c r="P5" s="43">
        <v>35373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66955</v>
      </c>
      <c r="E6" s="42">
        <v>87147</v>
      </c>
      <c r="F6" s="42">
        <v>66393</v>
      </c>
      <c r="G6" s="42">
        <v>64965</v>
      </c>
      <c r="H6" s="47">
        <v>68762</v>
      </c>
      <c r="I6" s="47">
        <v>38222</v>
      </c>
      <c r="J6" s="47">
        <v>33681</v>
      </c>
      <c r="K6" s="47">
        <v>36728</v>
      </c>
      <c r="L6" s="47">
        <v>36044</v>
      </c>
      <c r="M6" s="47">
        <v>34953</v>
      </c>
      <c r="N6" s="47">
        <v>36536</v>
      </c>
      <c r="O6" s="47">
        <v>35498.626000000004</v>
      </c>
      <c r="P6" s="47">
        <v>35497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3452</v>
      </c>
      <c r="E7" s="42">
        <v>2800</v>
      </c>
      <c r="F7" s="42">
        <v>2525</v>
      </c>
      <c r="G7" s="42">
        <v>1748</v>
      </c>
      <c r="H7" s="47">
        <v>2066</v>
      </c>
      <c r="I7" s="47">
        <v>562</v>
      </c>
      <c r="J7" s="47">
        <v>0</v>
      </c>
      <c r="K7" s="47">
        <v>0</v>
      </c>
      <c r="L7" s="47">
        <v>0</v>
      </c>
      <c r="M7" s="47">
        <v>0</v>
      </c>
      <c r="N7" s="47">
        <v>0</v>
      </c>
      <c r="O7" s="47">
        <v>0</v>
      </c>
      <c r="P7" s="47">
        <v>0</v>
      </c>
      <c r="Q7" s="47">
        <v>0</v>
      </c>
      <c r="R7" s="47">
        <v>0</v>
      </c>
      <c r="S7" s="47">
        <v>0</v>
      </c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11.901</v>
      </c>
      <c r="E14" s="51">
        <v>12.145</v>
      </c>
      <c r="F14" s="51">
        <v>12.346</v>
      </c>
      <c r="G14" s="51">
        <v>12.28</v>
      </c>
      <c r="H14" s="43">
        <v>11.52</v>
      </c>
      <c r="I14" s="43">
        <v>11.99</v>
      </c>
      <c r="J14" s="43">
        <v>12.81</v>
      </c>
      <c r="K14" s="43">
        <v>12.23</v>
      </c>
      <c r="L14" s="43">
        <v>12.71</v>
      </c>
      <c r="M14" s="43">
        <v>12.57</v>
      </c>
      <c r="N14" s="43">
        <v>12.526</v>
      </c>
      <c r="O14" s="43">
        <v>12.509729378918369</v>
      </c>
      <c r="P14" s="43">
        <v>12.5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50501</v>
      </c>
      <c r="E15" s="42">
        <v>45011</v>
      </c>
      <c r="F15" s="42">
        <v>49577</v>
      </c>
      <c r="G15" s="42">
        <v>50843</v>
      </c>
      <c r="H15" s="47">
        <v>41333</v>
      </c>
      <c r="I15" s="47">
        <v>38344</v>
      </c>
      <c r="J15" s="47">
        <v>37169</v>
      </c>
      <c r="K15" s="47">
        <v>40791</v>
      </c>
      <c r="L15" s="47">
        <v>38623</v>
      </c>
      <c r="M15" s="47">
        <v>41384</v>
      </c>
      <c r="N15" s="47">
        <v>43756</v>
      </c>
      <c r="O15" s="47">
        <v>46221.627999999997</v>
      </c>
      <c r="P15" s="47">
        <v>43344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18131</v>
      </c>
      <c r="E16" s="42">
        <v>19382</v>
      </c>
      <c r="F16" s="42">
        <v>19033</v>
      </c>
      <c r="G16" s="42">
        <v>18862</v>
      </c>
      <c r="H16" s="47">
        <v>20463</v>
      </c>
      <c r="I16" s="47">
        <v>8839</v>
      </c>
      <c r="J16" s="47">
        <v>12603</v>
      </c>
      <c r="K16" s="47">
        <v>18954</v>
      </c>
      <c r="L16" s="47">
        <v>18818</v>
      </c>
      <c r="M16" s="47">
        <v>18776</v>
      </c>
      <c r="N16" s="47">
        <v>19585</v>
      </c>
      <c r="O16" s="47">
        <v>18439.261999999999</v>
      </c>
      <c r="P16" s="47">
        <v>18602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12571</v>
      </c>
      <c r="E18" s="42">
        <v>12848</v>
      </c>
      <c r="F18" s="42">
        <v>12805</v>
      </c>
      <c r="G18" s="42">
        <v>12300</v>
      </c>
      <c r="H18" s="43">
        <v>13141</v>
      </c>
      <c r="I18" s="43">
        <v>6784</v>
      </c>
      <c r="J18" s="43">
        <v>4907</v>
      </c>
      <c r="K18" s="43">
        <v>5333.5</v>
      </c>
      <c r="L18" s="43">
        <v>5134</v>
      </c>
      <c r="M18" s="43">
        <v>4200</v>
      </c>
      <c r="N18" s="43">
        <v>5140</v>
      </c>
      <c r="O18" s="43">
        <v>4998.51</v>
      </c>
      <c r="P18" s="43">
        <v>4998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1523</v>
      </c>
      <c r="E19" s="42">
        <v>1534</v>
      </c>
      <c r="F19" s="42">
        <v>1490</v>
      </c>
      <c r="G19" s="42">
        <v>1504</v>
      </c>
      <c r="H19" s="47">
        <v>1602</v>
      </c>
      <c r="I19" s="47">
        <v>823</v>
      </c>
      <c r="J19" s="47">
        <v>647</v>
      </c>
      <c r="K19" s="47">
        <v>675.48</v>
      </c>
      <c r="L19" s="47">
        <v>648</v>
      </c>
      <c r="M19" s="47">
        <v>543</v>
      </c>
      <c r="N19" s="47">
        <v>559</v>
      </c>
      <c r="O19" s="47">
        <v>530.17999999999995</v>
      </c>
      <c r="P19" s="47">
        <v>542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112</v>
      </c>
      <c r="E23" s="59" t="s">
        <v>112</v>
      </c>
      <c r="F23" s="59" t="s">
        <v>112</v>
      </c>
      <c r="G23" s="59" t="s">
        <v>112</v>
      </c>
      <c r="H23" s="59" t="s">
        <v>112</v>
      </c>
      <c r="I23" s="59" t="s">
        <v>112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112</v>
      </c>
      <c r="K30" s="59" t="s">
        <v>112</v>
      </c>
      <c r="L30" s="59" t="s">
        <v>112</v>
      </c>
      <c r="M30" s="59" t="s">
        <v>112</v>
      </c>
      <c r="N30" s="59" t="s">
        <v>112</v>
      </c>
      <c r="O30" s="59" t="s">
        <v>112</v>
      </c>
      <c r="P30" s="59" t="s">
        <v>112</v>
      </c>
      <c r="Q30" s="59" t="s">
        <v>112</v>
      </c>
      <c r="R30" s="59" t="s">
        <v>112</v>
      </c>
      <c r="S30" s="59" t="s">
        <v>112</v>
      </c>
      <c r="T30" s="59" t="s">
        <v>112</v>
      </c>
      <c r="U30" s="59" t="s">
        <v>112</v>
      </c>
      <c r="V30" s="59" t="s">
        <v>112</v>
      </c>
      <c r="W30" s="59" t="s">
        <v>112</v>
      </c>
      <c r="X30" s="59" t="s">
        <v>112</v>
      </c>
      <c r="Y30" s="59" t="s">
        <v>112</v>
      </c>
      <c r="Z30" s="59" t="s">
        <v>112</v>
      </c>
      <c r="AA30" s="59" t="s">
        <v>112</v>
      </c>
      <c r="AB30" s="59" t="s">
        <v>112</v>
      </c>
      <c r="AC30" s="59" t="s">
        <v>112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915</v>
      </c>
      <c r="E33" s="47">
        <v>560</v>
      </c>
      <c r="F33" s="47">
        <v>560</v>
      </c>
      <c r="G33" s="47">
        <v>560</v>
      </c>
      <c r="H33" s="43">
        <v>560</v>
      </c>
      <c r="I33" s="43">
        <v>275</v>
      </c>
      <c r="J33" s="43">
        <v>412</v>
      </c>
      <c r="K33" s="43">
        <v>532</v>
      </c>
      <c r="L33" s="43">
        <v>476</v>
      </c>
      <c r="M33" s="43">
        <f>9.61/100*M18</f>
        <v>403.61999999999995</v>
      </c>
      <c r="N33" s="43">
        <v>512</v>
      </c>
      <c r="O33" s="82">
        <v>472.58051762684545</v>
      </c>
      <c r="P33" s="63">
        <v>555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60</v>
      </c>
      <c r="K34" s="47">
        <v>80</v>
      </c>
      <c r="L34" s="47">
        <f>2196/99076*L18</f>
        <v>113.79409746053535</v>
      </c>
      <c r="M34" s="47">
        <f>1.48/100*M18</f>
        <v>62.160000000000004</v>
      </c>
      <c r="N34" s="47">
        <v>65</v>
      </c>
      <c r="O34" s="83">
        <v>157</v>
      </c>
      <c r="P34" s="64">
        <v>180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>
        <f>505/99076*L18</f>
        <v>26.168496911461908</v>
      </c>
      <c r="M35" s="47"/>
      <c r="N35" s="47"/>
      <c r="O35" s="83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>
        <f>20/99076*L19</f>
        <v>0.13080867213048569</v>
      </c>
      <c r="M36" s="47"/>
      <c r="N36" s="47"/>
      <c r="O36" s="83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/>
      <c r="H37" s="47"/>
      <c r="I37" s="47"/>
      <c r="J37" s="47">
        <v>10</v>
      </c>
      <c r="K37" s="47">
        <v>10</v>
      </c>
      <c r="L37" s="47">
        <v>10</v>
      </c>
      <c r="M37" s="47">
        <v>9</v>
      </c>
      <c r="N37" s="47">
        <v>10</v>
      </c>
      <c r="O37" s="83">
        <v>14.3</v>
      </c>
      <c r="P37" s="64">
        <v>9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>
        <f>0.0553/99076*L18</f>
        <v>2.8655799588194926E-3</v>
      </c>
      <c r="M38" s="47"/>
      <c r="N38" s="47"/>
      <c r="O38" s="83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>
        <f>1.6128/99076*L18</f>
        <v>8.3573369938229239E-2</v>
      </c>
      <c r="M39" s="47"/>
      <c r="N39" s="47"/>
      <c r="O39" s="83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>
        <f>L41-L34-L35-L36-L38-L39</f>
        <v>22.820158005975205</v>
      </c>
      <c r="M40" s="47"/>
      <c r="N40" s="47"/>
      <c r="O40" s="83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196</v>
      </c>
      <c r="E41" s="47">
        <v>140</v>
      </c>
      <c r="F41" s="47">
        <v>140</v>
      </c>
      <c r="G41" s="47">
        <v>140</v>
      </c>
      <c r="H41" s="47">
        <v>140</v>
      </c>
      <c r="I41" s="47">
        <v>69</v>
      </c>
      <c r="J41" s="47">
        <v>99</v>
      </c>
      <c r="K41" s="47">
        <v>156</v>
      </c>
      <c r="L41" s="47">
        <v>163</v>
      </c>
      <c r="M41" s="47">
        <f>(2.45+0.47)/100*M18</f>
        <v>122.64</v>
      </c>
      <c r="N41" s="47">
        <v>168</v>
      </c>
      <c r="O41" s="83">
        <v>72</v>
      </c>
      <c r="P41" s="64">
        <v>75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(Pars!D56+(D_ZH_3!D14-Pars!D57)*Pars!D58)/Pars!D59</f>
        <v>0.30125959999999996</v>
      </c>
      <c r="E43" s="66">
        <f>(Pars!E56+(D_ZH_3!E14-Pars!E57)*Pars!E58)/Pars!E59</f>
        <v>0.30604169395830605</v>
      </c>
      <c r="F43" s="66">
        <f>(Pars!F56+(D_ZH_3!F14-Pars!F57)*Pars!F58)/Pars!F59</f>
        <v>0.30998098003803992</v>
      </c>
      <c r="G43" s="66">
        <f>(Pars!G56+(D_ZH_3!G14-Pars!G57)*Pars!G58)/Pars!G59</f>
        <v>0.3086870739387782</v>
      </c>
      <c r="H43" s="66">
        <f>(Pars!H56+(D_ZH_3!H14-Pars!H57)*Pars!H58)/Pars!H59</f>
        <v>0.29379082483670066</v>
      </c>
      <c r="I43" s="66">
        <f>(Pars!I56+(D_ZH_3!I14-Pars!I57)*Pars!I58)/Pars!I59</f>
        <v>0.30300248498757504</v>
      </c>
      <c r="J43" s="66">
        <f>(Pars!J56+(D_ZH_3!J14-Pars!J57)*Pars!J58)/Pars!J59</f>
        <v>0.31907408555548666</v>
      </c>
      <c r="K43" s="66">
        <f>(Pars!K56+(D_ZH_3!K14-Pars!K57)*Pars!K58)/Pars!K59</f>
        <v>0.30770584605907758</v>
      </c>
      <c r="L43" s="66">
        <f>(Pars!L56+(D_ZH_3!L14-Pars!L57)*Pars!L58)/Pars!L59</f>
        <v>0.31711346309229527</v>
      </c>
      <c r="M43" s="66">
        <f>(Pars!M56+(D_ZH_3!M14-Pars!M57)*Pars!M58)/Pars!M59</f>
        <v>0.31436917067746389</v>
      </c>
      <c r="N43" s="66">
        <f>(Pars!N56+(D_ZH_3!N14-Pars!N57)*Pars!N58)/Pars!N59</f>
        <v>0.31350646493535061</v>
      </c>
      <c r="O43" s="66">
        <f>(Pars!O56+(D_ZH_3!O14-Pars!O57)*Pars!O58)/Pars!O59</f>
        <v>0.31318725076704157</v>
      </c>
      <c r="P43" s="66">
        <f>(Pars!P56+(D_ZH_3!P14-Pars!P57)*Pars!P58)/Pars!P59</f>
        <v>0.31299624404507148</v>
      </c>
      <c r="Q43" s="66">
        <f>(Pars!Q56+(D_ZH_3!Q14-Pars!Q57)*Pars!Q58)/Pars!Q59</f>
        <v>6.7999116011491847E-2</v>
      </c>
      <c r="R43" s="66">
        <f>(Pars!R56+(D_ZH_3!R14-Pars!R57)*Pars!R58)/Pars!R59</f>
        <v>6.7999048013327817E-2</v>
      </c>
      <c r="S43" s="66">
        <f>(Pars!S56+(D_ZH_3!S14-Pars!S57)*Pars!S58)/Pars!S59</f>
        <v>6.7998980015299776E-2</v>
      </c>
      <c r="T43" s="66">
        <f>(Pars!T56+(D_ZH_3!T14-Pars!T57)*Pars!T58)/Pars!T59</f>
        <v>6.7998980015299776E-2</v>
      </c>
      <c r="U43" s="66">
        <f>(Pars!U56+(D_ZH_3!U14-Pars!U57)*Pars!U58)/Pars!U59</f>
        <v>6.7998980015299776E-2</v>
      </c>
      <c r="V43" s="66">
        <f>(Pars!V56+(D_ZH_3!V14-Pars!V57)*Pars!V58)/Pars!V59</f>
        <v>6.7998980015299776E-2</v>
      </c>
      <c r="W43" s="66">
        <f>(Pars!W56+(D_ZH_3!W14-Pars!W57)*Pars!W58)/Pars!W59</f>
        <v>6.7998980015299776E-2</v>
      </c>
      <c r="X43" s="66">
        <f>(Pars!X56+(D_ZH_3!X14-Pars!X57)*Pars!X58)/Pars!X59</f>
        <v>6.7998980015299776E-2</v>
      </c>
      <c r="Y43" s="66">
        <f>(Pars!Y56+(D_ZH_3!Y14-Pars!Y57)*Pars!Y58)/Pars!Y59</f>
        <v>6.7998980015299776E-2</v>
      </c>
      <c r="Z43" s="66">
        <f>(Pars!Z56+(D_ZH_3!Z14-Pars!Z57)*Pars!Z58)/Pars!Z59</f>
        <v>6.7998980015299776E-2</v>
      </c>
      <c r="AA43" s="66">
        <f>(Pars!AA56+(D_ZH_3!AA14-Pars!AA57)*Pars!AA58)/Pars!AA59</f>
        <v>6.7998980015299776E-2</v>
      </c>
      <c r="AB43" s="66">
        <f>(Pars!AB56+(D_ZH_3!AB14-Pars!AB57)*Pars!AB58)/Pars!AB59</f>
        <v>6.7998980015299776E-2</v>
      </c>
      <c r="AC43" s="66">
        <f>(Pars!AC56+(D_ZH_3!AC14-Pars!AC57)*Pars!AC58)/Pars!AC59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73959.733899333325</v>
      </c>
      <c r="E44" s="43">
        <f>Pars!E37*E43*E6</f>
        <v>97792.256845743148</v>
      </c>
      <c r="F44" s="43">
        <f>Pars!F37*F43*F6</f>
        <v>75462.079761440487</v>
      </c>
      <c r="G44" s="43">
        <f>Pars!G37*G43*G6</f>
        <v>73530.804447586648</v>
      </c>
      <c r="H44" s="43">
        <f>Pars!H37*H43*H6</f>
        <v>74072.697223877782</v>
      </c>
      <c r="I44" s="43">
        <f>Pars!I37*I43*I6</f>
        <v>42464.99026438201</v>
      </c>
      <c r="J44" s="43">
        <f>Pars!J37*J43*J6</f>
        <v>39404.692343845934</v>
      </c>
      <c r="K44" s="43">
        <f>Pars!K37*K43*K6</f>
        <v>41438.541151545272</v>
      </c>
      <c r="L44" s="43">
        <f>Pars!L37*L43*L6</f>
        <v>41910.138100228534</v>
      </c>
      <c r="M44" s="43">
        <f>Pars!M37*M43*M6</f>
        <v>40289.86728319445</v>
      </c>
      <c r="N44" s="43">
        <f>Pars!N37*N43*N6</f>
        <v>41998.998077219228</v>
      </c>
      <c r="O44" s="63">
        <f>Pars!O37*O43*O6</f>
        <v>40764.962637473887</v>
      </c>
      <c r="P44" s="63">
        <f>Pars!P37*P43*P6</f>
        <v>40738.234807848974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35500.672271679992</v>
      </c>
      <c r="E45" s="43">
        <f>E44*Pars!E36/100</f>
        <v>46940.283285956706</v>
      </c>
      <c r="F45" s="43">
        <f>F44*Pars!F36/100</f>
        <v>36221.798285491437</v>
      </c>
      <c r="G45" s="43">
        <f>G44*Pars!G36/100</f>
        <v>35294.78613484159</v>
      </c>
      <c r="H45" s="43">
        <f>H44*Pars!H36/100</f>
        <v>35554.89466746134</v>
      </c>
      <c r="I45" s="43">
        <f>I44*Pars!I36/100</f>
        <v>20383.195326903366</v>
      </c>
      <c r="J45" s="43">
        <f>J44*Pars!J36/100</f>
        <v>18914.252325046047</v>
      </c>
      <c r="K45" s="43">
        <f>K44*Pars!K36/100</f>
        <v>19890.499752741729</v>
      </c>
      <c r="L45" s="43">
        <f>L44*Pars!L36/100</f>
        <v>20116.866288109697</v>
      </c>
      <c r="M45" s="43">
        <f>M44*Pars!M36/100</f>
        <v>19339.136295933338</v>
      </c>
      <c r="N45" s="43">
        <f>N44*Pars!N36/100</f>
        <v>20159.51907706523</v>
      </c>
      <c r="O45" s="63">
        <f>O44*Pars!O36/100</f>
        <v>19567.182065987465</v>
      </c>
      <c r="P45" s="63">
        <f>P44*Pars!P36/100</f>
        <v>19554.352707767506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11327.374299999999</v>
      </c>
      <c r="E46" s="43">
        <f>Pars!E40*E15</f>
        <v>10095.9673</v>
      </c>
      <c r="F46" s="43">
        <f>Pars!F40*F15</f>
        <v>11120.1211</v>
      </c>
      <c r="G46" s="43">
        <f>Pars!G40*G15</f>
        <v>11404.0849</v>
      </c>
      <c r="H46" s="43">
        <f>Pars!H40*H15</f>
        <v>9270.9918999999991</v>
      </c>
      <c r="I46" s="43">
        <f>Pars!I40*I15</f>
        <v>8600.5591999999997</v>
      </c>
      <c r="J46" s="43">
        <f>Pars!J40*J15</f>
        <v>8337.0066999999999</v>
      </c>
      <c r="K46" s="43">
        <f>Pars!K40*K15</f>
        <v>9149.4213</v>
      </c>
      <c r="L46" s="43">
        <f>Pars!L40*L15</f>
        <v>8663.1388999999999</v>
      </c>
      <c r="M46" s="43">
        <f>Pars!M40*M15</f>
        <v>9282.4311999999991</v>
      </c>
      <c r="N46" s="43">
        <f>Pars!N40*N15</f>
        <v>9814.4707999999991</v>
      </c>
      <c r="O46" s="63">
        <f>Pars!O40*O15</f>
        <v>10367.511160399999</v>
      </c>
      <c r="P46" s="63">
        <f>Pars!P40*P15</f>
        <v>9722.0591999999997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536.67759999999998</v>
      </c>
      <c r="E47" s="43">
        <f>Pars!E41*E16</f>
        <v>573.70720000000006</v>
      </c>
      <c r="F47" s="43">
        <f>Pars!F41*F16</f>
        <v>563.3768</v>
      </c>
      <c r="G47" s="43">
        <f>Pars!G41*G16</f>
        <v>558.3152</v>
      </c>
      <c r="H47" s="43">
        <f>Pars!H41*H16</f>
        <v>605.70479999999998</v>
      </c>
      <c r="I47" s="43">
        <f>Pars!I41*I16</f>
        <v>261.63440000000003</v>
      </c>
      <c r="J47" s="43">
        <f>Pars!J41*J16</f>
        <v>373.04880000000003</v>
      </c>
      <c r="K47" s="43">
        <f>Pars!K41*K16</f>
        <v>561.03840000000002</v>
      </c>
      <c r="L47" s="43">
        <f>Pars!L41*L16</f>
        <v>557.01279999999997</v>
      </c>
      <c r="M47" s="43">
        <f>Pars!M41*M16</f>
        <v>555.76959999999997</v>
      </c>
      <c r="N47" s="43">
        <f>Pars!N41*N16</f>
        <v>579.71600000000001</v>
      </c>
      <c r="O47" s="63">
        <f>Pars!O41*O16</f>
        <v>545.80215520000002</v>
      </c>
      <c r="P47" s="63">
        <f>Pars!P41*P16</f>
        <v>550.61919999999998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2361.65</v>
      </c>
      <c r="E48" s="67">
        <f t="array" ref="E48">SUMPRODUCT(E33:E41,Pars!E44:E52)</f>
        <v>1545.6</v>
      </c>
      <c r="F48" s="67">
        <f t="array" ref="F48">SUMPRODUCT(F33:F41,Pars!F44:F52)</f>
        <v>1545.6</v>
      </c>
      <c r="G48" s="67">
        <f t="array" ref="G48">SUMPRODUCT(G33:G41,Pars!G44:G52)</f>
        <v>1545.6</v>
      </c>
      <c r="H48" s="67">
        <f t="array" ref="H48">SUMPRODUCT(H33:H41,Pars!H44:H52)</f>
        <v>1545.6</v>
      </c>
      <c r="I48" s="67">
        <f t="array" ref="I48">SUMPRODUCT(I33:I41,Pars!I44:I52)</f>
        <v>760.25</v>
      </c>
      <c r="J48" s="67">
        <f t="array" ref="J48">SUMPRODUCT(J33:J41,Pars!J44:J52)</f>
        <v>1662.92</v>
      </c>
      <c r="K48" s="67">
        <f t="array" ref="K48">SUMPRODUCT(K33:K41,Pars!K44:K52)</f>
        <v>2302.92</v>
      </c>
      <c r="L48" s="67">
        <f t="array" ref="L48">SUMPRODUCT(L33:L41,Pars!L44:L52)</f>
        <v>2747.4610925072675</v>
      </c>
      <c r="M48" s="67">
        <f t="array" ref="M48">SUMPRODUCT(M33:M41,Pars!M44:M52)</f>
        <v>1784.7965999999999</v>
      </c>
      <c r="N48" s="67">
        <f t="array" ref="N48">SUMPRODUCT(N33:N41,Pars!N44:N52)</f>
        <v>2202.37</v>
      </c>
      <c r="O48" s="67">
        <f t="array" ref="O48">SUMPRODUCT(O33:O41,Pars!O44:O52)</f>
        <v>2472.8185816165364</v>
      </c>
      <c r="P48" s="67">
        <f t="array" ref="P48">SUMPRODUCT(P33:P41,Pars!P44:P52)</f>
        <v>2799.21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14225.701899999998</v>
      </c>
      <c r="E49" s="67">
        <f t="shared" ref="E49:AC49" si="1">SUM(E46:E48)</f>
        <v>12215.274500000001</v>
      </c>
      <c r="F49" s="67">
        <f t="shared" si="1"/>
        <v>13229.097900000001</v>
      </c>
      <c r="G49" s="67">
        <f t="shared" si="1"/>
        <v>13508.000099999999</v>
      </c>
      <c r="H49" s="67">
        <f t="shared" si="1"/>
        <v>11422.296699999999</v>
      </c>
      <c r="I49" s="67">
        <f t="shared" si="1"/>
        <v>9622.4436000000005</v>
      </c>
      <c r="J49" s="67">
        <f t="shared" si="1"/>
        <v>10372.9755</v>
      </c>
      <c r="K49" s="67">
        <f t="shared" si="1"/>
        <v>12013.3797</v>
      </c>
      <c r="L49" s="67">
        <f t="shared" si="1"/>
        <v>11967.612792507269</v>
      </c>
      <c r="M49" s="67">
        <f t="shared" si="1"/>
        <v>11622.997399999998</v>
      </c>
      <c r="N49" s="67">
        <f t="shared" si="1"/>
        <v>12596.556799999998</v>
      </c>
      <c r="O49" s="67">
        <f t="shared" si="1"/>
        <v>13386.131897216537</v>
      </c>
      <c r="P49" s="67">
        <f t="shared" si="1"/>
        <v>13071.8884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21274.970371679992</v>
      </c>
      <c r="E50" s="70">
        <f t="shared" ref="E50:AC50" si="2">E45-E49</f>
        <v>34725.008785956707</v>
      </c>
      <c r="F50" s="70">
        <f t="shared" si="2"/>
        <v>22992.700385491436</v>
      </c>
      <c r="G50" s="70">
        <f t="shared" si="2"/>
        <v>21786.786034841592</v>
      </c>
      <c r="H50" s="70">
        <f t="shared" si="2"/>
        <v>24132.597967461341</v>
      </c>
      <c r="I50" s="70">
        <f t="shared" si="2"/>
        <v>10760.751726903365</v>
      </c>
      <c r="J50" s="70">
        <f t="shared" si="2"/>
        <v>8541.2768250460467</v>
      </c>
      <c r="K50" s="70">
        <f t="shared" si="2"/>
        <v>7877.1200527417295</v>
      </c>
      <c r="L50" s="70">
        <f t="shared" si="2"/>
        <v>8149.2534956024283</v>
      </c>
      <c r="M50" s="70">
        <f t="shared" si="2"/>
        <v>7716.1388959333399</v>
      </c>
      <c r="N50" s="70">
        <f t="shared" si="2"/>
        <v>7562.9622770652313</v>
      </c>
      <c r="O50" s="70">
        <f t="shared" si="2"/>
        <v>6181.0501687709275</v>
      </c>
      <c r="P50" s="70">
        <f t="shared" si="2"/>
        <v>6482.4643077675064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21274.970371679992</v>
      </c>
      <c r="E62" s="79">
        <f t="shared" ref="E62:AC62" si="4">E50+E61</f>
        <v>34725.008785956707</v>
      </c>
      <c r="F62" s="79">
        <f t="shared" si="4"/>
        <v>22992.700385491436</v>
      </c>
      <c r="G62" s="79">
        <f t="shared" si="4"/>
        <v>21786.786034841592</v>
      </c>
      <c r="H62" s="79">
        <f t="shared" si="4"/>
        <v>24132.597967461341</v>
      </c>
      <c r="I62" s="79">
        <f t="shared" si="4"/>
        <v>10760.751726903365</v>
      </c>
      <c r="J62" s="79">
        <f t="shared" si="4"/>
        <v>8541.2768250460467</v>
      </c>
      <c r="K62" s="79">
        <f t="shared" si="4"/>
        <v>7877.1200527417295</v>
      </c>
      <c r="L62" s="79">
        <f t="shared" si="4"/>
        <v>8149.2534956024283</v>
      </c>
      <c r="M62" s="79">
        <f t="shared" si="4"/>
        <v>7716.1388959333399</v>
      </c>
      <c r="N62" s="79">
        <f t="shared" si="4"/>
        <v>7562.9622770652313</v>
      </c>
      <c r="O62" s="79">
        <f t="shared" si="4"/>
        <v>6181.0501687709275</v>
      </c>
      <c r="P62" s="79">
        <f t="shared" si="4"/>
        <v>6482.4643077675064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32" priority="5" operator="containsText" text="Nein">
      <formula>NOT(ISERROR(SEARCH("Nein",D22)))</formula>
    </cfRule>
  </conditionalFormatting>
  <conditionalFormatting sqref="D31:AC31">
    <cfRule type="cellIs" dxfId="31" priority="6" operator="equal">
      <formula>"ok"</formula>
    </cfRule>
  </conditionalFormatting>
  <conditionalFormatting sqref="H5:AC12 H14:AC16 H18:AC19 H33:AC41">
    <cfRule type="cellIs" dxfId="30" priority="4" operator="greaterThan">
      <formula>0</formula>
    </cfRule>
  </conditionalFormatting>
  <conditionalFormatting sqref="H6:AC12">
    <cfRule type="expression" dxfId="29" priority="3">
      <formula>NOT(ISBLANK(H6))</formula>
    </cfRule>
  </conditionalFormatting>
  <conditionalFormatting sqref="H18:AC19">
    <cfRule type="expression" dxfId="28" priority="2">
      <formula>NOT(ISBLANK(H18))</formula>
    </cfRule>
  </conditionalFormatting>
  <conditionalFormatting sqref="H56:AC60">
    <cfRule type="cellIs" dxfId="27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873DD643-15E2-431D-9EC7-38F853BA3EF6}">
      <formula1>"Ja, Nein"</formula1>
    </dataValidation>
  </dataValidation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1F2A3-038E-440F-A92C-011B06287A3F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213</v>
      </c>
      <c r="D1" s="32"/>
      <c r="E1" s="32"/>
    </row>
    <row r="2" spans="1:30" x14ac:dyDescent="0.3">
      <c r="A2" s="30"/>
      <c r="B2" s="31" t="s">
        <v>86</v>
      </c>
      <c r="C2" s="33" t="s">
        <v>214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261230</v>
      </c>
      <c r="E5" s="42">
        <v>261230</v>
      </c>
      <c r="F5" s="42">
        <v>261230</v>
      </c>
      <c r="G5" s="42">
        <v>261230</v>
      </c>
      <c r="H5" s="43">
        <v>261230</v>
      </c>
      <c r="I5" s="43">
        <v>256394</v>
      </c>
      <c r="J5" s="43">
        <v>249364</v>
      </c>
      <c r="K5" s="43">
        <v>242006.42136751613</v>
      </c>
      <c r="L5" s="43">
        <v>239856</v>
      </c>
      <c r="M5" s="43">
        <v>241276</v>
      </c>
      <c r="N5" s="43">
        <v>244672</v>
      </c>
      <c r="O5" s="43">
        <v>247377.73930331739</v>
      </c>
      <c r="P5" s="43">
        <v>249608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208068</v>
      </c>
      <c r="E6" s="42">
        <v>263276</v>
      </c>
      <c r="F6" s="42">
        <v>269538</v>
      </c>
      <c r="G6" s="42">
        <v>255443</v>
      </c>
      <c r="H6" s="47">
        <v>265531</v>
      </c>
      <c r="I6" s="47">
        <v>254303</v>
      </c>
      <c r="J6" s="47">
        <v>243543</v>
      </c>
      <c r="K6" s="47">
        <v>240052.04</v>
      </c>
      <c r="L6" s="47">
        <v>244175</v>
      </c>
      <c r="M6" s="47">
        <v>244879</v>
      </c>
      <c r="N6" s="47">
        <v>250254</v>
      </c>
      <c r="O6" s="47">
        <v>250079.89</v>
      </c>
      <c r="P6" s="47">
        <v>224882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22267</v>
      </c>
      <c r="E7" s="42">
        <v>24291</v>
      </c>
      <c r="F7" s="42">
        <v>24261</v>
      </c>
      <c r="G7" s="42">
        <v>23159</v>
      </c>
      <c r="H7" s="47">
        <v>21311</v>
      </c>
      <c r="I7" s="47">
        <v>11367</v>
      </c>
      <c r="J7" s="47">
        <v>719</v>
      </c>
      <c r="K7" s="47">
        <v>346.65000000000009</v>
      </c>
      <c r="L7" s="47">
        <v>1357</v>
      </c>
      <c r="M7" s="47">
        <v>792</v>
      </c>
      <c r="N7" s="47">
        <v>292</v>
      </c>
      <c r="O7" s="47">
        <v>0</v>
      </c>
      <c r="P7" s="47">
        <v>1056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>
        <v>6409</v>
      </c>
      <c r="F8" s="42">
        <v>7709</v>
      </c>
      <c r="G8" s="42">
        <v>9399</v>
      </c>
      <c r="H8" s="47">
        <v>11247</v>
      </c>
      <c r="I8" s="47">
        <v>11794</v>
      </c>
      <c r="J8" s="47">
        <v>14414</v>
      </c>
      <c r="K8" s="47">
        <v>12263.589999999998</v>
      </c>
      <c r="L8" s="47">
        <v>15629</v>
      </c>
      <c r="M8" s="47">
        <v>13454</v>
      </c>
      <c r="N8" s="47">
        <v>12508</v>
      </c>
      <c r="O8" s="47">
        <v>8058.5999999999995</v>
      </c>
      <c r="P8" s="47">
        <v>11916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>
        <v>2981</v>
      </c>
      <c r="J9" s="47">
        <v>6465</v>
      </c>
      <c r="K9" s="47">
        <v>9782.4299999999985</v>
      </c>
      <c r="L9" s="47">
        <v>12186</v>
      </c>
      <c r="M9" s="47">
        <v>8988</v>
      </c>
      <c r="N9" s="47">
        <v>10420</v>
      </c>
      <c r="O9" s="47">
        <v>7381.8099999999995</v>
      </c>
      <c r="P9" s="47">
        <v>23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>
        <v>3236</v>
      </c>
      <c r="K10" s="47">
        <v>2254.4499999999989</v>
      </c>
      <c r="L10" s="47">
        <v>3697</v>
      </c>
      <c r="M10" s="47">
        <v>5219</v>
      </c>
      <c r="N10" s="47">
        <v>7314</v>
      </c>
      <c r="O10" s="47">
        <v>4911.1800000000012</v>
      </c>
      <c r="P10" s="47">
        <v>2133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>
        <v>292.02999999999997</v>
      </c>
      <c r="L11" s="47">
        <v>631</v>
      </c>
      <c r="M11" s="47">
        <v>853</v>
      </c>
      <c r="N11" s="47">
        <v>987</v>
      </c>
      <c r="O11" s="47">
        <v>1116.3799999999999</v>
      </c>
      <c r="P11" s="47">
        <v>710</v>
      </c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11.127000000000001</v>
      </c>
      <c r="E14" s="51">
        <v>10.845000000000001</v>
      </c>
      <c r="F14" s="51">
        <v>10.738</v>
      </c>
      <c r="G14" s="51">
        <v>11.02</v>
      </c>
      <c r="H14" s="43">
        <v>11.12</v>
      </c>
      <c r="I14" s="43">
        <v>11.77</v>
      </c>
      <c r="J14" s="43">
        <v>12.04</v>
      </c>
      <c r="K14" s="43">
        <v>12.23</v>
      </c>
      <c r="L14" s="43">
        <v>11.93</v>
      </c>
      <c r="M14" s="43">
        <v>11.83</v>
      </c>
      <c r="N14" s="43">
        <v>11.733000000000001</v>
      </c>
      <c r="O14" s="43">
        <v>11.516067998980839</v>
      </c>
      <c r="P14" s="43">
        <v>11.53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366260</v>
      </c>
      <c r="E15" s="42">
        <v>399874</v>
      </c>
      <c r="F15" s="42">
        <v>423164</v>
      </c>
      <c r="G15" s="42">
        <v>403736</v>
      </c>
      <c r="H15" s="47">
        <v>420710</v>
      </c>
      <c r="I15" s="47">
        <f>60202+374763</f>
        <v>434965</v>
      </c>
      <c r="J15" s="47">
        <v>427667</v>
      </c>
      <c r="K15" s="47">
        <v>420738</v>
      </c>
      <c r="L15" s="47">
        <v>419217</v>
      </c>
      <c r="M15" s="47">
        <f>54381+395671</f>
        <v>450052</v>
      </c>
      <c r="N15" s="47">
        <v>444768</v>
      </c>
      <c r="O15" s="47">
        <v>474161.63</v>
      </c>
      <c r="P15" s="47">
        <f>348032+69949</f>
        <v>417981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88691</v>
      </c>
      <c r="E16" s="42">
        <v>92843</v>
      </c>
      <c r="F16" s="42">
        <v>82187</v>
      </c>
      <c r="G16" s="42">
        <v>96570</v>
      </c>
      <c r="H16" s="47">
        <v>101598</v>
      </c>
      <c r="I16" s="47">
        <v>95197</v>
      </c>
      <c r="J16" s="47">
        <v>104570</v>
      </c>
      <c r="K16" s="47">
        <v>104002</v>
      </c>
      <c r="L16" s="47">
        <v>104084</v>
      </c>
      <c r="M16" s="47">
        <v>103211</v>
      </c>
      <c r="N16" s="47">
        <v>103405</v>
      </c>
      <c r="O16" s="47">
        <v>72813.460000000006</v>
      </c>
      <c r="P16" s="47">
        <v>54709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f>0.21*D6</f>
        <v>43694.28</v>
      </c>
      <c r="E18" s="42">
        <v>51002</v>
      </c>
      <c r="F18" s="42">
        <v>51297</v>
      </c>
      <c r="G18" s="42">
        <v>51390</v>
      </c>
      <c r="H18" s="43">
        <v>47853</v>
      </c>
      <c r="I18" s="43">
        <v>46056</v>
      </c>
      <c r="J18" s="43">
        <v>39916</v>
      </c>
      <c r="K18" s="43">
        <v>35916.160000000003</v>
      </c>
      <c r="L18" s="43">
        <v>36102</v>
      </c>
      <c r="M18" s="43">
        <v>29885</v>
      </c>
      <c r="N18" s="43">
        <v>37719</v>
      </c>
      <c r="O18" s="43">
        <v>38831.279999999999</v>
      </c>
      <c r="P18" s="43">
        <v>32059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f>0.021*D6</f>
        <v>4369.4279999999999</v>
      </c>
      <c r="E19" s="42">
        <v>5211</v>
      </c>
      <c r="F19" s="42">
        <v>5379</v>
      </c>
      <c r="G19" s="42">
        <v>4972</v>
      </c>
      <c r="H19" s="47">
        <v>5271</v>
      </c>
      <c r="I19" s="47">
        <v>5378</v>
      </c>
      <c r="J19" s="47">
        <v>4989</v>
      </c>
      <c r="K19" s="47">
        <v>5005.576</v>
      </c>
      <c r="L19" s="47">
        <v>5553</v>
      </c>
      <c r="M19" s="47">
        <v>5755</v>
      </c>
      <c r="N19" s="47">
        <v>5191</v>
      </c>
      <c r="O19" s="47">
        <v>5328.76</v>
      </c>
      <c r="P19" s="47">
        <v>7156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112</v>
      </c>
      <c r="E23" s="59" t="s">
        <v>112</v>
      </c>
      <c r="F23" s="59" t="s">
        <v>112</v>
      </c>
      <c r="G23" s="59" t="s">
        <v>112</v>
      </c>
      <c r="H23" s="59" t="s">
        <v>112</v>
      </c>
      <c r="I23" s="59" t="s">
        <v>112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112</v>
      </c>
      <c r="K30" s="59" t="s">
        <v>112</v>
      </c>
      <c r="L30" s="59" t="s">
        <v>112</v>
      </c>
      <c r="M30" s="59" t="s">
        <v>112</v>
      </c>
      <c r="N30" s="59" t="s">
        <v>112</v>
      </c>
      <c r="O30" s="59" t="s">
        <v>112</v>
      </c>
      <c r="P30" s="59" t="s">
        <v>112</v>
      </c>
      <c r="Q30" s="59" t="s">
        <v>112</v>
      </c>
      <c r="R30" s="59" t="s">
        <v>112</v>
      </c>
      <c r="S30" s="59" t="s">
        <v>112</v>
      </c>
      <c r="T30" s="59" t="s">
        <v>112</v>
      </c>
      <c r="U30" s="59" t="s">
        <v>112</v>
      </c>
      <c r="V30" s="59" t="s">
        <v>112</v>
      </c>
      <c r="W30" s="59" t="s">
        <v>112</v>
      </c>
      <c r="X30" s="59" t="s">
        <v>112</v>
      </c>
      <c r="Y30" s="59" t="s">
        <v>112</v>
      </c>
      <c r="Z30" s="59" t="s">
        <v>112</v>
      </c>
      <c r="AA30" s="59" t="s">
        <v>112</v>
      </c>
      <c r="AB30" s="59" t="s">
        <v>112</v>
      </c>
      <c r="AC30" s="59" t="s">
        <v>112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2386.2145416479998</v>
      </c>
      <c r="E33" s="47">
        <v>3837</v>
      </c>
      <c r="F33" s="47">
        <v>2782</v>
      </c>
      <c r="G33" s="47">
        <v>2522</v>
      </c>
      <c r="H33" s="43">
        <v>3317</v>
      </c>
      <c r="I33" s="43">
        <v>3020</v>
      </c>
      <c r="J33" s="43">
        <v>2965</v>
      </c>
      <c r="K33" s="43">
        <v>3490.47</v>
      </c>
      <c r="L33" s="43">
        <v>3326</v>
      </c>
      <c r="M33" s="43">
        <v>2871.9484999999995</v>
      </c>
      <c r="N33" s="43">
        <v>3744</v>
      </c>
      <c r="O33" s="82">
        <v>3695.2168696237359</v>
      </c>
      <c r="P33" s="63">
        <v>3013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589</v>
      </c>
      <c r="K34" s="47">
        <v>540.36</v>
      </c>
      <c r="L34" s="47">
        <v>800.1937098792846</v>
      </c>
      <c r="M34" s="47">
        <v>442.298</v>
      </c>
      <c r="N34" s="47">
        <v>480</v>
      </c>
      <c r="O34" s="83">
        <v>1223.2979810068082</v>
      </c>
      <c r="P34" s="85">
        <v>7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>
        <v>184.01540231741288</v>
      </c>
      <c r="M35" s="47"/>
      <c r="N35" s="47"/>
      <c r="O35" s="83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>
        <v>1.1209576486737454</v>
      </c>
      <c r="M36" s="47"/>
      <c r="N36" s="47"/>
      <c r="O36" s="83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/>
      <c r="H37" s="47">
        <v>70</v>
      </c>
      <c r="I37" s="47">
        <v>73</v>
      </c>
      <c r="J37" s="47">
        <v>77</v>
      </c>
      <c r="K37" s="47">
        <v>91.46</v>
      </c>
      <c r="L37" s="47">
        <v>86</v>
      </c>
      <c r="M37" s="47">
        <v>93</v>
      </c>
      <c r="N37" s="47">
        <v>97</v>
      </c>
      <c r="O37" s="83">
        <v>112.95688286732094</v>
      </c>
      <c r="P37" s="64">
        <v>79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>
        <v>0</v>
      </c>
      <c r="L38" s="47">
        <v>2.015059752109492E-2</v>
      </c>
      <c r="M38" s="47"/>
      <c r="N38" s="47"/>
      <c r="O38" s="83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>
        <v>0.58768324922281889</v>
      </c>
      <c r="M39" s="47"/>
      <c r="N39" s="47"/>
      <c r="O39" s="83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>
        <v>150.0620963078849</v>
      </c>
      <c r="M40" s="47"/>
      <c r="N40" s="47"/>
      <c r="O40" s="83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516.95795024999995</v>
      </c>
      <c r="E41" s="47">
        <v>1174</v>
      </c>
      <c r="F41" s="47">
        <v>1383</v>
      </c>
      <c r="G41" s="47">
        <v>1061</v>
      </c>
      <c r="H41" s="47">
        <v>1260</v>
      </c>
      <c r="I41" s="47">
        <v>1545</v>
      </c>
      <c r="J41" s="47">
        <v>940</v>
      </c>
      <c r="K41" s="47">
        <v>1184.74837014996</v>
      </c>
      <c r="L41" s="47">
        <v>1136</v>
      </c>
      <c r="M41" s="47">
        <v>872.64200000000005</v>
      </c>
      <c r="N41" s="47">
        <v>1227</v>
      </c>
      <c r="O41" s="83">
        <v>566.69399731274507</v>
      </c>
      <c r="P41" s="64">
        <v>1141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(Pars!D56+(D_ZH_4!D14-Pars!D57)*Pars!D58)/Pars!D59</f>
        <v>0.28608919999999999</v>
      </c>
      <c r="E43" s="66">
        <f>(Pars!E56+(D_ZH_4!E14-Pars!E57)*Pars!E58)/Pars!E59</f>
        <v>0.28056171943828057</v>
      </c>
      <c r="F43" s="66">
        <f>(Pars!F56+(D_ZH_4!F14-Pars!F57)*Pars!F58)/Pars!F59</f>
        <v>0.27846424307151385</v>
      </c>
      <c r="G43" s="66">
        <f>(Pars!G56+(D_ZH_4!G14-Pars!G57)*Pars!G58)/Pars!G59</f>
        <v>0.2839911480265559</v>
      </c>
      <c r="H43" s="66">
        <f>(Pars!H56+(D_ZH_4!H14-Pars!H57)*Pars!H58)/Pars!H59</f>
        <v>0.28595085619657523</v>
      </c>
      <c r="I43" s="66">
        <f>(Pars!I56+(D_ZH_4!I14-Pars!I57)*Pars!I58)/Pars!I59</f>
        <v>0.29869050654746726</v>
      </c>
      <c r="J43" s="66">
        <f>(Pars!J56+(D_ZH_4!J14-Pars!J57)*Pars!J58)/Pars!J59</f>
        <v>0.30398217610694334</v>
      </c>
      <c r="K43" s="66">
        <f>(Pars!K56+(D_ZH_4!K14-Pars!K57)*Pars!K58)/Pars!K59</f>
        <v>0.30770584605907758</v>
      </c>
      <c r="L43" s="66">
        <f>(Pars!L56+(D_ZH_4!L14-Pars!L57)*Pars!L58)/Pars!L59</f>
        <v>0.30182558539531684</v>
      </c>
      <c r="M43" s="66">
        <f>(Pars!M56+(D_ZH_4!M14-Pars!M57)*Pars!M58)/Pars!M59</f>
        <v>0.2998653012122891</v>
      </c>
      <c r="N43" s="66">
        <f>(Pars!N56+(D_ZH_4!N14-Pars!N57)*Pars!N58)/Pars!N59</f>
        <v>0.29796382036179636</v>
      </c>
      <c r="O43" s="66">
        <f>(Pars!O56+(D_ZH_4!O14-Pars!O57)*Pars!O58)/Pars!O59</f>
        <v>0.29371170195130297</v>
      </c>
      <c r="P43" s="66">
        <f>(Pars!P56+(D_ZH_4!P14-Pars!P57)*Pars!P58)/Pars!P59</f>
        <v>0.29398447218633378</v>
      </c>
      <c r="Q43" s="66">
        <f>(Pars!Q56+(D_ZH_4!Q14-Pars!Q57)*Pars!Q58)/Pars!Q59</f>
        <v>6.7999116011491847E-2</v>
      </c>
      <c r="R43" s="66">
        <f>(Pars!R56+(D_ZH_4!R14-Pars!R57)*Pars!R58)/Pars!R59</f>
        <v>6.7999048013327817E-2</v>
      </c>
      <c r="S43" s="66">
        <f>(Pars!S56+(D_ZH_4!S14-Pars!S57)*Pars!S58)/Pars!S59</f>
        <v>6.7998980015299776E-2</v>
      </c>
      <c r="T43" s="66">
        <f>(Pars!T56+(D_ZH_4!T14-Pars!T57)*Pars!T58)/Pars!T59</f>
        <v>6.7998980015299776E-2</v>
      </c>
      <c r="U43" s="66">
        <f>(Pars!U56+(D_ZH_4!U14-Pars!U57)*Pars!U58)/Pars!U59</f>
        <v>6.7998980015299776E-2</v>
      </c>
      <c r="V43" s="66">
        <f>(Pars!V56+(D_ZH_4!V14-Pars!V57)*Pars!V58)/Pars!V59</f>
        <v>6.7998980015299776E-2</v>
      </c>
      <c r="W43" s="66">
        <f>(Pars!W56+(D_ZH_4!W14-Pars!W57)*Pars!W58)/Pars!W59</f>
        <v>6.7998980015299776E-2</v>
      </c>
      <c r="X43" s="66">
        <f>(Pars!X56+(D_ZH_4!X14-Pars!X57)*Pars!X58)/Pars!X59</f>
        <v>6.7998980015299776E-2</v>
      </c>
      <c r="Y43" s="66">
        <f>(Pars!Y56+(D_ZH_4!Y14-Pars!Y57)*Pars!Y58)/Pars!Y59</f>
        <v>6.7998980015299776E-2</v>
      </c>
      <c r="Z43" s="66">
        <f>(Pars!Z56+(D_ZH_4!Z14-Pars!Z57)*Pars!Z58)/Pars!Z59</f>
        <v>6.7998980015299776E-2</v>
      </c>
      <c r="AA43" s="66">
        <f>(Pars!AA56+(D_ZH_4!AA14-Pars!AA57)*Pars!AA58)/Pars!AA59</f>
        <v>6.7998980015299776E-2</v>
      </c>
      <c r="AB43" s="66">
        <f>(Pars!AB56+(D_ZH_4!AB14-Pars!AB57)*Pars!AB58)/Pars!AB59</f>
        <v>6.7998980015299776E-2</v>
      </c>
      <c r="AC43" s="66">
        <f>(Pars!AC56+(D_ZH_4!AC14-Pars!AC57)*Pars!AC58)/Pars!AC59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218262.02810719999</v>
      </c>
      <c r="E44" s="43">
        <f>Pars!E37*E43*E6</f>
        <v>270838.94657172012</v>
      </c>
      <c r="F44" s="43">
        <f>Pars!F37*F43*F6</f>
        <v>275207.88221303554</v>
      </c>
      <c r="G44" s="43">
        <f>Pars!G37*G43*G6</f>
        <v>265993.01969294093</v>
      </c>
      <c r="H44" s="43">
        <f>Pars!H37*H43*H6</f>
        <v>278405.66158802033</v>
      </c>
      <c r="I44" s="43">
        <f>Pars!I37*I43*I6</f>
        <v>278512.27025064873</v>
      </c>
      <c r="J44" s="43">
        <f>Pars!J37*J43*J6</f>
        <v>271453.3474239154</v>
      </c>
      <c r="K44" s="43">
        <f>Pars!K37*K43*K6</f>
        <v>270839.85891016095</v>
      </c>
      <c r="L44" s="43">
        <f>Pars!L37*L43*L6</f>
        <v>270226.96181763877</v>
      </c>
      <c r="M44" s="43">
        <f>Pars!M37*M43*M6</f>
        <v>269245.95535040187</v>
      </c>
      <c r="N44" s="43">
        <f>Pars!N37*N43*N6</f>
        <v>273411.00563634362</v>
      </c>
      <c r="O44" s="63">
        <f>Pars!O37*O43*O6</f>
        <v>269321.76375754701</v>
      </c>
      <c r="P44" s="63">
        <f>Pars!P37*P43*P6</f>
        <v>242409.99227209273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104765.77349145598</v>
      </c>
      <c r="E45" s="43">
        <f>E44*Pars!E36/100</f>
        <v>130002.69435442566</v>
      </c>
      <c r="F45" s="43">
        <f>F44*Pars!F36/100</f>
        <v>132099.78346225704</v>
      </c>
      <c r="G45" s="43">
        <f>G44*Pars!G36/100</f>
        <v>127676.64945261166</v>
      </c>
      <c r="H45" s="43">
        <f>H44*Pars!H36/100</f>
        <v>133634.71756224975</v>
      </c>
      <c r="I45" s="43">
        <f>I44*Pars!I36/100</f>
        <v>133685.88972031139</v>
      </c>
      <c r="J45" s="43">
        <f>J44*Pars!J36/100</f>
        <v>130297.60676347939</v>
      </c>
      <c r="K45" s="43">
        <f>K44*Pars!K36/100</f>
        <v>130003.13227687725</v>
      </c>
      <c r="L45" s="43">
        <f>L44*Pars!L36/100</f>
        <v>129708.94167246662</v>
      </c>
      <c r="M45" s="43">
        <f>M44*Pars!M36/100</f>
        <v>129238.05856819291</v>
      </c>
      <c r="N45" s="43">
        <f>N44*Pars!N36/100</f>
        <v>131237.28270544493</v>
      </c>
      <c r="O45" s="63">
        <f>O44*Pars!O36/100</f>
        <v>129274.44660362256</v>
      </c>
      <c r="P45" s="63">
        <f>P44*Pars!P36/100</f>
        <v>116356.79629060451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82152.118000000002</v>
      </c>
      <c r="E46" s="43">
        <f>Pars!E40*E15</f>
        <v>89691.738199999993</v>
      </c>
      <c r="F46" s="43">
        <f>Pars!F40*F15</f>
        <v>94915.685199999993</v>
      </c>
      <c r="G46" s="43">
        <f>Pars!G40*G15</f>
        <v>90557.984800000006</v>
      </c>
      <c r="H46" s="43">
        <f>Pars!H40*H15</f>
        <v>94365.252999999997</v>
      </c>
      <c r="I46" s="43">
        <f>Pars!I40*I15</f>
        <v>97562.6495</v>
      </c>
      <c r="J46" s="43">
        <f>Pars!J40*J15</f>
        <v>95925.708100000003</v>
      </c>
      <c r="K46" s="43">
        <f>Pars!K40*K15</f>
        <v>94371.5334</v>
      </c>
      <c r="L46" s="43">
        <f>Pars!L40*L15</f>
        <v>94030.373099999997</v>
      </c>
      <c r="M46" s="43">
        <f>Pars!M40*M15</f>
        <v>100946.6636</v>
      </c>
      <c r="N46" s="43">
        <f>Pars!N40*N15</f>
        <v>99761.462400000004</v>
      </c>
      <c r="O46" s="63">
        <f>Pars!O40*O15</f>
        <v>106354.453609</v>
      </c>
      <c r="P46" s="63">
        <f>Pars!P40*P15</f>
        <v>93753.138300000006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2625.2536</v>
      </c>
      <c r="E47" s="43">
        <f>Pars!E41*E16</f>
        <v>2748.1528000000003</v>
      </c>
      <c r="F47" s="43">
        <f>Pars!F41*F16</f>
        <v>2432.7352000000001</v>
      </c>
      <c r="G47" s="43">
        <f>Pars!G41*G16</f>
        <v>2858.4720000000002</v>
      </c>
      <c r="H47" s="43">
        <f>Pars!H41*H16</f>
        <v>3007.3008</v>
      </c>
      <c r="I47" s="43">
        <f>Pars!I41*I16</f>
        <v>2817.8312000000001</v>
      </c>
      <c r="J47" s="43">
        <f>Pars!J41*J16</f>
        <v>3095.2719999999999</v>
      </c>
      <c r="K47" s="43">
        <f>Pars!K41*K16</f>
        <v>3078.4592000000002</v>
      </c>
      <c r="L47" s="43">
        <f>Pars!L41*L16</f>
        <v>3080.8864000000003</v>
      </c>
      <c r="M47" s="43">
        <f>Pars!M41*M16</f>
        <v>3055.0455999999999</v>
      </c>
      <c r="N47" s="43">
        <f>Pars!N41*N16</f>
        <v>3060.788</v>
      </c>
      <c r="O47" s="63">
        <f>Pars!O41*O16</f>
        <v>2155.2784160000001</v>
      </c>
      <c r="P47" s="63">
        <f>Pars!P41*P16</f>
        <v>1619.3864000000001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6187.9737091384795</v>
      </c>
      <c r="E48" s="67">
        <f t="array" ref="E48">SUMPRODUCT(E33:E41,Pars!E44:E52)</f>
        <v>11663.869999999999</v>
      </c>
      <c r="F48" s="67">
        <f t="array" ref="F48">SUMPRODUCT(F33:F41,Pars!F44:F52)</f>
        <v>11115.82</v>
      </c>
      <c r="G48" s="67">
        <f t="array" ref="G48">SUMPRODUCT(G33:G41,Pars!G44:G52)</f>
        <v>9113.2199999999993</v>
      </c>
      <c r="H48" s="67">
        <f t="array" ref="H48">SUMPRODUCT(H33:H41,Pars!H44:H52)</f>
        <v>11479.470000000001</v>
      </c>
      <c r="I48" s="67">
        <f t="array" ref="I48">SUMPRODUCT(I33:I41,Pars!I44:I52)</f>
        <v>12463.32</v>
      </c>
      <c r="J48" s="67">
        <f t="array" ref="J48">SUMPRODUCT(J33:J41,Pars!J44:J52)</f>
        <v>14483.439999999999</v>
      </c>
      <c r="K48" s="67">
        <f t="array" ref="K48">SUMPRODUCT(K33:K41,Pars!K44:K52)</f>
        <v>16113.242350749801</v>
      </c>
      <c r="L48" s="67">
        <f t="array" ref="L48">SUMPRODUCT(L33:L41,Pars!L44:L52)</f>
        <v>19232.28502650743</v>
      </c>
      <c r="M48" s="67">
        <f t="array" ref="M48">SUMPRODUCT(M33:M41,Pars!M44:M52)</f>
        <v>12770.341854999999</v>
      </c>
      <c r="N48" s="67">
        <f t="array" ref="N48">SUMPRODUCT(N33:N41,Pars!N44:N52)</f>
        <v>16196.32</v>
      </c>
      <c r="O48" s="67">
        <f t="array" ref="O48">SUMPRODUCT(O33:O41,Pars!O44:O52)</f>
        <v>19319.321708840995</v>
      </c>
      <c r="P48" s="67">
        <f t="array" ref="P48">SUMPRODUCT(P33:P41,Pars!P44:P52)</f>
        <v>10508.220000000001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90965.345309138473</v>
      </c>
      <c r="E49" s="67">
        <f t="shared" ref="E49:AC49" si="1">SUM(E46:E48)</f>
        <v>104103.76099999998</v>
      </c>
      <c r="F49" s="67">
        <f t="shared" si="1"/>
        <v>108464.24039999998</v>
      </c>
      <c r="G49" s="67">
        <f t="shared" si="1"/>
        <v>102529.6768</v>
      </c>
      <c r="H49" s="67">
        <f t="shared" si="1"/>
        <v>108852.0238</v>
      </c>
      <c r="I49" s="67">
        <f t="shared" si="1"/>
        <v>112843.80069999999</v>
      </c>
      <c r="J49" s="67">
        <f t="shared" si="1"/>
        <v>113504.4201</v>
      </c>
      <c r="K49" s="67">
        <f t="shared" si="1"/>
        <v>113563.2349507498</v>
      </c>
      <c r="L49" s="67">
        <f t="shared" si="1"/>
        <v>116343.54452650744</v>
      </c>
      <c r="M49" s="67">
        <f t="shared" si="1"/>
        <v>116772.05105499999</v>
      </c>
      <c r="N49" s="67">
        <f t="shared" si="1"/>
        <v>119018.5704</v>
      </c>
      <c r="O49" s="67">
        <f t="shared" si="1"/>
        <v>127829.05373384099</v>
      </c>
      <c r="P49" s="67">
        <f t="shared" si="1"/>
        <v>105880.74470000001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13800.428182317512</v>
      </c>
      <c r="E50" s="70">
        <f t="shared" ref="E50:AC50" si="2">E45-E49</f>
        <v>25898.933354425681</v>
      </c>
      <c r="F50" s="70">
        <f t="shared" si="2"/>
        <v>23635.543062257057</v>
      </c>
      <c r="G50" s="70">
        <f t="shared" si="2"/>
        <v>25146.972652611657</v>
      </c>
      <c r="H50" s="70">
        <f t="shared" si="2"/>
        <v>24782.69376224975</v>
      </c>
      <c r="I50" s="70">
        <f t="shared" si="2"/>
        <v>20842.089020311396</v>
      </c>
      <c r="J50" s="70">
        <f t="shared" si="2"/>
        <v>16793.186663479384</v>
      </c>
      <c r="K50" s="70">
        <f t="shared" si="2"/>
        <v>16439.897326127451</v>
      </c>
      <c r="L50" s="70">
        <f t="shared" si="2"/>
        <v>13365.397145959185</v>
      </c>
      <c r="M50" s="70">
        <f t="shared" si="2"/>
        <v>12466.007513192919</v>
      </c>
      <c r="N50" s="70">
        <f t="shared" si="2"/>
        <v>12218.712305444933</v>
      </c>
      <c r="O50" s="70">
        <f t="shared" si="2"/>
        <v>1445.3928697815718</v>
      </c>
      <c r="P50" s="70">
        <f t="shared" si="2"/>
        <v>10476.051590604504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13800.428182317512</v>
      </c>
      <c r="E62" s="79">
        <f t="shared" ref="E62:AC62" si="4">E50+E61</f>
        <v>25898.933354425681</v>
      </c>
      <c r="F62" s="79">
        <f t="shared" si="4"/>
        <v>23635.543062257057</v>
      </c>
      <c r="G62" s="79">
        <f t="shared" si="4"/>
        <v>25146.972652611657</v>
      </c>
      <c r="H62" s="79">
        <f t="shared" si="4"/>
        <v>24782.69376224975</v>
      </c>
      <c r="I62" s="79">
        <f t="shared" si="4"/>
        <v>20842.089020311396</v>
      </c>
      <c r="J62" s="79">
        <f t="shared" si="4"/>
        <v>16793.186663479384</v>
      </c>
      <c r="K62" s="79">
        <f t="shared" si="4"/>
        <v>16439.897326127451</v>
      </c>
      <c r="L62" s="79">
        <f t="shared" si="4"/>
        <v>13365.397145959185</v>
      </c>
      <c r="M62" s="79">
        <f t="shared" si="4"/>
        <v>12466.007513192919</v>
      </c>
      <c r="N62" s="79">
        <f t="shared" si="4"/>
        <v>12218.712305444933</v>
      </c>
      <c r="O62" s="79">
        <f t="shared" si="4"/>
        <v>1445.3928697815718</v>
      </c>
      <c r="P62" s="79">
        <f t="shared" si="4"/>
        <v>10476.051590604504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26" priority="5" operator="containsText" text="Nein">
      <formula>NOT(ISERROR(SEARCH("Nein",D22)))</formula>
    </cfRule>
  </conditionalFormatting>
  <conditionalFormatting sqref="D31:AC31">
    <cfRule type="cellIs" dxfId="25" priority="6" operator="equal">
      <formula>"ok"</formula>
    </cfRule>
  </conditionalFormatting>
  <conditionalFormatting sqref="H5:AC12 H14:AC16 H18:AC19 H33:AC41">
    <cfRule type="cellIs" dxfId="24" priority="4" operator="greaterThan">
      <formula>0</formula>
    </cfRule>
  </conditionalFormatting>
  <conditionalFormatting sqref="H6:AC12">
    <cfRule type="expression" dxfId="23" priority="3">
      <formula>NOT(ISBLANK(H6))</formula>
    </cfRule>
  </conditionalFormatting>
  <conditionalFormatting sqref="H18:AC19">
    <cfRule type="expression" dxfId="22" priority="2">
      <formula>NOT(ISBLANK(H18))</formula>
    </cfRule>
  </conditionalFormatting>
  <conditionalFormatting sqref="H56:AC60">
    <cfRule type="cellIs" dxfId="21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5B91A3FA-A9BB-4C7E-9F61-D15047620CBE}">
      <formula1>"Ja, Nein"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73369-0559-4419-8C25-4F224BAB3456}">
  <sheetPr>
    <tabColor theme="2" tint="-0.499984740745262"/>
  </sheetPr>
  <dimension ref="A1:AD134"/>
  <sheetViews>
    <sheetView zoomScale="90" zoomScaleNormal="90"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161</v>
      </c>
      <c r="D1" s="32"/>
      <c r="E1" s="32"/>
    </row>
    <row r="2" spans="1:30" x14ac:dyDescent="0.3">
      <c r="A2" s="30"/>
      <c r="B2" s="31" t="s">
        <v>86</v>
      </c>
      <c r="C2" s="33" t="s">
        <v>162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122584</v>
      </c>
      <c r="E5" s="42">
        <v>122584</v>
      </c>
      <c r="F5" s="42">
        <v>122584</v>
      </c>
      <c r="G5" s="42">
        <v>122584</v>
      </c>
      <c r="H5" s="43">
        <v>122584</v>
      </c>
      <c r="I5" s="43">
        <v>124326</v>
      </c>
      <c r="J5" s="43">
        <v>124555</v>
      </c>
      <c r="K5" s="43">
        <v>124721.91433255211</v>
      </c>
      <c r="L5" s="43">
        <v>123516</v>
      </c>
      <c r="M5" s="43">
        <v>122584</v>
      </c>
      <c r="N5" s="43">
        <v>119658</v>
      </c>
      <c r="O5" s="43">
        <v>118562</v>
      </c>
      <c r="P5" s="43">
        <v>118251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120734</v>
      </c>
      <c r="E6" s="42">
        <v>119556</v>
      </c>
      <c r="F6" s="42">
        <v>122720</v>
      </c>
      <c r="G6" s="42">
        <v>123430</v>
      </c>
      <c r="H6" s="47">
        <v>122601</v>
      </c>
      <c r="I6" s="47">
        <v>124402</v>
      </c>
      <c r="J6" s="47">
        <v>123029</v>
      </c>
      <c r="K6" s="47">
        <v>124410.97</v>
      </c>
      <c r="L6" s="47">
        <v>122032</v>
      </c>
      <c r="M6" s="47">
        <v>120349</v>
      </c>
      <c r="N6" s="47">
        <v>120864</v>
      </c>
      <c r="O6" s="47">
        <v>119858</v>
      </c>
      <c r="P6" s="47">
        <v>116774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29</v>
      </c>
      <c r="E7" s="42">
        <v>5418</v>
      </c>
      <c r="F7" s="42">
        <v>5242</v>
      </c>
      <c r="G7" s="42">
        <v>5303</v>
      </c>
      <c r="H7" s="47">
        <v>5345</v>
      </c>
      <c r="I7" s="47">
        <v>5373</v>
      </c>
      <c r="J7" s="47">
        <v>5175</v>
      </c>
      <c r="K7" s="47">
        <v>4655</v>
      </c>
      <c r="L7" s="47">
        <v>4674</v>
      </c>
      <c r="M7" s="47">
        <v>5034</v>
      </c>
      <c r="N7" s="47">
        <v>4906</v>
      </c>
      <c r="O7" s="47">
        <v>5011</v>
      </c>
      <c r="P7" s="47">
        <v>4021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>
        <v>16000</v>
      </c>
      <c r="E8" s="42">
        <v>16793</v>
      </c>
      <c r="F8" s="42">
        <v>16612</v>
      </c>
      <c r="G8" s="42">
        <v>15930</v>
      </c>
      <c r="H8" s="47">
        <v>14367</v>
      </c>
      <c r="I8" s="47">
        <v>16014</v>
      </c>
      <c r="J8" s="47">
        <v>21774</v>
      </c>
      <c r="K8" s="47">
        <v>25516</v>
      </c>
      <c r="L8" s="47">
        <v>25950</v>
      </c>
      <c r="M8" s="47">
        <v>28677</v>
      </c>
      <c r="N8" s="47">
        <v>27627</v>
      </c>
      <c r="O8" s="47">
        <v>25974</v>
      </c>
      <c r="P8" s="47">
        <v>25060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12.717000000000001</v>
      </c>
      <c r="E14" s="51">
        <v>12.356</v>
      </c>
      <c r="F14" s="51">
        <v>11.946999999999999</v>
      </c>
      <c r="G14" s="51">
        <v>11.73</v>
      </c>
      <c r="H14" s="43">
        <v>11.56</v>
      </c>
      <c r="I14" s="43">
        <v>11.49</v>
      </c>
      <c r="J14" s="43">
        <v>11.61</v>
      </c>
      <c r="K14" s="43">
        <v>11.49</v>
      </c>
      <c r="L14" s="43">
        <v>11.84</v>
      </c>
      <c r="M14" s="43">
        <v>12.07</v>
      </c>
      <c r="N14" s="43">
        <v>12.087</v>
      </c>
      <c r="O14" s="43">
        <v>12.24</v>
      </c>
      <c r="P14" s="43">
        <v>12.12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54135</v>
      </c>
      <c r="E15" s="42">
        <v>43006</v>
      </c>
      <c r="F15" s="42">
        <v>44618</v>
      </c>
      <c r="G15" s="42">
        <v>48909</v>
      </c>
      <c r="H15" s="47">
        <v>45759</v>
      </c>
      <c r="I15" s="47">
        <v>58249</v>
      </c>
      <c r="J15" s="47">
        <v>59365</v>
      </c>
      <c r="K15" s="47">
        <v>64480</v>
      </c>
      <c r="L15" s="47">
        <v>55881</v>
      </c>
      <c r="M15" s="47">
        <v>59754</v>
      </c>
      <c r="N15" s="47">
        <v>64749</v>
      </c>
      <c r="O15" s="47">
        <v>79006</v>
      </c>
      <c r="P15" s="47">
        <v>65919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68338</v>
      </c>
      <c r="E16" s="42">
        <v>69023</v>
      </c>
      <c r="F16" s="42">
        <v>68877</v>
      </c>
      <c r="G16" s="42">
        <v>67293</v>
      </c>
      <c r="H16" s="47">
        <v>66822</v>
      </c>
      <c r="I16" s="47">
        <v>63914</v>
      </c>
      <c r="J16" s="47">
        <v>63679</v>
      </c>
      <c r="K16" s="47">
        <v>64470</v>
      </c>
      <c r="L16" s="47">
        <v>63612</v>
      </c>
      <c r="M16" s="47">
        <v>63237</v>
      </c>
      <c r="N16" s="47">
        <v>63692</v>
      </c>
      <c r="O16" s="47">
        <v>59017</v>
      </c>
      <c r="P16" s="47">
        <v>59227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24691</v>
      </c>
      <c r="E18" s="42">
        <v>24315</v>
      </c>
      <c r="F18" s="42">
        <v>24631</v>
      </c>
      <c r="G18" s="42">
        <v>25160</v>
      </c>
      <c r="H18" s="43">
        <v>25927</v>
      </c>
      <c r="I18" s="43">
        <v>26617</v>
      </c>
      <c r="J18" s="43">
        <v>25817</v>
      </c>
      <c r="K18" s="43">
        <v>26178.54</v>
      </c>
      <c r="L18" s="43">
        <v>26041</v>
      </c>
      <c r="M18" s="43">
        <v>25657</v>
      </c>
      <c r="N18" s="43">
        <v>26138</v>
      </c>
      <c r="O18" s="43">
        <v>26007</v>
      </c>
      <c r="P18" s="43">
        <v>18642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2858</v>
      </c>
      <c r="E19" s="42">
        <v>2633</v>
      </c>
      <c r="F19" s="42">
        <v>2708</v>
      </c>
      <c r="G19" s="42">
        <v>2744</v>
      </c>
      <c r="H19" s="47">
        <v>2662</v>
      </c>
      <c r="I19" s="47">
        <v>2846</v>
      </c>
      <c r="J19" s="47">
        <v>2709</v>
      </c>
      <c r="K19" s="47">
        <v>2814</v>
      </c>
      <c r="L19" s="47">
        <v>2696</v>
      </c>
      <c r="M19" s="47">
        <v>2564</v>
      </c>
      <c r="N19" s="47">
        <v>2522</v>
      </c>
      <c r="O19" s="47">
        <v>2443</v>
      </c>
      <c r="P19" s="47">
        <v>2367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112</v>
      </c>
      <c r="E22" s="59" t="s">
        <v>112</v>
      </c>
      <c r="F22" s="59" t="s">
        <v>112</v>
      </c>
      <c r="G22" s="59" t="s">
        <v>112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113</v>
      </c>
      <c r="G23" s="59" t="s">
        <v>113</v>
      </c>
      <c r="H23" s="59" t="s">
        <v>112</v>
      </c>
      <c r="I23" s="59" t="s">
        <v>112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112</v>
      </c>
      <c r="K24" s="59" t="s">
        <v>112</v>
      </c>
      <c r="L24" s="59" t="s">
        <v>112</v>
      </c>
      <c r="M24" s="59" t="s">
        <v>112</v>
      </c>
      <c r="N24" s="59" t="s">
        <v>112</v>
      </c>
      <c r="O24" s="59" t="s">
        <v>112</v>
      </c>
      <c r="P24" s="59" t="s">
        <v>112</v>
      </c>
      <c r="Q24" s="59" t="s">
        <v>112</v>
      </c>
      <c r="R24" s="59" t="s">
        <v>112</v>
      </c>
      <c r="S24" s="59" t="s">
        <v>112</v>
      </c>
      <c r="T24" s="59" t="s">
        <v>112</v>
      </c>
      <c r="U24" s="59" t="s">
        <v>112</v>
      </c>
      <c r="V24" s="59" t="s">
        <v>112</v>
      </c>
      <c r="W24" s="59" t="s">
        <v>112</v>
      </c>
      <c r="X24" s="59" t="s">
        <v>112</v>
      </c>
      <c r="Y24" s="59" t="s">
        <v>112</v>
      </c>
      <c r="Z24" s="59" t="s">
        <v>112</v>
      </c>
      <c r="AA24" s="59" t="s">
        <v>112</v>
      </c>
      <c r="AB24" s="59" t="s">
        <v>112</v>
      </c>
      <c r="AC24" s="59" t="s">
        <v>112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1011</v>
      </c>
      <c r="E33" s="47">
        <v>996</v>
      </c>
      <c r="F33" s="47">
        <v>1009</v>
      </c>
      <c r="G33" s="47">
        <v>1031</v>
      </c>
      <c r="H33" s="43">
        <v>1416</v>
      </c>
      <c r="I33" s="43">
        <v>1427</v>
      </c>
      <c r="J33" s="43">
        <v>1536</v>
      </c>
      <c r="K33" s="43">
        <v>1600.87149979638</v>
      </c>
      <c r="L33" s="43">
        <v>1697</v>
      </c>
      <c r="M33" s="43">
        <v>1825</v>
      </c>
      <c r="N33" s="43">
        <v>1730</v>
      </c>
      <c r="O33" s="63">
        <v>1737</v>
      </c>
      <c r="P33" s="63">
        <v>1920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367</v>
      </c>
      <c r="K34" s="47">
        <v>379.79859018675415</v>
      </c>
      <c r="L34" s="47">
        <v>305</v>
      </c>
      <c r="M34" s="47">
        <v>347</v>
      </c>
      <c r="N34" s="47">
        <v>389</v>
      </c>
      <c r="O34" s="64">
        <v>380</v>
      </c>
      <c r="P34" s="64">
        <v>418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64">
        <v>24</v>
      </c>
      <c r="P37" s="64">
        <v>46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/>
      <c r="E41" s="47"/>
      <c r="F41" s="47"/>
      <c r="G41" s="47"/>
      <c r="H41" s="47">
        <v>307</v>
      </c>
      <c r="I41" s="47">
        <v>309</v>
      </c>
      <c r="J41" s="47">
        <v>210</v>
      </c>
      <c r="K41" s="47">
        <v>220.77572679116943</v>
      </c>
      <c r="L41" s="47">
        <v>287</v>
      </c>
      <c r="M41" s="47">
        <v>146</v>
      </c>
      <c r="N41" s="47">
        <v>230</v>
      </c>
      <c r="O41" s="64">
        <v>202</v>
      </c>
      <c r="P41" s="64">
        <v>233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(Pars!D56+(D_AG_3!D14-Pars!D57)*Pars!D58)/Pars!D59</f>
        <v>0.31725320000000001</v>
      </c>
      <c r="E43" s="66">
        <f>(Pars!E56+(D_AG_3!E14-Pars!E57)*Pars!E58)/Pars!E59</f>
        <v>0.31017728982271014</v>
      </c>
      <c r="F43" s="66">
        <f>(Pars!F56+(D_AG_3!F14-Pars!F57)*Pars!F58)/Pars!F59</f>
        <v>0.3021605956788086</v>
      </c>
      <c r="G43" s="66">
        <f>(Pars!G56+(D_AG_3!G14-Pars!G57)*Pars!G58)/Pars!G59</f>
        <v>0.29790710627868117</v>
      </c>
      <c r="H43" s="66">
        <f>(Pars!H56+(D_AG_3!H14-Pars!H57)*Pars!H58)/Pars!H59</f>
        <v>0.2945748217007132</v>
      </c>
      <c r="I43" s="66">
        <f>(Pars!I56+(D_AG_3!I14-Pars!I57)*Pars!I58)/Pars!I59</f>
        <v>0.29320253398733004</v>
      </c>
      <c r="J43" s="66">
        <f>(Pars!J56+(D_AG_3!J14-Pars!J57)*Pars!J58)/Pars!J59</f>
        <v>0.29555422667463993</v>
      </c>
      <c r="K43" s="66">
        <f>(Pars!K56+(D_AG_3!K14-Pars!K57)*Pars!K58)/Pars!K59</f>
        <v>0.29320194758636692</v>
      </c>
      <c r="L43" s="66">
        <f>(Pars!L56+(D_AG_3!L14-Pars!L57)*Pars!L58)/Pars!L59</f>
        <v>0.30006159950720396</v>
      </c>
      <c r="M43" s="66">
        <f>(Pars!M56+(D_AG_3!M14-Pars!M57)*Pars!M58)/Pars!M59</f>
        <v>0.30456925887667013</v>
      </c>
      <c r="N43" s="66">
        <f>(Pars!N56+(D_AG_3!N14-Pars!N57)*Pars!N58)/Pars!N59</f>
        <v>0.30490215097849022</v>
      </c>
      <c r="O43" s="66">
        <f>(Pars!O56+(D_AG_3!O14-Pars!O57)*Pars!O58)/Pars!O59</f>
        <v>0.30790061309325595</v>
      </c>
      <c r="P43" s="66">
        <f>(Pars!P56+(D_AG_3!P14-Pars!P57)*Pars!P58)/Pars!P59</f>
        <v>0.30554833341999899</v>
      </c>
      <c r="Q43" s="66">
        <f>(Pars!Q56+(D_AG_3!Q14-Pars!Q57)*Pars!Q58)/Pars!Q59</f>
        <v>6.7999116011491847E-2</v>
      </c>
      <c r="R43" s="66">
        <f>(Pars!R56+(D_AG_3!R14-Pars!R57)*Pars!R58)/Pars!R59</f>
        <v>6.7999048013327817E-2</v>
      </c>
      <c r="S43" s="66">
        <f>(Pars!S56+(D_AG_3!S14-Pars!S57)*Pars!S58)/Pars!S59</f>
        <v>6.7998980015299776E-2</v>
      </c>
      <c r="T43" s="66">
        <f>(Pars!T56+(D_AG_3!T14-Pars!T57)*Pars!T58)/Pars!T59</f>
        <v>6.7998980015299776E-2</v>
      </c>
      <c r="U43" s="66">
        <f>(Pars!U56+(D_AG_3!U14-Pars!U57)*Pars!U58)/Pars!U59</f>
        <v>6.7998980015299776E-2</v>
      </c>
      <c r="V43" s="66">
        <f>(Pars!V56+(D_AG_3!V14-Pars!V57)*Pars!V58)/Pars!V59</f>
        <v>6.7998980015299776E-2</v>
      </c>
      <c r="W43" s="66">
        <f>(Pars!W56+(D_AG_3!W14-Pars!W57)*Pars!W58)/Pars!W59</f>
        <v>6.7998980015299776E-2</v>
      </c>
      <c r="X43" s="66">
        <f>(Pars!X56+(D_AG_3!X14-Pars!X57)*Pars!X58)/Pars!X59</f>
        <v>6.7998980015299776E-2</v>
      </c>
      <c r="Y43" s="66">
        <f>(Pars!Y56+(D_AG_3!Y14-Pars!Y57)*Pars!Y58)/Pars!Y59</f>
        <v>6.7998980015299776E-2</v>
      </c>
      <c r="Z43" s="66">
        <f>(Pars!Z56+(D_AG_3!Z14-Pars!Z57)*Pars!Z58)/Pars!Z59</f>
        <v>6.7998980015299776E-2</v>
      </c>
      <c r="AA43" s="66">
        <f>(Pars!AA56+(D_AG_3!AA14-Pars!AA57)*Pars!AA58)/Pars!AA59</f>
        <v>6.7998980015299776E-2</v>
      </c>
      <c r="AB43" s="66">
        <f>(Pars!AB56+(D_AG_3!AB14-Pars!AB57)*Pars!AB58)/Pars!AB59</f>
        <v>6.7998980015299776E-2</v>
      </c>
      <c r="AC43" s="66">
        <f>(Pars!AC56+(D_AG_3!AC14-Pars!AC57)*Pars!AC58)/Pars!AC59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140445.24211226666</v>
      </c>
      <c r="E44" s="43">
        <f>Pars!E37*E43*E6</f>
        <v>135973.03889416109</v>
      </c>
      <c r="F44" s="43">
        <f>Pars!F37*F43*F6</f>
        <v>135964.2104395791</v>
      </c>
      <c r="G44" s="43">
        <f>Pars!G37*G43*G6</f>
        <v>134825.80513591791</v>
      </c>
      <c r="H44" s="43">
        <f>Pars!H37*H43*H6</f>
        <v>132422.2816228735</v>
      </c>
      <c r="I44" s="43">
        <f>Pars!I37*I43*I6</f>
        <v>133741.59932133672</v>
      </c>
      <c r="J44" s="43">
        <f>Pars!J37*J43*J6</f>
        <v>133326.38349636568</v>
      </c>
      <c r="K44" s="43">
        <f>Pars!K37*K43*K6</f>
        <v>133750.97525206656</v>
      </c>
      <c r="L44" s="43">
        <f>Pars!L37*L43*L6</f>
        <v>134262.76274056474</v>
      </c>
      <c r="M44" s="43">
        <f>Pars!M37*M43*M6</f>
        <v>134400.2210340107</v>
      </c>
      <c r="N44" s="43">
        <f>Pars!N37*N43*N6</f>
        <v>135122.87644483554</v>
      </c>
      <c r="O44" s="63">
        <f>Pars!O37*O43*O6</f>
        <v>135315.95617514872</v>
      </c>
      <c r="P44" s="63">
        <f>Pars!P37*P43*P6</f>
        <v>130827.03731821885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67413.716213887994</v>
      </c>
      <c r="E45" s="43">
        <f>E44*Pars!E36/100</f>
        <v>65267.058669197315</v>
      </c>
      <c r="F45" s="43">
        <f>F44*Pars!F36/100</f>
        <v>65262.821010997963</v>
      </c>
      <c r="G45" s="43">
        <f>G44*Pars!G36/100</f>
        <v>64716.386465240597</v>
      </c>
      <c r="H45" s="43">
        <f>H44*Pars!H36/100</f>
        <v>63562.69517897928</v>
      </c>
      <c r="I45" s="43">
        <f>I44*Pars!I36/100</f>
        <v>64195.967674241627</v>
      </c>
      <c r="J45" s="43">
        <f>J44*Pars!J36/100</f>
        <v>63996.664078255526</v>
      </c>
      <c r="K45" s="43">
        <f>K44*Pars!K36/100</f>
        <v>64200.468120991951</v>
      </c>
      <c r="L45" s="43">
        <f>L44*Pars!L36/100</f>
        <v>64446.126115471066</v>
      </c>
      <c r="M45" s="43">
        <f>M44*Pars!M36/100</f>
        <v>64512.106096325137</v>
      </c>
      <c r="N45" s="43">
        <f>N44*Pars!N36/100</f>
        <v>64858.980693521051</v>
      </c>
      <c r="O45" s="63">
        <f>O44*Pars!O36/100</f>
        <v>64951.658964071386</v>
      </c>
      <c r="P45" s="63">
        <f>P44*Pars!P36/100</f>
        <v>62796.977912745046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12142.4805</v>
      </c>
      <c r="E46" s="43">
        <f>Pars!E40*E15</f>
        <v>9646.2458000000006</v>
      </c>
      <c r="F46" s="43">
        <f>Pars!F40*F15</f>
        <v>10007.8174</v>
      </c>
      <c r="G46" s="43">
        <f>Pars!G40*G15</f>
        <v>10970.288699999999</v>
      </c>
      <c r="H46" s="43">
        <f>Pars!H40*H15</f>
        <v>10263.743699999999</v>
      </c>
      <c r="I46" s="43">
        <f>Pars!I40*I15</f>
        <v>13065.250700000001</v>
      </c>
      <c r="J46" s="43">
        <f>Pars!J40*J15</f>
        <v>13315.5695</v>
      </c>
      <c r="K46" s="43">
        <f>Pars!K40*K15</f>
        <v>14462.864</v>
      </c>
      <c r="L46" s="43">
        <f>Pars!L40*L15</f>
        <v>12534.1083</v>
      </c>
      <c r="M46" s="43">
        <f>Pars!M40*M15</f>
        <v>13402.822200000001</v>
      </c>
      <c r="N46" s="43">
        <f>Pars!N40*N15</f>
        <v>14523.200699999999</v>
      </c>
      <c r="O46" s="63">
        <f>Pars!O40*O15</f>
        <v>17721.0458</v>
      </c>
      <c r="P46" s="63">
        <f>Pars!P40*P15</f>
        <v>14785.6317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2022.8048000000001</v>
      </c>
      <c r="E47" s="43">
        <f>Pars!E41*E16</f>
        <v>2043.0808000000002</v>
      </c>
      <c r="F47" s="43">
        <f>Pars!F41*F16</f>
        <v>2038.7592000000002</v>
      </c>
      <c r="G47" s="43">
        <f>Pars!G41*G16</f>
        <v>1991.8728000000001</v>
      </c>
      <c r="H47" s="43">
        <f>Pars!H41*H16</f>
        <v>1977.9312</v>
      </c>
      <c r="I47" s="43">
        <f>Pars!I41*I16</f>
        <v>1891.8544000000002</v>
      </c>
      <c r="J47" s="43">
        <f>Pars!J41*J16</f>
        <v>1884.8984</v>
      </c>
      <c r="K47" s="43">
        <f>Pars!K41*K16</f>
        <v>1908.3120000000001</v>
      </c>
      <c r="L47" s="43">
        <f>Pars!L41*L16</f>
        <v>1882.9152000000001</v>
      </c>
      <c r="M47" s="43">
        <f>Pars!M41*M16</f>
        <v>1871.8152</v>
      </c>
      <c r="N47" s="43">
        <f>Pars!N41*N16</f>
        <v>1885.2832000000001</v>
      </c>
      <c r="O47" s="63">
        <f>Pars!O41*O16</f>
        <v>1746.9032</v>
      </c>
      <c r="P47" s="63">
        <f>Pars!P41*P16</f>
        <v>1753.1192000000001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1526.61</v>
      </c>
      <c r="E48" s="67">
        <f t="array" ref="E48">SUMPRODUCT(E33:E41,Pars!E44:E52)</f>
        <v>1503.96</v>
      </c>
      <c r="F48" s="67">
        <f t="array" ref="F48">SUMPRODUCT(F33:F41,Pars!F44:F52)</f>
        <v>1523.59</v>
      </c>
      <c r="G48" s="67">
        <f t="array" ref="G48">SUMPRODUCT(G33:G41,Pars!G44:G52)</f>
        <v>1556.81</v>
      </c>
      <c r="H48" s="67">
        <f t="array" ref="H48">SUMPRODUCT(H33:H41,Pars!H44:H52)</f>
        <v>3673.16</v>
      </c>
      <c r="I48" s="67">
        <f t="array" ref="I48">SUMPRODUCT(I33:I41,Pars!I44:I52)</f>
        <v>3699.77</v>
      </c>
      <c r="J48" s="67">
        <f t="array" ref="J48">SUMPRODUCT(J33:J41,Pars!J44:J52)</f>
        <v>6558.59</v>
      </c>
      <c r="K48" s="67">
        <f t="array" ref="K48">SUMPRODUCT(K33:K41,Pars!K44:K52)</f>
        <v>6821.6443473712743</v>
      </c>
      <c r="L48" s="67">
        <f t="array" ref="L48">SUMPRODUCT(L33:L41,Pars!L44:L52)</f>
        <v>6647.92</v>
      </c>
      <c r="M48" s="67">
        <f t="array" ref="M48">SUMPRODUCT(M33:M41,Pars!M44:M52)</f>
        <v>6501.18</v>
      </c>
      <c r="N48" s="67">
        <f t="array" ref="N48">SUMPRODUCT(N33:N41,Pars!N44:N52)</f>
        <v>7142.71</v>
      </c>
      <c r="O48" s="67">
        <f t="array" ref="O48">SUMPRODUCT(O33:O41,Pars!O44:O52)</f>
        <v>6993.63</v>
      </c>
      <c r="P48" s="67">
        <f t="array" ref="P48">SUMPRODUCT(P33:P41,Pars!P44:P52)</f>
        <v>7808.8599999999988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15691.8953</v>
      </c>
      <c r="E49" s="67">
        <f t="shared" ref="E49:AC49" si="1">SUM(E46:E48)</f>
        <v>13193.286599999999</v>
      </c>
      <c r="F49" s="67">
        <f t="shared" si="1"/>
        <v>13570.1666</v>
      </c>
      <c r="G49" s="67">
        <f t="shared" si="1"/>
        <v>14518.971499999998</v>
      </c>
      <c r="H49" s="67">
        <f t="shared" si="1"/>
        <v>15914.834899999998</v>
      </c>
      <c r="I49" s="67">
        <f t="shared" si="1"/>
        <v>18656.875100000001</v>
      </c>
      <c r="J49" s="67">
        <f t="shared" si="1"/>
        <v>21759.0579</v>
      </c>
      <c r="K49" s="67">
        <f t="shared" si="1"/>
        <v>23192.820347371275</v>
      </c>
      <c r="L49" s="67">
        <f t="shared" si="1"/>
        <v>21064.943500000001</v>
      </c>
      <c r="M49" s="67">
        <f t="shared" si="1"/>
        <v>21775.8174</v>
      </c>
      <c r="N49" s="67">
        <f t="shared" si="1"/>
        <v>23551.193899999998</v>
      </c>
      <c r="O49" s="67">
        <f t="shared" si="1"/>
        <v>26461.579000000002</v>
      </c>
      <c r="P49" s="67">
        <f t="shared" si="1"/>
        <v>24347.6109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51721.82091388799</v>
      </c>
      <c r="E50" s="70">
        <f t="shared" ref="E50:AC50" si="2">E45-E49</f>
        <v>52073.772069197315</v>
      </c>
      <c r="F50" s="70">
        <f t="shared" si="2"/>
        <v>51692.654410997959</v>
      </c>
      <c r="G50" s="70">
        <f t="shared" si="2"/>
        <v>50197.414965240598</v>
      </c>
      <c r="H50" s="70">
        <f t="shared" si="2"/>
        <v>47647.860278979279</v>
      </c>
      <c r="I50" s="70">
        <f t="shared" si="2"/>
        <v>45539.092574241629</v>
      </c>
      <c r="J50" s="70">
        <f t="shared" si="2"/>
        <v>42237.606178255526</v>
      </c>
      <c r="K50" s="70">
        <f t="shared" si="2"/>
        <v>41007.647773620673</v>
      </c>
      <c r="L50" s="70">
        <f t="shared" si="2"/>
        <v>43381.182615471065</v>
      </c>
      <c r="M50" s="70">
        <f t="shared" si="2"/>
        <v>42736.288696325137</v>
      </c>
      <c r="N50" s="70">
        <f t="shared" si="2"/>
        <v>41307.786793521052</v>
      </c>
      <c r="O50" s="70">
        <f t="shared" si="2"/>
        <v>38490.079964071381</v>
      </c>
      <c r="P50" s="70">
        <f t="shared" si="2"/>
        <v>38449.367012745046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1201</v>
      </c>
      <c r="O56" s="64">
        <v>2713</v>
      </c>
      <c r="P56" s="64">
        <v>1997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1201</v>
      </c>
      <c r="O61" s="76">
        <f t="shared" si="3"/>
        <v>2713</v>
      </c>
      <c r="P61" s="76">
        <f t="shared" si="3"/>
        <v>1997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51721.82091388799</v>
      </c>
      <c r="E62" s="79">
        <f t="shared" ref="E62:AC62" si="4">E50+E61</f>
        <v>52073.772069197315</v>
      </c>
      <c r="F62" s="79">
        <f t="shared" si="4"/>
        <v>51692.654410997959</v>
      </c>
      <c r="G62" s="79">
        <f t="shared" si="4"/>
        <v>50197.414965240598</v>
      </c>
      <c r="H62" s="79">
        <f t="shared" si="4"/>
        <v>47647.860278979279</v>
      </c>
      <c r="I62" s="79">
        <f t="shared" si="4"/>
        <v>45539.092574241629</v>
      </c>
      <c r="J62" s="79">
        <f t="shared" si="4"/>
        <v>42237.606178255526</v>
      </c>
      <c r="K62" s="79">
        <f t="shared" si="4"/>
        <v>41007.647773620673</v>
      </c>
      <c r="L62" s="79">
        <f t="shared" si="4"/>
        <v>43381.182615471065</v>
      </c>
      <c r="M62" s="79">
        <f t="shared" si="4"/>
        <v>42736.288696325137</v>
      </c>
      <c r="N62" s="79">
        <f t="shared" si="4"/>
        <v>42508.786793521052</v>
      </c>
      <c r="O62" s="79">
        <f t="shared" si="4"/>
        <v>41203.079964071381</v>
      </c>
      <c r="P62" s="79">
        <f t="shared" si="4"/>
        <v>40446.367012745046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82" priority="5" operator="containsText" text="Nein">
      <formula>NOT(ISERROR(SEARCH("Nein",D22)))</formula>
    </cfRule>
  </conditionalFormatting>
  <conditionalFormatting sqref="D31:AC31">
    <cfRule type="cellIs" dxfId="181" priority="6" operator="equal">
      <formula>"ok"</formula>
    </cfRule>
  </conditionalFormatting>
  <conditionalFormatting sqref="H5:AC12 H14:AC16 H18:AC19 H33:AC41">
    <cfRule type="cellIs" dxfId="180" priority="4" operator="greaterThan">
      <formula>0</formula>
    </cfRule>
  </conditionalFormatting>
  <conditionalFormatting sqref="H6:AC12">
    <cfRule type="expression" dxfId="179" priority="3">
      <formula>NOT(ISBLANK(H6))</formula>
    </cfRule>
  </conditionalFormatting>
  <conditionalFormatting sqref="H18:AC19">
    <cfRule type="expression" dxfId="178" priority="2">
      <formula>NOT(ISBLANK(H18))</formula>
    </cfRule>
  </conditionalFormatting>
  <conditionalFormatting sqref="H56:AC60">
    <cfRule type="cellIs" dxfId="177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80056714-2669-4123-A530-0A8DFFB373A1}">
      <formula1>"Ja, Nein"</formula1>
    </dataValidation>
  </dataValidations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7C3A1-496E-40E2-AF20-0FED116418F9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215</v>
      </c>
      <c r="D1" s="32"/>
      <c r="E1" s="32"/>
    </row>
    <row r="2" spans="1:30" x14ac:dyDescent="0.3">
      <c r="A2" s="30"/>
      <c r="B2" s="31" t="s">
        <v>86</v>
      </c>
      <c r="C2" s="33" t="s">
        <v>216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170000</v>
      </c>
      <c r="E5" s="42">
        <v>125000</v>
      </c>
      <c r="F5" s="42">
        <v>125000</v>
      </c>
      <c r="G5" s="42">
        <v>125000</v>
      </c>
      <c r="H5" s="43">
        <v>125000</v>
      </c>
      <c r="I5" s="43">
        <v>126061</v>
      </c>
      <c r="J5" s="43">
        <v>125000</v>
      </c>
      <c r="K5" s="43">
        <v>126060.60606060606</v>
      </c>
      <c r="L5" s="43">
        <v>126061</v>
      </c>
      <c r="M5" s="43">
        <v>126061</v>
      </c>
      <c r="N5" s="43">
        <v>126061</v>
      </c>
      <c r="O5" s="43">
        <v>31515.151515151516</v>
      </c>
      <c r="P5" s="43">
        <v>0</v>
      </c>
      <c r="Q5" s="43">
        <v>0</v>
      </c>
      <c r="R5" s="43">
        <v>0</v>
      </c>
      <c r="S5" s="43">
        <v>0</v>
      </c>
      <c r="T5" s="43">
        <v>0</v>
      </c>
      <c r="U5" s="43">
        <v>0</v>
      </c>
      <c r="V5" s="43">
        <v>0</v>
      </c>
      <c r="W5" s="43">
        <v>0</v>
      </c>
      <c r="X5" s="43">
        <v>0</v>
      </c>
      <c r="Y5" s="43">
        <v>0</v>
      </c>
      <c r="Z5" s="43">
        <v>0</v>
      </c>
      <c r="AA5" s="43">
        <v>0</v>
      </c>
      <c r="AB5" s="43">
        <v>0</v>
      </c>
      <c r="AC5" s="43">
        <v>0</v>
      </c>
      <c r="AD5" s="44" t="s">
        <v>217</v>
      </c>
    </row>
    <row r="6" spans="1:30" ht="19.5" customHeight="1" x14ac:dyDescent="0.3">
      <c r="B6" s="45" t="s">
        <v>96</v>
      </c>
      <c r="C6" s="46" t="s">
        <v>95</v>
      </c>
      <c r="D6" s="42">
        <v>163799</v>
      </c>
      <c r="E6" s="42">
        <v>118149</v>
      </c>
      <c r="F6" s="42">
        <v>122218</v>
      </c>
      <c r="G6" s="42">
        <v>123457</v>
      </c>
      <c r="H6" s="47">
        <v>124053</v>
      </c>
      <c r="I6" s="47">
        <v>123438</v>
      </c>
      <c r="J6" s="47">
        <v>124979</v>
      </c>
      <c r="K6" s="47">
        <v>124122.3</v>
      </c>
      <c r="L6" s="47">
        <v>123856</v>
      </c>
      <c r="M6" s="47">
        <v>126957</v>
      </c>
      <c r="N6" s="47">
        <v>126127</v>
      </c>
      <c r="O6" s="47">
        <v>31350</v>
      </c>
      <c r="P6" s="47">
        <v>0</v>
      </c>
      <c r="Q6" s="47">
        <v>0</v>
      </c>
      <c r="R6" s="47">
        <v>0</v>
      </c>
      <c r="S6" s="47">
        <v>0</v>
      </c>
      <c r="T6" s="47">
        <v>0</v>
      </c>
      <c r="U6" s="47">
        <v>0</v>
      </c>
      <c r="V6" s="47">
        <v>0</v>
      </c>
      <c r="W6" s="47">
        <v>0</v>
      </c>
      <c r="X6" s="47">
        <v>0</v>
      </c>
      <c r="Y6" s="47">
        <v>0</v>
      </c>
      <c r="Z6" s="47">
        <v>0</v>
      </c>
      <c r="AA6" s="47">
        <v>0</v>
      </c>
      <c r="AB6" s="47">
        <v>0</v>
      </c>
      <c r="AC6" s="47">
        <v>0</v>
      </c>
      <c r="AD6" s="44"/>
    </row>
    <row r="7" spans="1:30" x14ac:dyDescent="0.3">
      <c r="B7" s="48" t="s">
        <v>97</v>
      </c>
      <c r="C7" s="46" t="s">
        <v>98</v>
      </c>
      <c r="D7" s="42">
        <v>12616</v>
      </c>
      <c r="E7" s="42">
        <v>6810</v>
      </c>
      <c r="F7" s="42">
        <v>7029</v>
      </c>
      <c r="G7" s="42">
        <v>8603</v>
      </c>
      <c r="H7" s="47">
        <v>9765</v>
      </c>
      <c r="I7" s="47">
        <v>6494</v>
      </c>
      <c r="J7" s="47">
        <v>8617</v>
      </c>
      <c r="K7" s="47">
        <v>394</v>
      </c>
      <c r="L7" s="47">
        <v>9429</v>
      </c>
      <c r="M7" s="47">
        <v>419</v>
      </c>
      <c r="N7" s="47">
        <v>248</v>
      </c>
      <c r="O7" s="47">
        <v>1880</v>
      </c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>
        <v>100000</v>
      </c>
      <c r="E8" s="42">
        <v>100000</v>
      </c>
      <c r="F8" s="42">
        <v>100000</v>
      </c>
      <c r="G8" s="42">
        <v>99000</v>
      </c>
      <c r="H8" s="47">
        <v>103601</v>
      </c>
      <c r="I8" s="47">
        <v>90229</v>
      </c>
      <c r="J8" s="47">
        <v>91499</v>
      </c>
      <c r="K8" s="47">
        <v>89921.600000000006</v>
      </c>
      <c r="L8" s="47">
        <v>87159</v>
      </c>
      <c r="M8" s="47">
        <v>94975</v>
      </c>
      <c r="N8" s="47">
        <v>92181</v>
      </c>
      <c r="O8" s="47">
        <v>21745.260000000002</v>
      </c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>
        <v>9401</v>
      </c>
      <c r="J9" s="47">
        <v>10016</v>
      </c>
      <c r="K9" s="47">
        <v>10738</v>
      </c>
      <c r="L9" s="47">
        <v>9019</v>
      </c>
      <c r="M9" s="47">
        <v>8661</v>
      </c>
      <c r="N9" s="47">
        <v>10706</v>
      </c>
      <c r="O9" s="47">
        <v>2245.9700000000003</v>
      </c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>
        <v>1049</v>
      </c>
      <c r="J10" s="47">
        <v>3750</v>
      </c>
      <c r="K10" s="47">
        <v>5780.6</v>
      </c>
      <c r="L10" s="47">
        <v>5341</v>
      </c>
      <c r="M10" s="47"/>
      <c r="N10" s="47">
        <v>8417</v>
      </c>
      <c r="O10" s="47">
        <v>1790.08</v>
      </c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>
        <v>0</v>
      </c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11.313000000000001</v>
      </c>
      <c r="E14" s="51">
        <v>10.863</v>
      </c>
      <c r="F14" s="51">
        <v>10.228999999999999</v>
      </c>
      <c r="G14" s="51">
        <v>10.33</v>
      </c>
      <c r="H14" s="43">
        <v>10.47</v>
      </c>
      <c r="I14" s="43">
        <v>10.56</v>
      </c>
      <c r="J14" s="43">
        <v>10.52</v>
      </c>
      <c r="K14" s="43">
        <v>10.69</v>
      </c>
      <c r="L14" s="43">
        <v>10.33</v>
      </c>
      <c r="M14" s="43">
        <v>10.15</v>
      </c>
      <c r="N14" s="43">
        <v>10.112</v>
      </c>
      <c r="O14" s="43">
        <v>10.525559534998298</v>
      </c>
      <c r="P14" s="43">
        <v>0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86326</v>
      </c>
      <c r="E15" s="42">
        <v>75993</v>
      </c>
      <c r="F15" s="42">
        <v>75877</v>
      </c>
      <c r="G15" s="42">
        <v>92895</v>
      </c>
      <c r="H15" s="47">
        <v>88274</v>
      </c>
      <c r="I15" s="47">
        <f>11282+92954</f>
        <v>104236</v>
      </c>
      <c r="J15" s="47">
        <v>102088</v>
      </c>
      <c r="K15" s="47">
        <v>111946</v>
      </c>
      <c r="L15" s="47">
        <v>111272</v>
      </c>
      <c r="M15" s="47">
        <f>99314+4284</f>
        <v>103598</v>
      </c>
      <c r="N15" s="47">
        <v>106262</v>
      </c>
      <c r="O15" s="47">
        <v>37353</v>
      </c>
      <c r="P15" s="47">
        <v>0</v>
      </c>
      <c r="Q15" s="47">
        <v>0</v>
      </c>
      <c r="R15" s="47">
        <v>0</v>
      </c>
      <c r="S15" s="47">
        <v>0</v>
      </c>
      <c r="T15" s="47">
        <v>0</v>
      </c>
      <c r="U15" s="47">
        <v>0</v>
      </c>
      <c r="V15" s="47">
        <v>0</v>
      </c>
      <c r="W15" s="47">
        <v>0</v>
      </c>
      <c r="X15" s="47">
        <v>0</v>
      </c>
      <c r="Y15" s="47">
        <v>0</v>
      </c>
      <c r="Z15" s="47">
        <v>0</v>
      </c>
      <c r="AA15" s="47">
        <v>0</v>
      </c>
      <c r="AB15" s="47">
        <v>0</v>
      </c>
      <c r="AC15" s="47">
        <v>0</v>
      </c>
      <c r="AD15" s="44"/>
    </row>
    <row r="16" spans="1:30" x14ac:dyDescent="0.3">
      <c r="B16" s="45" t="s">
        <v>53</v>
      </c>
      <c r="C16" s="46" t="s">
        <v>105</v>
      </c>
      <c r="D16" s="42">
        <v>49763</v>
      </c>
      <c r="E16" s="42">
        <v>32098</v>
      </c>
      <c r="F16" s="42">
        <v>32328</v>
      </c>
      <c r="G16" s="42">
        <v>31413</v>
      </c>
      <c r="H16" s="47">
        <v>33837</v>
      </c>
      <c r="I16" s="47">
        <v>31909</v>
      </c>
      <c r="J16" s="47">
        <v>30677</v>
      </c>
      <c r="K16" s="47">
        <v>30767</v>
      </c>
      <c r="L16" s="47">
        <v>31213</v>
      </c>
      <c r="M16" s="47">
        <v>31655</v>
      </c>
      <c r="N16" s="47">
        <v>31175</v>
      </c>
      <c r="O16" s="47">
        <v>6536</v>
      </c>
      <c r="P16" s="47">
        <v>0</v>
      </c>
      <c r="Q16" s="47">
        <v>0</v>
      </c>
      <c r="R16" s="47">
        <v>0</v>
      </c>
      <c r="S16" s="47">
        <v>0</v>
      </c>
      <c r="T16" s="47">
        <v>0</v>
      </c>
      <c r="U16" s="47">
        <v>0</v>
      </c>
      <c r="V16" s="47">
        <v>0</v>
      </c>
      <c r="W16" s="47">
        <v>0</v>
      </c>
      <c r="X16" s="47">
        <v>0</v>
      </c>
      <c r="Y16" s="47">
        <v>0</v>
      </c>
      <c r="Z16" s="47">
        <v>0</v>
      </c>
      <c r="AA16" s="47">
        <v>0</v>
      </c>
      <c r="AB16" s="47">
        <v>0</v>
      </c>
      <c r="AC16" s="47">
        <v>0</v>
      </c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f>0.221*D6</f>
        <v>36199.578999999998</v>
      </c>
      <c r="E18" s="42">
        <f>0.221*E6</f>
        <v>26110.929</v>
      </c>
      <c r="F18" s="42">
        <f>0.221*F6</f>
        <v>27010.178</v>
      </c>
      <c r="G18" s="42">
        <f>0.221*G6</f>
        <v>27283.996999999999</v>
      </c>
      <c r="H18" s="43">
        <v>33654</v>
      </c>
      <c r="I18" s="43">
        <v>33743</v>
      </c>
      <c r="J18" s="43">
        <v>33476</v>
      </c>
      <c r="K18" s="43">
        <v>32784</v>
      </c>
      <c r="L18" s="43">
        <v>32700</v>
      </c>
      <c r="M18" s="43">
        <v>29793</v>
      </c>
      <c r="N18" s="43">
        <v>34686</v>
      </c>
      <c r="O18" s="43">
        <v>9336.27</v>
      </c>
      <c r="P18" s="43">
        <v>0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f>0.022*D6</f>
        <v>3603.578</v>
      </c>
      <c r="E19" s="42">
        <f>0.022*E6</f>
        <v>2599.2779999999998</v>
      </c>
      <c r="F19" s="42">
        <f>0.022*F6</f>
        <v>2688.7959999999998</v>
      </c>
      <c r="G19" s="42">
        <f>0.022*G6</f>
        <v>2716.0539999999996</v>
      </c>
      <c r="H19" s="47">
        <v>2587</v>
      </c>
      <c r="I19" s="47">
        <v>2594</v>
      </c>
      <c r="J19" s="47">
        <v>2514</v>
      </c>
      <c r="K19" s="47">
        <v>2488</v>
      </c>
      <c r="L19" s="47">
        <v>2485</v>
      </c>
      <c r="M19" s="47">
        <v>2522</v>
      </c>
      <c r="N19" s="47">
        <v>2459</v>
      </c>
      <c r="O19" s="47">
        <v>757.4</v>
      </c>
      <c r="P19" s="47">
        <v>0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112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112</v>
      </c>
      <c r="F23" s="59" t="s">
        <v>113</v>
      </c>
      <c r="G23" s="59" t="s">
        <v>113</v>
      </c>
      <c r="H23" s="59" t="s">
        <v>113</v>
      </c>
      <c r="I23" s="59" t="s">
        <v>113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112</v>
      </c>
      <c r="G25" s="59" t="s">
        <v>112</v>
      </c>
      <c r="H25" s="59" t="s">
        <v>112</v>
      </c>
      <c r="I25" s="59" t="s">
        <v>112</v>
      </c>
      <c r="J25" s="59" t="s">
        <v>112</v>
      </c>
      <c r="K25" s="59" t="s">
        <v>112</v>
      </c>
      <c r="L25" s="59" t="s">
        <v>112</v>
      </c>
      <c r="M25" s="59" t="s">
        <v>112</v>
      </c>
      <c r="N25" s="59" t="s">
        <v>112</v>
      </c>
      <c r="O25" s="59" t="s">
        <v>112</v>
      </c>
      <c r="P25" s="59" t="s">
        <v>112</v>
      </c>
      <c r="Q25" s="59" t="s">
        <v>112</v>
      </c>
      <c r="R25" s="59" t="s">
        <v>112</v>
      </c>
      <c r="S25" s="59" t="s">
        <v>112</v>
      </c>
      <c r="T25" s="59" t="s">
        <v>112</v>
      </c>
      <c r="U25" s="59" t="s">
        <v>112</v>
      </c>
      <c r="V25" s="59" t="s">
        <v>112</v>
      </c>
      <c r="W25" s="59" t="s">
        <v>112</v>
      </c>
      <c r="X25" s="59" t="s">
        <v>112</v>
      </c>
      <c r="Y25" s="59" t="s">
        <v>112</v>
      </c>
      <c r="Z25" s="59" t="s">
        <v>112</v>
      </c>
      <c r="AA25" s="59" t="s">
        <v>112</v>
      </c>
      <c r="AB25" s="59" t="s">
        <v>112</v>
      </c>
      <c r="AC25" s="59" t="s">
        <v>112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1482.6876963873001</v>
      </c>
      <c r="E33" s="47">
        <v>1069.4697076323</v>
      </c>
      <c r="F33" s="47">
        <v>3440</v>
      </c>
      <c r="G33" s="47">
        <v>3371</v>
      </c>
      <c r="H33" s="43">
        <v>3190</v>
      </c>
      <c r="I33" s="43">
        <v>2332</v>
      </c>
      <c r="J33" s="43">
        <v>3222</v>
      </c>
      <c r="K33" s="43">
        <v>3057</v>
      </c>
      <c r="L33" s="43">
        <v>2920</v>
      </c>
      <c r="M33" s="43">
        <v>3082</v>
      </c>
      <c r="N33" s="43">
        <v>3248</v>
      </c>
      <c r="O33" s="82">
        <v>900.6</v>
      </c>
      <c r="P33" s="63">
        <v>0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351</v>
      </c>
      <c r="K34" s="47">
        <v>369.8</v>
      </c>
      <c r="L34" s="47">
        <v>336</v>
      </c>
      <c r="M34" s="47">
        <v>349</v>
      </c>
      <c r="N34" s="47">
        <v>412</v>
      </c>
      <c r="O34" s="83">
        <v>118.10000000000001</v>
      </c>
      <c r="P34" s="64">
        <v>0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83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83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>
        <v>36.500405699999995</v>
      </c>
      <c r="G37" s="47">
        <v>36.870433049999995</v>
      </c>
      <c r="H37" s="47">
        <v>35.118524999999998</v>
      </c>
      <c r="I37" s="47">
        <v>35</v>
      </c>
      <c r="J37" s="47">
        <v>35</v>
      </c>
      <c r="K37" s="47">
        <v>35</v>
      </c>
      <c r="L37" s="47">
        <v>35</v>
      </c>
      <c r="M37" s="47"/>
      <c r="N37" s="47"/>
      <c r="O37" s="83">
        <v>0</v>
      </c>
      <c r="P37" s="64">
        <v>0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83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83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83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/>
      <c r="E41" s="47">
        <v>308.92492873125002</v>
      </c>
      <c r="F41" s="47">
        <v>319.56416846249999</v>
      </c>
      <c r="G41" s="47">
        <v>322.80378950624998</v>
      </c>
      <c r="H41" s="47">
        <v>320</v>
      </c>
      <c r="I41" s="47">
        <v>560</v>
      </c>
      <c r="J41" s="47">
        <v>413</v>
      </c>
      <c r="K41" s="47">
        <v>394.2</v>
      </c>
      <c r="L41" s="47">
        <v>349</v>
      </c>
      <c r="M41" s="47">
        <v>356</v>
      </c>
      <c r="N41" s="47">
        <v>373</v>
      </c>
      <c r="O41" s="83">
        <v>67.77</v>
      </c>
      <c r="P41" s="64">
        <v>0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(Pars!D56+(D_ZH_5!D14-Pars!D57)*Pars!D58)/Pars!D59</f>
        <v>0.28973480000000001</v>
      </c>
      <c r="E43" s="66">
        <f>(Pars!E56+(D_ZH_5!E14-Pars!E57)*Pars!E58)/Pars!E59</f>
        <v>0.28091451908548093</v>
      </c>
      <c r="F43" s="66">
        <f>(Pars!F56+(D_ZH_5!F14-Pars!F57)*Pars!F58)/Pars!F59</f>
        <v>0.26848786302427391</v>
      </c>
      <c r="G43" s="66">
        <f>(Pars!G56+(D_ZH_5!G14-Pars!G57)*Pars!G58)/Pars!G59</f>
        <v>0.27046718859843422</v>
      </c>
      <c r="H43" s="66">
        <f>(Pars!H56+(D_ZH_5!H14-Pars!H57)*Pars!H58)/Pars!H59</f>
        <v>0.27321090715637136</v>
      </c>
      <c r="I43" s="66">
        <f>(Pars!I56+(D_ZH_5!I14-Pars!I57)*Pars!I58)/Pars!I59</f>
        <v>0.27497462512687437</v>
      </c>
      <c r="J43" s="66">
        <f>(Pars!J56+(D_ZH_5!J14-Pars!J57)*Pars!J58)/Pars!J59</f>
        <v>0.27419035485787085</v>
      </c>
      <c r="K43" s="66">
        <f>(Pars!K56+(D_ZH_5!K14-Pars!K57)*Pars!K58)/Pars!K59</f>
        <v>0.27752205734559859</v>
      </c>
      <c r="L43" s="66">
        <f>(Pars!L56+(D_ZH_5!L14-Pars!L57)*Pars!L58)/Pars!L59</f>
        <v>0.27046583627330983</v>
      </c>
      <c r="M43" s="66">
        <f>(Pars!M56+(D_ZH_5!M14-Pars!M57)*Pars!M58)/Pars!M59</f>
        <v>0.26693759756162194</v>
      </c>
      <c r="N43" s="66">
        <f>(Pars!N56+(D_ZH_5!N14-Pars!N57)*Pars!N58)/Pars!N59</f>
        <v>0.26619253807461929</v>
      </c>
      <c r="O43" s="66">
        <f>(Pars!O56+(D_ZH_5!O14-Pars!O57)*Pars!O58)/Pars!O59</f>
        <v>0.27429794960852094</v>
      </c>
      <c r="P43" s="66">
        <f>(Pars!P56+(D_ZH_5!P14-Pars!P57)*Pars!P58)/Pars!P59</f>
        <v>6.799918400979188E-2</v>
      </c>
      <c r="Q43" s="66">
        <f>(Pars!Q56+(D_ZH_5!Q14-Pars!Q57)*Pars!Q58)/Pars!Q59</f>
        <v>6.7999116011491847E-2</v>
      </c>
      <c r="R43" s="66">
        <f>(Pars!R56+(D_ZH_5!R14-Pars!R57)*Pars!R58)/Pars!R59</f>
        <v>6.7999048013327817E-2</v>
      </c>
      <c r="S43" s="66">
        <f>(Pars!S56+(D_ZH_5!S14-Pars!S57)*Pars!S58)/Pars!S59</f>
        <v>6.7998980015299776E-2</v>
      </c>
      <c r="T43" s="66">
        <f>(Pars!T56+(D_ZH_5!T14-Pars!T57)*Pars!T58)/Pars!T59</f>
        <v>6.7998980015299776E-2</v>
      </c>
      <c r="U43" s="66">
        <f>(Pars!U56+(D_ZH_5!U14-Pars!U57)*Pars!U58)/Pars!U59</f>
        <v>6.7998980015299776E-2</v>
      </c>
      <c r="V43" s="66">
        <f>(Pars!V56+(D_ZH_5!V14-Pars!V57)*Pars!V58)/Pars!V59</f>
        <v>6.7998980015299776E-2</v>
      </c>
      <c r="W43" s="66">
        <f>(Pars!W56+(D_ZH_5!W14-Pars!W57)*Pars!W58)/Pars!W59</f>
        <v>6.7998980015299776E-2</v>
      </c>
      <c r="X43" s="66">
        <f>(Pars!X56+(D_ZH_5!X14-Pars!X57)*Pars!X58)/Pars!X59</f>
        <v>6.7998980015299776E-2</v>
      </c>
      <c r="Y43" s="66">
        <f>(Pars!Y56+(D_ZH_5!Y14-Pars!Y57)*Pars!Y58)/Pars!Y59</f>
        <v>6.7998980015299776E-2</v>
      </c>
      <c r="Z43" s="66">
        <f>(Pars!Z56+(D_ZH_5!Z14-Pars!Z57)*Pars!Z58)/Pars!Z59</f>
        <v>6.7998980015299776E-2</v>
      </c>
      <c r="AA43" s="66">
        <f>(Pars!AA56+(D_ZH_5!AA14-Pars!AA57)*Pars!AA58)/Pars!AA59</f>
        <v>6.7998980015299776E-2</v>
      </c>
      <c r="AB43" s="66">
        <f>(Pars!AB56+(D_ZH_5!AB14-Pars!AB57)*Pars!AB58)/Pars!AB59</f>
        <v>6.7998980015299776E-2</v>
      </c>
      <c r="AC43" s="66">
        <f>(Pars!AC56+(D_ZH_5!AC14-Pars!AC57)*Pars!AC58)/Pars!AC59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174013.65851906667</v>
      </c>
      <c r="E44" s="43">
        <f>Pars!E37*E43*E6</f>
        <v>121695.82155657845</v>
      </c>
      <c r="F44" s="43">
        <f>Pars!F37*F43*F6</f>
        <v>120318.18202470259</v>
      </c>
      <c r="G44" s="43">
        <f>Pars!G37*G43*G6</f>
        <v>122433.91491025526</v>
      </c>
      <c r="H44" s="43">
        <f>Pars!H37*H43*H6</f>
        <v>124272.98644005424</v>
      </c>
      <c r="I44" s="43">
        <f>Pars!I37*I43*I6</f>
        <v>124455.16518017411</v>
      </c>
      <c r="J44" s="43">
        <f>Pars!J37*J43*J6</f>
        <v>125649.46665253342</v>
      </c>
      <c r="K44" s="43">
        <f>Pars!K37*K43*K6</f>
        <v>126304.47888104783</v>
      </c>
      <c r="L44" s="43">
        <f>Pars!L37*L43*L6</f>
        <v>122828.99426404589</v>
      </c>
      <c r="M44" s="43">
        <f>Pars!M37*M43*M6</f>
        <v>124261.85410331308</v>
      </c>
      <c r="N44" s="43">
        <f>Pars!N37*N43*N6</f>
        <v>123104.90958237085</v>
      </c>
      <c r="O44" s="63">
        <f>Pars!O37*O43*O6</f>
        <v>31530.549307499481</v>
      </c>
      <c r="P44" s="63">
        <f>Pars!P37*P43*P6</f>
        <v>0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83526.556089152</v>
      </c>
      <c r="E45" s="43">
        <f>E44*Pars!E36/100</f>
        <v>58413.994347157655</v>
      </c>
      <c r="F45" s="43">
        <f>F44*Pars!F36/100</f>
        <v>57752.72737185724</v>
      </c>
      <c r="G45" s="43">
        <f>G44*Pars!G36/100</f>
        <v>58768.27915692253</v>
      </c>
      <c r="H45" s="43">
        <f>H44*Pars!H36/100</f>
        <v>59651.033491226037</v>
      </c>
      <c r="I45" s="43">
        <f>I44*Pars!I36/100</f>
        <v>59738.479286483576</v>
      </c>
      <c r="J45" s="43">
        <f>J44*Pars!J36/100</f>
        <v>60311.743993216049</v>
      </c>
      <c r="K45" s="43">
        <f>K44*Pars!K36/100</f>
        <v>60626.149862902967</v>
      </c>
      <c r="L45" s="43">
        <f>L44*Pars!L36/100</f>
        <v>58957.917246742029</v>
      </c>
      <c r="M45" s="43">
        <f>M44*Pars!M36/100</f>
        <v>59645.689969590276</v>
      </c>
      <c r="N45" s="43">
        <f>N44*Pars!N36/100</f>
        <v>59090.356599538012</v>
      </c>
      <c r="O45" s="63">
        <f>O44*Pars!O36/100</f>
        <v>15134.663667599751</v>
      </c>
      <c r="P45" s="63">
        <f>P44*Pars!P36/100</f>
        <v>0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19362.9218</v>
      </c>
      <c r="E46" s="43">
        <f>Pars!E40*E15</f>
        <v>17045.229899999998</v>
      </c>
      <c r="F46" s="43">
        <f>Pars!F40*F15</f>
        <v>17019.2111</v>
      </c>
      <c r="G46" s="43">
        <f>Pars!G40*G15</f>
        <v>20836.3485</v>
      </c>
      <c r="H46" s="43">
        <f>Pars!H40*H15</f>
        <v>19799.858199999999</v>
      </c>
      <c r="I46" s="43">
        <f>Pars!I40*I15</f>
        <v>23380.1348</v>
      </c>
      <c r="J46" s="43">
        <f>Pars!J40*J15</f>
        <v>22898.338400000001</v>
      </c>
      <c r="K46" s="43">
        <f>Pars!K40*K15</f>
        <v>25109.487799999999</v>
      </c>
      <c r="L46" s="43">
        <f>Pars!L40*L15</f>
        <v>24958.309600000001</v>
      </c>
      <c r="M46" s="43">
        <f>Pars!M40*M15</f>
        <v>23237.0314</v>
      </c>
      <c r="N46" s="43">
        <f>Pars!N40*N15</f>
        <v>23834.566599999998</v>
      </c>
      <c r="O46" s="63">
        <f>Pars!O40*O15</f>
        <v>8378.2778999999991</v>
      </c>
      <c r="P46" s="63">
        <f>Pars!P40*P15</f>
        <v>0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1472.9848000000002</v>
      </c>
      <c r="E47" s="43">
        <f>Pars!E41*E16</f>
        <v>950.10080000000005</v>
      </c>
      <c r="F47" s="43">
        <f>Pars!F41*F16</f>
        <v>956.90880000000004</v>
      </c>
      <c r="G47" s="43">
        <f>Pars!G41*G16</f>
        <v>929.8248000000001</v>
      </c>
      <c r="H47" s="43">
        <f>Pars!H41*H16</f>
        <v>1001.5752</v>
      </c>
      <c r="I47" s="43">
        <f>Pars!I41*I16</f>
        <v>944.50639999999999</v>
      </c>
      <c r="J47" s="43">
        <f>Pars!J41*J16</f>
        <v>908.03920000000005</v>
      </c>
      <c r="K47" s="43">
        <f>Pars!K41*K16</f>
        <v>910.70320000000004</v>
      </c>
      <c r="L47" s="43">
        <f>Pars!L41*L16</f>
        <v>923.90480000000002</v>
      </c>
      <c r="M47" s="43">
        <f>Pars!M41*M16</f>
        <v>936.98800000000006</v>
      </c>
      <c r="N47" s="43">
        <f>Pars!N41*N16</f>
        <v>922.78000000000009</v>
      </c>
      <c r="O47" s="63">
        <f>Pars!O41*O16</f>
        <v>193.46559999999999</v>
      </c>
      <c r="P47" s="63">
        <f>Pars!P41*P16</f>
        <v>0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2238.8584215448232</v>
      </c>
      <c r="E48" s="67">
        <f t="array" ref="E48">SUMPRODUCT(E33:E41,Pars!E44:E52)</f>
        <v>3159.523902181023</v>
      </c>
      <c r="F48" s="67">
        <f t="array" ref="F48">SUMPRODUCT(F33:F41,Pars!F44:F52)</f>
        <v>6881.2818322204994</v>
      </c>
      <c r="G48" s="67">
        <f t="array" ref="G48">SUMPRODUCT(G33:G41,Pars!G44:G52)</f>
        <v>6794.1928041732499</v>
      </c>
      <c r="H48" s="67">
        <f t="array" ref="H48">SUMPRODUCT(H33:H41,Pars!H44:H52)</f>
        <v>6502.5892009999998</v>
      </c>
      <c r="I48" s="67">
        <f t="array" ref="I48">SUMPRODUCT(I33:I41,Pars!I44:I52)</f>
        <v>6406.72</v>
      </c>
      <c r="J48" s="67">
        <f t="array" ref="J48">SUMPRODUCT(J33:J41,Pars!J44:J52)</f>
        <v>10065.81</v>
      </c>
      <c r="K48" s="67">
        <f t="array" ref="K48">SUMPRODUCT(K33:K41,Pars!K44:K52)</f>
        <v>9886.0319999999992</v>
      </c>
      <c r="L48" s="67">
        <f t="array" ref="L48">SUMPRODUCT(L33:L41,Pars!L44:L52)</f>
        <v>9159.4399999999987</v>
      </c>
      <c r="M48" s="67">
        <f t="array" ref="M48">SUMPRODUCT(M33:M41,Pars!M44:M52)</f>
        <v>9466.6299999999992</v>
      </c>
      <c r="N48" s="67">
        <f t="array" ref="N48">SUMPRODUCT(N33:N41,Pars!N44:N52)</f>
        <v>10349.76</v>
      </c>
      <c r="O48" s="67">
        <f t="array" ref="O48">SUMPRODUCT(O33:O41,Pars!O44:O52)</f>
        <v>2725.0449999999996</v>
      </c>
      <c r="P48" s="67">
        <f t="array" ref="P48">SUMPRODUCT(P33:P41,Pars!P44:P52)</f>
        <v>0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23074.765021544827</v>
      </c>
      <c r="E49" s="67">
        <f t="shared" ref="E49:AC49" si="1">SUM(E46:E48)</f>
        <v>21154.854602181022</v>
      </c>
      <c r="F49" s="67">
        <f t="shared" si="1"/>
        <v>24857.4017322205</v>
      </c>
      <c r="G49" s="67">
        <f t="shared" si="1"/>
        <v>28560.366104173248</v>
      </c>
      <c r="H49" s="67">
        <f t="shared" si="1"/>
        <v>27304.022600999997</v>
      </c>
      <c r="I49" s="67">
        <f t="shared" si="1"/>
        <v>30731.361199999999</v>
      </c>
      <c r="J49" s="67">
        <f t="shared" si="1"/>
        <v>33872.187599999997</v>
      </c>
      <c r="K49" s="67">
        <f t="shared" si="1"/>
        <v>35906.222999999998</v>
      </c>
      <c r="L49" s="67">
        <f t="shared" si="1"/>
        <v>35041.654399999999</v>
      </c>
      <c r="M49" s="67">
        <f t="shared" si="1"/>
        <v>33640.649400000002</v>
      </c>
      <c r="N49" s="67">
        <f t="shared" si="1"/>
        <v>35107.106599999999</v>
      </c>
      <c r="O49" s="67">
        <f t="shared" si="1"/>
        <v>11296.788499999999</v>
      </c>
      <c r="P49" s="67">
        <f t="shared" si="1"/>
        <v>0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60451.791067607177</v>
      </c>
      <c r="E50" s="70">
        <f t="shared" ref="E50:AC50" si="2">E45-E49</f>
        <v>37259.139744976637</v>
      </c>
      <c r="F50" s="70">
        <f t="shared" si="2"/>
        <v>32895.325639636736</v>
      </c>
      <c r="G50" s="70">
        <f t="shared" si="2"/>
        <v>30207.913052749282</v>
      </c>
      <c r="H50" s="70">
        <f t="shared" si="2"/>
        <v>32347.01089022604</v>
      </c>
      <c r="I50" s="70">
        <f t="shared" si="2"/>
        <v>29007.118086483577</v>
      </c>
      <c r="J50" s="70">
        <f t="shared" si="2"/>
        <v>26439.556393216051</v>
      </c>
      <c r="K50" s="70">
        <f t="shared" si="2"/>
        <v>24719.926862902968</v>
      </c>
      <c r="L50" s="70">
        <f t="shared" si="2"/>
        <v>23916.262846742029</v>
      </c>
      <c r="M50" s="70">
        <f t="shared" si="2"/>
        <v>26005.040569590274</v>
      </c>
      <c r="N50" s="70">
        <f t="shared" si="2"/>
        <v>23983.249999538013</v>
      </c>
      <c r="O50" s="70">
        <f t="shared" si="2"/>
        <v>3837.8751675997519</v>
      </c>
      <c r="P50" s="70">
        <f t="shared" si="2"/>
        <v>0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60451.791067607177</v>
      </c>
      <c r="E62" s="79">
        <f t="shared" ref="E62:AC62" si="4">E50+E61</f>
        <v>37259.139744976637</v>
      </c>
      <c r="F62" s="79">
        <f t="shared" si="4"/>
        <v>32895.325639636736</v>
      </c>
      <c r="G62" s="79">
        <f t="shared" si="4"/>
        <v>30207.913052749282</v>
      </c>
      <c r="H62" s="79">
        <f t="shared" si="4"/>
        <v>32347.01089022604</v>
      </c>
      <c r="I62" s="79">
        <f t="shared" si="4"/>
        <v>29007.118086483577</v>
      </c>
      <c r="J62" s="79">
        <f t="shared" si="4"/>
        <v>26439.556393216051</v>
      </c>
      <c r="K62" s="79">
        <f t="shared" si="4"/>
        <v>24719.926862902968</v>
      </c>
      <c r="L62" s="79">
        <f t="shared" si="4"/>
        <v>23916.262846742029</v>
      </c>
      <c r="M62" s="79">
        <f t="shared" si="4"/>
        <v>26005.040569590274</v>
      </c>
      <c r="N62" s="79">
        <f t="shared" si="4"/>
        <v>23983.249999538013</v>
      </c>
      <c r="O62" s="79">
        <f t="shared" si="4"/>
        <v>3837.8751675997519</v>
      </c>
      <c r="P62" s="79">
        <f t="shared" si="4"/>
        <v>0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20" priority="5" operator="containsText" text="Nein">
      <formula>NOT(ISERROR(SEARCH("Nein",D22)))</formula>
    </cfRule>
  </conditionalFormatting>
  <conditionalFormatting sqref="D31:AC31">
    <cfRule type="cellIs" dxfId="19" priority="6" operator="equal">
      <formula>"ok"</formula>
    </cfRule>
  </conditionalFormatting>
  <conditionalFormatting sqref="H5:AC12 H14:AC16 H18:AC19 H33:AC41">
    <cfRule type="cellIs" dxfId="18" priority="4" operator="greaterThan">
      <formula>0</formula>
    </cfRule>
  </conditionalFormatting>
  <conditionalFormatting sqref="H6:AC12">
    <cfRule type="expression" dxfId="17" priority="3">
      <formula>NOT(ISBLANK(H6))</formula>
    </cfRule>
  </conditionalFormatting>
  <conditionalFormatting sqref="H18:AC19">
    <cfRule type="expression" dxfId="16" priority="2">
      <formula>NOT(ISBLANK(H18))</formula>
    </cfRule>
  </conditionalFormatting>
  <conditionalFormatting sqref="H56:AC60">
    <cfRule type="cellIs" dxfId="15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A989D0B3-BB9A-48A1-B174-4CE50C5F0A0A}">
      <formula1>"Ja, Nein"</formula1>
    </dataValidation>
  </dataValidation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008F-B01C-4586-95EC-4425E575839B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218</v>
      </c>
      <c r="D1" s="32"/>
      <c r="E1" s="32"/>
    </row>
    <row r="2" spans="1:30" x14ac:dyDescent="0.3">
      <c r="A2" s="30"/>
      <c r="B2" s="31" t="s">
        <v>86</v>
      </c>
      <c r="C2" s="33" t="s">
        <v>219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100000</v>
      </c>
      <c r="E5" s="42">
        <v>100000</v>
      </c>
      <c r="F5" s="42">
        <v>180046</v>
      </c>
      <c r="G5" s="42">
        <v>180046</v>
      </c>
      <c r="H5" s="43">
        <v>180046</v>
      </c>
      <c r="I5" s="43">
        <v>180046</v>
      </c>
      <c r="J5" s="43">
        <v>180046</v>
      </c>
      <c r="K5" s="43">
        <v>180045.97701149428</v>
      </c>
      <c r="L5" s="43">
        <v>180046</v>
      </c>
      <c r="M5" s="43">
        <v>180046</v>
      </c>
      <c r="N5" s="43">
        <v>180046</v>
      </c>
      <c r="O5" s="43">
        <v>180045.97701149428</v>
      </c>
      <c r="P5" s="43">
        <v>180046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96794</v>
      </c>
      <c r="E6" s="42">
        <v>99681</v>
      </c>
      <c r="F6" s="42">
        <v>146708</v>
      </c>
      <c r="G6" s="42">
        <v>171743</v>
      </c>
      <c r="H6" s="47">
        <v>164610</v>
      </c>
      <c r="I6" s="47">
        <v>195275</v>
      </c>
      <c r="J6" s="47">
        <v>205487</v>
      </c>
      <c r="K6" s="47">
        <v>201009.149</v>
      </c>
      <c r="L6" s="47">
        <v>197578</v>
      </c>
      <c r="M6" s="47">
        <v>201006</v>
      </c>
      <c r="N6" s="47">
        <v>194005</v>
      </c>
      <c r="O6" s="47">
        <v>189364.32120000001</v>
      </c>
      <c r="P6" s="47">
        <v>182660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0</v>
      </c>
      <c r="E7" s="42">
        <v>0</v>
      </c>
      <c r="F7" s="42">
        <v>0</v>
      </c>
      <c r="G7" s="42">
        <v>0</v>
      </c>
      <c r="H7" s="47">
        <v>0</v>
      </c>
      <c r="I7" s="47">
        <v>1836</v>
      </c>
      <c r="J7" s="47">
        <v>481</v>
      </c>
      <c r="K7" s="47">
        <v>172.09</v>
      </c>
      <c r="L7" s="47">
        <v>1435</v>
      </c>
      <c r="M7" s="47">
        <v>510</v>
      </c>
      <c r="N7" s="47">
        <v>663</v>
      </c>
      <c r="O7" s="47">
        <v>692.97</v>
      </c>
      <c r="P7" s="47">
        <v>719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>
        <v>0</v>
      </c>
      <c r="F8" s="42"/>
      <c r="G8" s="42">
        <v>1743</v>
      </c>
      <c r="H8" s="47">
        <v>7083</v>
      </c>
      <c r="I8" s="47">
        <v>22101</v>
      </c>
      <c r="J8" s="47">
        <v>31332</v>
      </c>
      <c r="K8" s="47">
        <v>36001.37000000001</v>
      </c>
      <c r="L8" s="47">
        <v>30670</v>
      </c>
      <c r="M8" s="47">
        <v>34081</v>
      </c>
      <c r="N8" s="47">
        <v>24132</v>
      </c>
      <c r="O8" s="47">
        <v>17034.54</v>
      </c>
      <c r="P8" s="47">
        <v>22209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>
        <v>2328</v>
      </c>
      <c r="I9" s="47">
        <v>3268</v>
      </c>
      <c r="J9" s="47">
        <v>0</v>
      </c>
      <c r="K9" s="47">
        <v>0</v>
      </c>
      <c r="L9" s="47">
        <v>0</v>
      </c>
      <c r="M9" s="47">
        <v>0</v>
      </c>
      <c r="N9" s="47">
        <v>0</v>
      </c>
      <c r="O9" s="47">
        <v>0</v>
      </c>
      <c r="P9" s="47">
        <v>0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>
        <v>5753</v>
      </c>
      <c r="I10" s="47">
        <v>7392</v>
      </c>
      <c r="J10" s="47">
        <v>5016</v>
      </c>
      <c r="K10" s="47">
        <v>4083.4100000000003</v>
      </c>
      <c r="L10" s="47">
        <v>4228</v>
      </c>
      <c r="M10" s="47">
        <v>4843</v>
      </c>
      <c r="N10" s="47">
        <v>7973</v>
      </c>
      <c r="O10" s="47">
        <v>5615.67</v>
      </c>
      <c r="P10" s="47">
        <v>7501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>
        <v>1852</v>
      </c>
      <c r="J11" s="47">
        <v>9144</v>
      </c>
      <c r="K11" s="47">
        <v>1589.2100000000003</v>
      </c>
      <c r="L11" s="47">
        <v>2125</v>
      </c>
      <c r="M11" s="47">
        <v>444</v>
      </c>
      <c r="N11" s="47">
        <v>959</v>
      </c>
      <c r="O11" s="47">
        <v>546.13</v>
      </c>
      <c r="P11" s="47">
        <v>1377</v>
      </c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13.048999999999999</v>
      </c>
      <c r="E14" s="51">
        <v>12.789</v>
      </c>
      <c r="F14" s="51">
        <v>12.446</v>
      </c>
      <c r="G14" s="51">
        <v>12.62</v>
      </c>
      <c r="H14" s="43">
        <v>11.75</v>
      </c>
      <c r="I14" s="43">
        <v>12.01</v>
      </c>
      <c r="J14" s="43">
        <v>11.55</v>
      </c>
      <c r="K14" s="43">
        <v>12.11</v>
      </c>
      <c r="L14" s="43">
        <v>12.32</v>
      </c>
      <c r="M14" s="43">
        <v>12.23</v>
      </c>
      <c r="N14" s="43">
        <v>12.534000000000001</v>
      </c>
      <c r="O14" s="43">
        <v>12.2845726246974</v>
      </c>
      <c r="P14" s="43">
        <v>12.09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120744</v>
      </c>
      <c r="E15" s="42">
        <v>113433</v>
      </c>
      <c r="F15" s="42">
        <v>122838</v>
      </c>
      <c r="G15" s="42">
        <v>141283</v>
      </c>
      <c r="H15" s="47">
        <v>116568</v>
      </c>
      <c r="I15" s="47">
        <f>141688+5750</f>
        <v>147438</v>
      </c>
      <c r="J15" s="47">
        <v>175288</v>
      </c>
      <c r="K15" s="47">
        <v>171022</v>
      </c>
      <c r="L15" s="47">
        <v>167119</v>
      </c>
      <c r="M15" s="47">
        <f>5492+177331</f>
        <v>182823</v>
      </c>
      <c r="N15" s="47">
        <v>184727</v>
      </c>
      <c r="O15" s="47">
        <v>201811.75769999999</v>
      </c>
      <c r="P15" s="47">
        <f>5599+172748</f>
        <v>178347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31585</v>
      </c>
      <c r="E16" s="42">
        <v>31632</v>
      </c>
      <c r="F16" s="42">
        <v>64154</v>
      </c>
      <c r="G16" s="42">
        <v>89136</v>
      </c>
      <c r="H16" s="47">
        <v>89204</v>
      </c>
      <c r="I16" s="47">
        <v>109850</v>
      </c>
      <c r="J16" s="47">
        <v>108663</v>
      </c>
      <c r="K16" s="47">
        <v>108547</v>
      </c>
      <c r="L16" s="47">
        <v>96131</v>
      </c>
      <c r="M16" s="47">
        <v>108015</v>
      </c>
      <c r="N16" s="47">
        <v>105548</v>
      </c>
      <c r="O16" s="47">
        <v>93861.630999999994</v>
      </c>
      <c r="P16" s="47">
        <f>87932</f>
        <v>87932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19142</v>
      </c>
      <c r="E18" s="42">
        <v>18281</v>
      </c>
      <c r="F18" s="42">
        <v>32221</v>
      </c>
      <c r="G18" s="42">
        <v>42085</v>
      </c>
      <c r="H18" s="43">
        <v>39399</v>
      </c>
      <c r="I18" s="43">
        <v>46718</v>
      </c>
      <c r="J18" s="43">
        <v>50863</v>
      </c>
      <c r="K18" s="43">
        <v>48992.549999999996</v>
      </c>
      <c r="L18" s="43">
        <v>48673</v>
      </c>
      <c r="M18" s="43">
        <v>44353</v>
      </c>
      <c r="N18" s="43">
        <v>47245</v>
      </c>
      <c r="O18" s="43">
        <v>46880.08</v>
      </c>
      <c r="P18" s="43">
        <v>45192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1337</v>
      </c>
      <c r="E19" s="42">
        <v>1362</v>
      </c>
      <c r="F19" s="42">
        <v>2177</v>
      </c>
      <c r="G19" s="42">
        <v>2615</v>
      </c>
      <c r="H19" s="47">
        <v>2600</v>
      </c>
      <c r="I19" s="47">
        <v>3036</v>
      </c>
      <c r="J19" s="47">
        <v>2939</v>
      </c>
      <c r="K19" s="47">
        <v>3267.04</v>
      </c>
      <c r="L19" s="47">
        <v>3027</v>
      </c>
      <c r="M19" s="47">
        <v>2926</v>
      </c>
      <c r="N19" s="47">
        <v>2939</v>
      </c>
      <c r="O19" s="47">
        <v>2962.4</v>
      </c>
      <c r="P19" s="47">
        <v>2923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112</v>
      </c>
      <c r="E23" s="59" t="s">
        <v>112</v>
      </c>
      <c r="F23" s="59" t="s">
        <v>112</v>
      </c>
      <c r="G23" s="59" t="s">
        <v>112</v>
      </c>
      <c r="H23" s="59" t="s">
        <v>112</v>
      </c>
      <c r="I23" s="59" t="s">
        <v>112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112</v>
      </c>
      <c r="K24" s="59" t="s">
        <v>112</v>
      </c>
      <c r="L24" s="59" t="s">
        <v>112</v>
      </c>
      <c r="M24" s="59" t="s">
        <v>112</v>
      </c>
      <c r="N24" s="59" t="s">
        <v>112</v>
      </c>
      <c r="O24" s="59" t="s">
        <v>112</v>
      </c>
      <c r="P24" s="59" t="s">
        <v>112</v>
      </c>
      <c r="Q24" s="59" t="s">
        <v>112</v>
      </c>
      <c r="R24" s="59" t="s">
        <v>112</v>
      </c>
      <c r="S24" s="59" t="s">
        <v>112</v>
      </c>
      <c r="T24" s="59" t="s">
        <v>112</v>
      </c>
      <c r="U24" s="59" t="s">
        <v>112</v>
      </c>
      <c r="V24" s="59" t="s">
        <v>112</v>
      </c>
      <c r="W24" s="59" t="s">
        <v>112</v>
      </c>
      <c r="X24" s="59" t="s">
        <v>112</v>
      </c>
      <c r="Y24" s="59" t="s">
        <v>112</v>
      </c>
      <c r="Z24" s="59" t="s">
        <v>112</v>
      </c>
      <c r="AA24" s="59" t="s">
        <v>112</v>
      </c>
      <c r="AB24" s="59" t="s">
        <v>112</v>
      </c>
      <c r="AC24" s="59" t="s">
        <v>112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1914</v>
      </c>
      <c r="E33" s="47">
        <v>1828</v>
      </c>
      <c r="F33" s="47">
        <v>2900</v>
      </c>
      <c r="G33" s="47">
        <v>3581</v>
      </c>
      <c r="H33" s="43">
        <v>2598</v>
      </c>
      <c r="I33" s="43">
        <v>4204</v>
      </c>
      <c r="J33" s="43">
        <v>3737</v>
      </c>
      <c r="K33" s="43">
        <v>3079.76</v>
      </c>
      <c r="L33" s="43">
        <v>2977</v>
      </c>
      <c r="M33" s="43">
        <v>3751</v>
      </c>
      <c r="N33" s="43">
        <v>3073</v>
      </c>
      <c r="O33" s="82">
        <v>2750.453768071452</v>
      </c>
      <c r="P33" s="63">
        <v>3739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794</v>
      </c>
      <c r="K34" s="47">
        <v>591.61103349135328</v>
      </c>
      <c r="L34" s="47">
        <v>457</v>
      </c>
      <c r="M34" s="47">
        <v>666</v>
      </c>
      <c r="N34" s="47">
        <v>607</v>
      </c>
      <c r="O34" s="83">
        <v>571.97767440379744</v>
      </c>
      <c r="P34" s="64">
        <v>767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83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83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83">
        <v>0</v>
      </c>
      <c r="P37" s="64">
        <v>4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83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83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83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172</v>
      </c>
      <c r="E41" s="47">
        <v>219</v>
      </c>
      <c r="F41" s="47">
        <v>709</v>
      </c>
      <c r="G41" s="47">
        <v>875</v>
      </c>
      <c r="H41" s="47">
        <v>635</v>
      </c>
      <c r="I41" s="47">
        <v>1076</v>
      </c>
      <c r="J41" s="47">
        <v>536</v>
      </c>
      <c r="K41" s="47">
        <v>583.10714463894055</v>
      </c>
      <c r="L41" s="47">
        <v>536</v>
      </c>
      <c r="M41" s="47">
        <v>372</v>
      </c>
      <c r="N41" s="47">
        <v>438</v>
      </c>
      <c r="O41" s="83">
        <v>541.93352922173995</v>
      </c>
      <c r="P41" s="64">
        <v>697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(Pars!D56+(D_ZH_6!D14-Pars!D57)*Pars!D58)/Pars!D59</f>
        <v>0.32376039999999995</v>
      </c>
      <c r="E43" s="66">
        <f>(Pars!E56+(D_ZH_6!E14-Pars!E57)*Pars!E58)/Pars!E59</f>
        <v>0.31866408133591867</v>
      </c>
      <c r="F43" s="66">
        <f>(Pars!F56+(D_ZH_6!F14-Pars!F57)*Pars!F58)/Pars!F59</f>
        <v>0.31194097611804772</v>
      </c>
      <c r="G43" s="66">
        <f>(Pars!G56+(D_ZH_6!G14-Pars!G57)*Pars!G58)/Pars!G59</f>
        <v>0.31535105394683816</v>
      </c>
      <c r="H43" s="66">
        <f>(Pars!H56+(D_ZH_6!H14-Pars!H57)*Pars!H58)/Pars!H59</f>
        <v>0.29829880680477278</v>
      </c>
      <c r="I43" s="66">
        <f>(Pars!I56+(D_ZH_6!I14-Pars!I57)*Pars!I58)/Pars!I59</f>
        <v>0.30339448302758487</v>
      </c>
      <c r="J43" s="66">
        <f>(Pars!J56+(D_ZH_6!J14-Pars!J57)*Pars!J58)/Pars!J59</f>
        <v>0.29437823373059763</v>
      </c>
      <c r="K43" s="66">
        <f>(Pars!K56+(D_ZH_6!K14-Pars!K57)*Pars!K58)/Pars!K59</f>
        <v>0.30535386252296232</v>
      </c>
      <c r="L43" s="66">
        <f>(Pars!L56+(D_ZH_6!L14-Pars!L57)*Pars!L58)/Pars!L59</f>
        <v>0.30946952424380603</v>
      </c>
      <c r="M43" s="66">
        <f>(Pars!M56+(D_ZH_6!M14-Pars!M57)*Pars!M58)/Pars!M59</f>
        <v>0.3077052306529241</v>
      </c>
      <c r="N43" s="66">
        <f>(Pars!N56+(D_ZH_6!N14-Pars!N57)*Pars!N58)/Pars!N59</f>
        <v>0.31366326336736633</v>
      </c>
      <c r="O43" s="66">
        <f>(Pars!O56+(D_ZH_6!O14-Pars!O57)*Pars!O58)/Pars!O59</f>
        <v>0.30877422692757284</v>
      </c>
      <c r="P43" s="66">
        <f>(Pars!P56+(D_ZH_6!P14-Pars!P57)*Pars!P58)/Pars!P59</f>
        <v>0.3049603404759143</v>
      </c>
      <c r="Q43" s="66">
        <f>(Pars!Q56+(D_ZH_6!Q14-Pars!Q57)*Pars!Q58)/Pars!Q59</f>
        <v>6.7999116011491847E-2</v>
      </c>
      <c r="R43" s="66">
        <f>(Pars!R56+(D_ZH_6!R14-Pars!R57)*Pars!R58)/Pars!R59</f>
        <v>6.7999048013327817E-2</v>
      </c>
      <c r="S43" s="66">
        <f>(Pars!S56+(D_ZH_6!S14-Pars!S57)*Pars!S58)/Pars!S59</f>
        <v>6.7998980015299776E-2</v>
      </c>
      <c r="T43" s="66">
        <f>(Pars!T56+(D_ZH_6!T14-Pars!T57)*Pars!T58)/Pars!T59</f>
        <v>6.7998980015299776E-2</v>
      </c>
      <c r="U43" s="66">
        <f>(Pars!U56+(D_ZH_6!U14-Pars!U57)*Pars!U58)/Pars!U59</f>
        <v>6.7998980015299776E-2</v>
      </c>
      <c r="V43" s="66">
        <f>(Pars!V56+(D_ZH_6!V14-Pars!V57)*Pars!V58)/Pars!V59</f>
        <v>6.7998980015299776E-2</v>
      </c>
      <c r="W43" s="66">
        <f>(Pars!W56+(D_ZH_6!W14-Pars!W57)*Pars!W58)/Pars!W59</f>
        <v>6.7998980015299776E-2</v>
      </c>
      <c r="X43" s="66">
        <f>(Pars!X56+(D_ZH_6!X14-Pars!X57)*Pars!X58)/Pars!X59</f>
        <v>6.7998980015299776E-2</v>
      </c>
      <c r="Y43" s="66">
        <f>(Pars!Y56+(D_ZH_6!Y14-Pars!Y57)*Pars!Y58)/Pars!Y59</f>
        <v>6.7998980015299776E-2</v>
      </c>
      <c r="Z43" s="66">
        <f>(Pars!Z56+(D_ZH_6!Z14-Pars!Z57)*Pars!Z58)/Pars!Z59</f>
        <v>6.7998980015299776E-2</v>
      </c>
      <c r="AA43" s="66">
        <f>(Pars!AA56+(D_ZH_6!AA14-Pars!AA57)*Pars!AA58)/Pars!AA59</f>
        <v>6.7998980015299776E-2</v>
      </c>
      <c r="AB43" s="66">
        <f>(Pars!AB56+(D_ZH_6!AB14-Pars!AB57)*Pars!AB58)/Pars!AB59</f>
        <v>6.7998980015299776E-2</v>
      </c>
      <c r="AC43" s="66">
        <f>(Pars!AC56+(D_ZH_6!AC14-Pars!AC57)*Pars!AC58)/Pars!AC59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114906.23524453332</v>
      </c>
      <c r="E44" s="43">
        <f>Pars!E37*E43*E6</f>
        <v>116470.76573603427</v>
      </c>
      <c r="F44" s="43">
        <f>Pars!F37*F43*F6</f>
        <v>167802.20132253066</v>
      </c>
      <c r="G44" s="43">
        <f>Pars!G37*G43*G6</f>
        <v>198584.23221263671</v>
      </c>
      <c r="H44" s="43">
        <f>Pars!H37*H43*H6</f>
        <v>180044.2108231567</v>
      </c>
      <c r="I44" s="43">
        <f>Pars!I37*I43*I6</f>
        <v>217232.97813510933</v>
      </c>
      <c r="J44" s="43">
        <f>Pars!J37*J43*J6</f>
        <v>221799.96708686414</v>
      </c>
      <c r="K44" s="43">
        <f>Pars!K37*K43*K6</f>
        <v>225056.04018188006</v>
      </c>
      <c r="L44" s="43">
        <f>Pars!L37*L43*L6</f>
        <v>224196.02209048995</v>
      </c>
      <c r="M44" s="43">
        <f>Pars!M37*M43*M6</f>
        <v>226785.52450627941</v>
      </c>
      <c r="N44" s="43">
        <f>Pars!N37*N43*N6</f>
        <v>223124.88516848165</v>
      </c>
      <c r="O44" s="63">
        <f>Pars!O37*O43*O6</f>
        <v>214393.01358271349</v>
      </c>
      <c r="P44" s="63">
        <f>Pars!P37*P43*P6</f>
        <v>204248.20456821186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55154.992917375996</v>
      </c>
      <c r="E45" s="43">
        <f>E44*Pars!E36/100</f>
        <v>55905.967553296454</v>
      </c>
      <c r="F45" s="43">
        <f>F44*Pars!F36/100</f>
        <v>80545.056634814726</v>
      </c>
      <c r="G45" s="43">
        <f>G44*Pars!G36/100</f>
        <v>95320.431462065608</v>
      </c>
      <c r="H45" s="43">
        <f>H44*Pars!H36/100</f>
        <v>86421.221195115228</v>
      </c>
      <c r="I45" s="43">
        <f>I44*Pars!I36/100</f>
        <v>104271.82950485247</v>
      </c>
      <c r="J45" s="43">
        <f>J44*Pars!J36/100</f>
        <v>106463.98420169478</v>
      </c>
      <c r="K45" s="43">
        <f>K44*Pars!K36/100</f>
        <v>108026.89928730243</v>
      </c>
      <c r="L45" s="43">
        <f>L44*Pars!L36/100</f>
        <v>107614.09060343516</v>
      </c>
      <c r="M45" s="43">
        <f>M44*Pars!M36/100</f>
        <v>108857.05176301413</v>
      </c>
      <c r="N45" s="43">
        <f>N44*Pars!N36/100</f>
        <v>107099.94488087119</v>
      </c>
      <c r="O45" s="63">
        <f>O44*Pars!O36/100</f>
        <v>102908.64651970248</v>
      </c>
      <c r="P45" s="63">
        <f>P44*Pars!P36/100</f>
        <v>98039.138192741681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27082.879199999999</v>
      </c>
      <c r="E46" s="43">
        <f>Pars!E40*E15</f>
        <v>25443.0219</v>
      </c>
      <c r="F46" s="43">
        <f>Pars!F40*F15</f>
        <v>27552.563399999999</v>
      </c>
      <c r="G46" s="43">
        <f>Pars!G40*G15</f>
        <v>31689.776900000001</v>
      </c>
      <c r="H46" s="43">
        <f>Pars!H40*H15</f>
        <v>26146.202399999998</v>
      </c>
      <c r="I46" s="43">
        <f>Pars!I40*I15</f>
        <v>33070.343399999998</v>
      </c>
      <c r="J46" s="43">
        <f>Pars!J40*J15</f>
        <v>39317.098400000003</v>
      </c>
      <c r="K46" s="43">
        <f>Pars!K40*K15</f>
        <v>38360.234600000003</v>
      </c>
      <c r="L46" s="43">
        <f>Pars!L40*L15</f>
        <v>37484.791700000002</v>
      </c>
      <c r="M46" s="43">
        <f>Pars!M40*M15</f>
        <v>41007.198900000003</v>
      </c>
      <c r="N46" s="43">
        <f>Pars!N40*N15</f>
        <v>41434.266100000001</v>
      </c>
      <c r="O46" s="63">
        <f>Pars!O40*O15</f>
        <v>45266.377252109996</v>
      </c>
      <c r="P46" s="63">
        <f>Pars!P40*P15</f>
        <v>40003.232100000001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934.91600000000005</v>
      </c>
      <c r="E47" s="43">
        <f>Pars!E41*E16</f>
        <v>936.30720000000008</v>
      </c>
      <c r="F47" s="43">
        <f>Pars!F41*F16</f>
        <v>1898.9584</v>
      </c>
      <c r="G47" s="43">
        <f>Pars!G41*G16</f>
        <v>2638.4256</v>
      </c>
      <c r="H47" s="43">
        <f>Pars!H41*H16</f>
        <v>2640.4384</v>
      </c>
      <c r="I47" s="43">
        <f>Pars!I41*I16</f>
        <v>3251.56</v>
      </c>
      <c r="J47" s="43">
        <f>Pars!J41*J16</f>
        <v>3216.4248000000002</v>
      </c>
      <c r="K47" s="43">
        <f>Pars!K41*K16</f>
        <v>3212.9911999999999</v>
      </c>
      <c r="L47" s="43">
        <f>Pars!L41*L16</f>
        <v>2845.4776000000002</v>
      </c>
      <c r="M47" s="43">
        <f>Pars!M41*M16</f>
        <v>3197.2440000000001</v>
      </c>
      <c r="N47" s="43">
        <f>Pars!N41*N16</f>
        <v>3124.2208000000001</v>
      </c>
      <c r="O47" s="63">
        <f>Pars!O41*O16</f>
        <v>2778.3042775999998</v>
      </c>
      <c r="P47" s="63">
        <f>Pars!P41*P16</f>
        <v>2602.7872000000002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3750.14</v>
      </c>
      <c r="E48" s="67">
        <f t="array" ref="E48">SUMPRODUCT(E33:E41,Pars!E44:E52)</f>
        <v>3855.28</v>
      </c>
      <c r="F48" s="67">
        <f t="array" ref="F48">SUMPRODUCT(F33:F41,Pars!F44:F52)</f>
        <v>7924</v>
      </c>
      <c r="G48" s="67">
        <f t="array" ref="G48">SUMPRODUCT(G33:G41,Pars!G44:G52)</f>
        <v>9782.3100000000013</v>
      </c>
      <c r="H48" s="67">
        <f t="array" ref="H48">SUMPRODUCT(H33:H41,Pars!H44:H52)</f>
        <v>7097.98</v>
      </c>
      <c r="I48" s="67">
        <f t="array" ref="I48">SUMPRODUCT(I33:I41,Pars!I44:I52)</f>
        <v>11728.04</v>
      </c>
      <c r="J48" s="67">
        <f t="array" ref="J48">SUMPRODUCT(J33:J41,Pars!J44:J52)</f>
        <v>15222.73</v>
      </c>
      <c r="K48" s="67">
        <f t="array" ref="K48">SUMPRODUCT(K33:K41,Pars!K44:K52)</f>
        <v>12707.073204234563</v>
      </c>
      <c r="L48" s="67">
        <f t="array" ref="L48">SUMPRODUCT(L33:L41,Pars!L44:L52)</f>
        <v>11146.6</v>
      </c>
      <c r="M48" s="67">
        <f t="array" ref="M48">SUMPRODUCT(M33:M41,Pars!M44:M52)</f>
        <v>13311.55</v>
      </c>
      <c r="N48" s="67">
        <f t="array" ref="N48">SUMPRODUCT(N33:N41,Pars!N44:N52)</f>
        <v>12105.060000000001</v>
      </c>
      <c r="O48" s="67">
        <f t="array" ref="O48">SUMPRODUCT(O33:O41,Pars!O44:O52)</f>
        <v>11833.338826465591</v>
      </c>
      <c r="P48" s="67">
        <f t="array" ref="P48">SUMPRODUCT(P33:P41,Pars!P44:P52)</f>
        <v>15805.88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31767.9352</v>
      </c>
      <c r="E49" s="67">
        <f t="shared" ref="E49:AC49" si="1">SUM(E46:E48)</f>
        <v>30234.609099999998</v>
      </c>
      <c r="F49" s="67">
        <f t="shared" si="1"/>
        <v>37375.521800000002</v>
      </c>
      <c r="G49" s="67">
        <f t="shared" si="1"/>
        <v>44110.512499999997</v>
      </c>
      <c r="H49" s="67">
        <f t="shared" si="1"/>
        <v>35884.620799999997</v>
      </c>
      <c r="I49" s="67">
        <f t="shared" si="1"/>
        <v>48049.943399999996</v>
      </c>
      <c r="J49" s="67">
        <f t="shared" si="1"/>
        <v>57756.253200000006</v>
      </c>
      <c r="K49" s="67">
        <f t="shared" si="1"/>
        <v>54280.299004234563</v>
      </c>
      <c r="L49" s="67">
        <f t="shared" si="1"/>
        <v>51476.869299999998</v>
      </c>
      <c r="M49" s="67">
        <f t="shared" si="1"/>
        <v>57515.992899999997</v>
      </c>
      <c r="N49" s="67">
        <f t="shared" si="1"/>
        <v>56663.546900000001</v>
      </c>
      <c r="O49" s="67">
        <f t="shared" si="1"/>
        <v>59878.020356175592</v>
      </c>
      <c r="P49" s="67">
        <f t="shared" si="1"/>
        <v>58411.899299999997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23387.057717375996</v>
      </c>
      <c r="E50" s="70">
        <f t="shared" ref="E50:AC50" si="2">E45-E49</f>
        <v>25671.358453296456</v>
      </c>
      <c r="F50" s="70">
        <f t="shared" si="2"/>
        <v>43169.534834814724</v>
      </c>
      <c r="G50" s="70">
        <f t="shared" si="2"/>
        <v>51209.918962065611</v>
      </c>
      <c r="H50" s="70">
        <f t="shared" si="2"/>
        <v>50536.600395115231</v>
      </c>
      <c r="I50" s="70">
        <f t="shared" si="2"/>
        <v>56221.886104852478</v>
      </c>
      <c r="J50" s="70">
        <f t="shared" si="2"/>
        <v>48707.731001694774</v>
      </c>
      <c r="K50" s="70">
        <f t="shared" si="2"/>
        <v>53746.600283067863</v>
      </c>
      <c r="L50" s="70">
        <f t="shared" si="2"/>
        <v>56137.221303435166</v>
      </c>
      <c r="M50" s="70">
        <f t="shared" si="2"/>
        <v>51341.058863014128</v>
      </c>
      <c r="N50" s="70">
        <f t="shared" si="2"/>
        <v>50436.397980871188</v>
      </c>
      <c r="O50" s="70">
        <f t="shared" si="2"/>
        <v>43030.626163526889</v>
      </c>
      <c r="P50" s="70">
        <f t="shared" si="2"/>
        <v>39627.238892741683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23387.057717375996</v>
      </c>
      <c r="E62" s="79">
        <f t="shared" ref="E62:AC62" si="4">E50+E61</f>
        <v>25671.358453296456</v>
      </c>
      <c r="F62" s="79">
        <f t="shared" si="4"/>
        <v>43169.534834814724</v>
      </c>
      <c r="G62" s="79">
        <f t="shared" si="4"/>
        <v>51209.918962065611</v>
      </c>
      <c r="H62" s="79">
        <f t="shared" si="4"/>
        <v>50536.600395115231</v>
      </c>
      <c r="I62" s="79">
        <f t="shared" si="4"/>
        <v>56221.886104852478</v>
      </c>
      <c r="J62" s="79">
        <f t="shared" si="4"/>
        <v>48707.731001694774</v>
      </c>
      <c r="K62" s="79">
        <f t="shared" si="4"/>
        <v>53746.600283067863</v>
      </c>
      <c r="L62" s="79">
        <f t="shared" si="4"/>
        <v>56137.221303435166</v>
      </c>
      <c r="M62" s="79">
        <f t="shared" si="4"/>
        <v>51341.058863014128</v>
      </c>
      <c r="N62" s="79">
        <f t="shared" si="4"/>
        <v>50436.397980871188</v>
      </c>
      <c r="O62" s="79">
        <f t="shared" si="4"/>
        <v>43030.626163526889</v>
      </c>
      <c r="P62" s="79">
        <f t="shared" si="4"/>
        <v>39627.238892741683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4" priority="5" operator="containsText" text="Nein">
      <formula>NOT(ISERROR(SEARCH("Nein",D22)))</formula>
    </cfRule>
  </conditionalFormatting>
  <conditionalFormatting sqref="D31:AC31">
    <cfRule type="cellIs" dxfId="13" priority="6" operator="equal">
      <formula>"ok"</formula>
    </cfRule>
  </conditionalFormatting>
  <conditionalFormatting sqref="H5:AC12 H14:AC16 H18:AC19 H33:AC41">
    <cfRule type="cellIs" dxfId="12" priority="4" operator="greaterThan">
      <formula>0</formula>
    </cfRule>
  </conditionalFormatting>
  <conditionalFormatting sqref="H6:AC12">
    <cfRule type="expression" dxfId="11" priority="3">
      <formula>NOT(ISBLANK(H6))</formula>
    </cfRule>
  </conditionalFormatting>
  <conditionalFormatting sqref="H18:AC19">
    <cfRule type="expression" dxfId="10" priority="2">
      <formula>NOT(ISBLANK(H18))</formula>
    </cfRule>
  </conditionalFormatting>
  <conditionalFormatting sqref="H56:AC60">
    <cfRule type="cellIs" dxfId="9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D31ACA20-F144-4EA7-98B2-A3D3BBDC479A}">
      <formula1>"Ja, Nein"</formula1>
    </dataValidation>
  </dataValidations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C24DC-A127-4633-A308-AEFDC59F03EF}">
  <sheetPr>
    <tabColor rgb="FF00B050"/>
  </sheetPr>
  <dimension ref="A1:AB157"/>
  <sheetViews>
    <sheetView showGridLines="0" topLeftCell="A14" zoomScale="90" zoomScaleNormal="90" workbookViewId="0">
      <selection activeCell="D11" sqref="D11:P11"/>
    </sheetView>
  </sheetViews>
  <sheetFormatPr baseColWidth="10" defaultColWidth="8.88671875" defaultRowHeight="14.4" x14ac:dyDescent="0.3"/>
  <cols>
    <col min="1" max="1" width="4.88671875" style="33" customWidth="1"/>
    <col min="2" max="2" width="46.44140625" style="33" customWidth="1"/>
    <col min="3" max="3" width="16.77734375" style="33" customWidth="1"/>
    <col min="4" max="4" width="10" style="33" customWidth="1"/>
    <col min="5" max="5" width="9.6640625" style="33" customWidth="1"/>
    <col min="6" max="6" width="11.109375" style="33" customWidth="1"/>
    <col min="7" max="7" width="11.6640625" style="33" customWidth="1"/>
    <col min="8" max="8" width="12.6640625" style="33" customWidth="1"/>
    <col min="9" max="9" width="10.88671875" style="33" customWidth="1"/>
    <col min="10" max="10" width="10.21875" style="33" customWidth="1"/>
    <col min="11" max="11" width="11" style="33" customWidth="1"/>
    <col min="12" max="12" width="10.5546875" style="33" customWidth="1"/>
    <col min="13" max="13" width="11.6640625" style="33" customWidth="1"/>
    <col min="14" max="14" width="9" style="33" customWidth="1"/>
    <col min="15" max="15" width="9.6640625" style="33" customWidth="1"/>
    <col min="16" max="16" width="10.21875" style="33" customWidth="1"/>
    <col min="17" max="19" width="6.88671875" style="33" customWidth="1"/>
    <col min="20" max="16384" width="8.88671875" style="33"/>
  </cols>
  <sheetData>
    <row r="1" spans="1:28" ht="23.25" customHeight="1" x14ac:dyDescent="0.3">
      <c r="A1" s="30"/>
      <c r="B1" s="31" t="s">
        <v>84</v>
      </c>
      <c r="C1" s="32" t="s">
        <v>220</v>
      </c>
      <c r="D1" s="32"/>
      <c r="E1" s="32" t="s">
        <v>221</v>
      </c>
    </row>
    <row r="2" spans="1:28" ht="20.399999999999999" x14ac:dyDescent="0.35">
      <c r="A2" s="30"/>
      <c r="B2" s="31" t="s">
        <v>86</v>
      </c>
      <c r="C2" s="33" t="s">
        <v>222</v>
      </c>
      <c r="E2" s="86"/>
      <c r="F2" s="86"/>
      <c r="G2" s="86"/>
      <c r="H2" s="86"/>
      <c r="I2" s="87"/>
      <c r="J2" s="87"/>
      <c r="K2" s="87"/>
      <c r="L2" s="87"/>
      <c r="M2" s="87"/>
      <c r="N2" s="87"/>
      <c r="O2" s="88"/>
      <c r="P2" s="88"/>
    </row>
    <row r="3" spans="1:28" x14ac:dyDescent="0.3">
      <c r="A3" s="30"/>
      <c r="B3" s="31" t="s">
        <v>89</v>
      </c>
      <c r="C3" s="110" t="s">
        <v>223</v>
      </c>
      <c r="D3" s="110"/>
      <c r="E3" s="110"/>
      <c r="I3" s="34"/>
      <c r="J3" s="34"/>
      <c r="K3" s="34"/>
      <c r="L3" s="34"/>
      <c r="M3" s="34"/>
      <c r="N3" s="34"/>
      <c r="O3" s="34"/>
      <c r="P3" s="34"/>
    </row>
    <row r="4" spans="1:28" x14ac:dyDescent="0.3">
      <c r="A4" s="30"/>
      <c r="B4" s="31" t="s">
        <v>90</v>
      </c>
      <c r="C4" s="110" t="s">
        <v>224</v>
      </c>
      <c r="D4" s="110"/>
      <c r="E4" s="110"/>
      <c r="I4" s="35"/>
      <c r="J4" s="35"/>
      <c r="K4" s="35"/>
      <c r="L4" s="35"/>
      <c r="M4" s="35"/>
      <c r="N4" s="35"/>
      <c r="O4" s="35"/>
      <c r="P4" s="35"/>
    </row>
    <row r="5" spans="1:28" x14ac:dyDescent="0.3">
      <c r="A5" s="30"/>
      <c r="B5" s="31" t="s">
        <v>91</v>
      </c>
      <c r="C5" s="110" t="s">
        <v>225</v>
      </c>
      <c r="D5" s="110"/>
      <c r="E5" s="110"/>
      <c r="I5" s="111"/>
      <c r="J5" s="111"/>
      <c r="K5" s="111"/>
      <c r="L5" s="111"/>
      <c r="M5" s="111"/>
      <c r="N5" s="111"/>
      <c r="O5" s="111"/>
      <c r="P5" s="111"/>
    </row>
    <row r="6" spans="1:28" x14ac:dyDescent="0.3">
      <c r="A6" s="30"/>
      <c r="B6" s="31"/>
      <c r="C6" s="112"/>
      <c r="D6" s="112"/>
      <c r="E6" s="112"/>
    </row>
    <row r="7" spans="1:28" ht="17.399999999999999" x14ac:dyDescent="0.3">
      <c r="A7" s="36" t="s">
        <v>226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</row>
    <row r="8" spans="1:28" x14ac:dyDescent="0.3">
      <c r="C8" s="37" t="s">
        <v>1</v>
      </c>
      <c r="D8" s="38">
        <v>2010</v>
      </c>
      <c r="E8" s="38">
        <v>2011</v>
      </c>
      <c r="F8" s="38">
        <v>2012</v>
      </c>
      <c r="G8" s="38">
        <v>2013</v>
      </c>
      <c r="H8" s="38">
        <v>2014</v>
      </c>
      <c r="I8" s="38">
        <v>2015</v>
      </c>
      <c r="J8" s="38">
        <v>2016</v>
      </c>
      <c r="K8" s="38">
        <v>2017</v>
      </c>
      <c r="L8" s="38">
        <v>2018</v>
      </c>
      <c r="M8" s="38">
        <v>2019</v>
      </c>
      <c r="N8" s="38">
        <v>2020</v>
      </c>
      <c r="O8" s="38">
        <v>2021</v>
      </c>
      <c r="P8" s="38">
        <v>2022</v>
      </c>
      <c r="Q8" s="38">
        <v>2023</v>
      </c>
      <c r="R8" s="38">
        <v>2024</v>
      </c>
      <c r="S8" s="38">
        <v>2025</v>
      </c>
      <c r="T8" s="38"/>
      <c r="U8" s="38"/>
      <c r="V8" s="38"/>
      <c r="W8" s="38"/>
      <c r="X8" s="38"/>
      <c r="Y8" s="38"/>
      <c r="Z8" s="38"/>
      <c r="AA8" s="38"/>
      <c r="AB8" s="38"/>
    </row>
    <row r="9" spans="1:28" ht="22.5" customHeight="1" x14ac:dyDescent="0.3">
      <c r="B9" s="40" t="s">
        <v>94</v>
      </c>
      <c r="C9" s="41" t="s">
        <v>95</v>
      </c>
      <c r="D9" s="42">
        <f xml:space="preserve"> 1*D_AG_1!D5 + 1*D_AG_2!D5 + 1*D_AG_3!D5 + 1*D_BE_1!D5 + 1*D_BE_2!D5 + 1*D_BE_3!D5 + 1*D_BS_1!D5 + 1*D_FR_1!D5 + 1*D_GE_1!D5 + 1*D_GL_1!D5 + 1*D_GR_1!D5 + 1*D_LU_1!D5 + 1*D_LU_2!D5 + 1*D_NE_1!D5 + 1*D_NE_2!D5 + D_SG_1!D5 + D_SG_2!D5 + D_SG_3!D5 + D_SO_1!D5 + D_TG_1!D5 + D_TI_1!D5 + D_VD_2!D5 + D_VS_1!D5 + D_VS_2!D5 + D_VS_3!D5 + D_ZH_1!D5 + D_ZH_2!D5 + D_ZH_3!D5 + D_ZH_4!D5 + D_ZH_5!D5 + D_ZH_6!D5</f>
        <v>3867227</v>
      </c>
      <c r="E9" s="42">
        <f xml:space="preserve"> 1*D_AG_1!E5 + 1*D_AG_2!E5 + 1*D_AG_3!E5 + 1*D_BE_1!E5 + 1*D_BE_2!E5 + 1*D_BE_3!E5 + 1*D_BS_1!E5 + 1*D_FR_1!E5 + 1*D_GE_1!E5 + 1*D_GL_1!E5 + 1*D_GR_1!E5 + 1*D_LU_1!E5 + 1*D_LU_2!E5 + 1*D_NE_1!E5 + 1*D_NE_2!E5 + D_SG_1!E5 + D_SG_2!E5 + D_SG_3!E5 + D_SO_1!E5 + D_TG_1!E5 + D_TI_1!E5 + D_VD_2!E5 + D_VS_1!E5 + D_VS_2!E5 + D_VS_3!E5 + D_ZH_1!E5 + D_ZH_2!E5 + D_ZH_3!E5 + D_ZH_4!E5 + D_ZH_5!E5 + D_ZH_6!E5</f>
        <v>3822227</v>
      </c>
      <c r="F9" s="42">
        <f xml:space="preserve"> 1*D_AG_1!F5 + 1*D_AG_2!F5 + 1*D_AG_3!F5 + 1*D_BE_1!F5 + 1*D_BE_2!F5 + 1*D_BE_3!F5 + 1*D_BS_1!F5 + 1*D_FR_1!F5 + 1*D_GE_1!F5 + 1*D_GL_1!F5 + 1*D_GR_1!F5 + 1*D_LU_1!F5 + 1*D_LU_2!F5 + 1*D_NE_1!F5 + 1*D_NE_2!F5 + D_SG_1!F5 + D_SG_2!F5 + D_SG_3!F5 + D_SO_1!F5 + D_TG_1!F5 + D_TI_1!F5 + D_VD_2!F5 + D_VS_1!F5 + D_VS_2!F5 + D_VS_3!F5 + D_ZH_1!F5 + D_ZH_2!F5 + D_ZH_3!F5 + D_ZH_4!F5 + D_ZH_5!F5 + D_ZH_6!F5</f>
        <v>3902273</v>
      </c>
      <c r="G9" s="42">
        <f xml:space="preserve"> 1*D_AG_1!G5 + 1*D_AG_2!G5 + 1*D_AG_3!G5 + 1*D_BE_1!G5 + 1*D_BE_2!G5 + 1*D_BE_3!G5 + 1*D_BS_1!G5 + 1*D_FR_1!G5 + 1*D_GE_1!G5 + 1*D_GL_1!G5 + 1*D_GR_1!G5 + 1*D_LU_1!G5 + 1*D_LU_2!G5 + 1*D_NE_1!G5 + 1*D_NE_2!G5 + D_SG_1!G5 + D_SG_2!G5 + D_SG_3!G5 + D_SO_1!G5 + D_TG_1!G5 + D_TI_1!G5 + D_VD_2!G5 + D_VS_1!G5 + D_VS_2!G5 + D_VS_3!G5 + D_ZH_1!G5 + D_ZH_2!G5 + D_ZH_3!G5 + D_ZH_4!G5 + D_ZH_5!G5 + D_ZH_6!G5</f>
        <v>3867664</v>
      </c>
      <c r="H9" s="89">
        <f xml:space="preserve"> 1*D_AG_1!H5 + 1*D_AG_2!H5 + 1*D_AG_3!H5 + 1*D_BE_1!H5 + 1*D_BE_2!H5 + 1*D_BE_3!H5 + 1*D_BS_1!H5 + 1*D_FR_1!H5 + 1*D_GE_1!H5 + 1*D_GL_1!H5 + 1*D_GR_1!H5 + 1*D_LU_1!H5 + 1*D_LU_2!H5 + 1*D_NE_1!H5 + 1*D_NE_2!H5 + D_SG_1!H5 + D_SG_2!H5 + D_SG_3!H5 + D_SO_1!H5 + D_TG_1!H5 + D_TI_1!H5 + D_VD_2!H5 + D_VS_1!H5 + D_VS_2!H5 + D_VS_3!H5 + D_ZH_1!H5 + D_ZH_2!H5 + D_ZH_3!H5 + D_ZH_4!H5 + D_ZH_5!H5 + D_ZH_6!H5</f>
        <v>3887636</v>
      </c>
      <c r="I9" s="42">
        <f xml:space="preserve"> 1*D_AG_1!I5 + 1*D_AG_2!I5 + 1*D_AG_3!I5 + 1*D_BE_1!I5 + 1*D_BE_2!I5 + 1*D_BE_3!I5 + 1*D_BS_1!I5 + 1*D_FR_1!I5 + 1*D_GE_1!I5 + 1*D_GL_1!I5 + 1*D_GR_1!I5 + 1*D_LU_1!I5 + 1*D_LU_2!I5 + 1*D_NE_1!I5 + 1*D_NE_2!I5 + D_SG_1!I5 + D_SG_2!I5 + D_SG_3!I5 + D_SO_1!I5 + D_TG_1!I5 + D_TI_1!I5 + D_VD_2!I5 + D_VS_1!I5 + D_VS_2!I5 + D_VS_3!I5 + D_ZH_1!I5 + D_ZH_2!I5 + D_ZH_3!I5 + D_ZH_4!I5 + D_ZH_5!I5 + D_ZH_6!I5</f>
        <v>4056208</v>
      </c>
      <c r="J9" s="43">
        <f xml:space="preserve"> 1*D_AG_1!J5 + 1*D_AG_2!J5 + 1*D_AG_3!J5 + 1*D_BE_1!J5 + 1*D_BE_2!J5 + 1*D_BE_3!J5 + 1*D_BS_1!J5 + 1*D_FR_1!J5 + 1*D_GE_1!J5 + 1*D_GL_1!J5 + 1*D_GR_1!J5 + 1*D_LU_1!J5 + 1*D_LU_2!J5 + 1*D_NE_1!J5 + 1*D_NE_2!J5 + D_SG_1!J5 + D_SG_2!J5 + D_SG_3!J5 + D_SO_1!J5 + D_TG_1!J5 + D_TI_1!J5 + D_VD_2!J5 + D_VS_1!J5 + D_VS_2!J5 + D_VS_3!J5 + D_ZH_1!J5 + D_ZH_2!J5 + D_ZH_3!J5 + D_ZH_4!J5 + D_ZH_5!J5 + D_ZH_6!J5</f>
        <v>4025170</v>
      </c>
      <c r="K9" s="43">
        <f xml:space="preserve"> 1*D_AG_1!K5 + 1*D_AG_2!K5 + 1*D_AG_3!K5 + 1*D_BE_1!K5 + 1*D_BE_2!K5 + 1*D_BE_3!K5 + 1*D_BS_1!K5 + 1*D_FR_1!K5 + 1*D_GE_1!K5 + 1*D_GL_1!K5 + 1*D_GR_1!K5 + 1*D_LU_1!K5 + 1*D_LU_2!K5 + 1*D_NE_1!K5 + 1*D_NE_2!K5 + D_SG_1!K5 + D_SG_2!K5 + D_SG_3!K5 + D_SO_1!K5 + D_TG_1!K5 + D_TI_1!K5 + D_VD_2!K5 + D_VS_1!K5 + D_VS_2!K5 + D_VS_3!K5 + D_ZH_1!K5 + D_ZH_2!K5 + D_ZH_3!K5 + D_ZH_4!K5 + D_ZH_5!K5 + D_ZH_6!K5</f>
        <v>4036946.2269596658</v>
      </c>
      <c r="L9" s="43">
        <f xml:space="preserve"> 1*D_AG_1!L5 + 1*D_AG_2!L5 + 1*D_AG_3!L5 + 1*D_BE_1!L5 + 1*D_BE_2!L5 + 1*D_BE_3!L5 + 1*D_BS_1!L5 + 1*D_FR_1!L5 + 1*D_GE_1!L5 + 1*D_GL_1!L5 + 1*D_GR_1!L5 + 1*D_LU_1!L5 + 1*D_LU_2!L5 + 1*D_NE_1!L5 + 1*D_NE_2!L5 + D_SG_1!L5 + D_SG_2!L5 + D_SG_3!L5 + D_SO_1!L5 + D_TG_1!L5 + D_TI_1!L5 + D_VD_2!L5 + D_VS_1!L5 + D_VS_2!L5 + D_VS_3!L5 + D_ZH_1!L5 + D_ZH_2!L5 + D_ZH_3!L5 + D_ZH_4!L5 + D_ZH_5!L5 + D_ZH_6!L5</f>
        <v>4023585</v>
      </c>
      <c r="M9" s="43">
        <f xml:space="preserve"> 1*D_AG_1!M5 + 1*D_AG_2!M5 + 1*D_AG_3!M5 + 1*D_BE_1!M5 + 1*D_BE_2!M5 + 1*D_BE_3!M5 + 1*D_BS_1!M5 + 1*D_FR_1!M5 + 1*D_GE_1!M5 + 1*D_GL_1!M5 + 1*D_GR_1!M5 + 1*D_LU_1!M5 + 1*D_LU_2!M5 + 1*D_NE_1!M5 + 1*D_NE_2!M5 + D_SG_1!M5 + D_SG_2!M5 + D_SG_3!M5 + D_SO_1!M5 + D_TG_1!M5 + D_TI_1!M5 + D_VD_2!M5 + D_VS_1!M5 + D_VS_2!M5 + D_VS_3!M5 + D_ZH_1!M5 + D_ZH_2!M5 + D_ZH_3!M5 + D_ZH_4!M5 + D_ZH_5!M5 + D_ZH_6!M5</f>
        <v>4004324</v>
      </c>
      <c r="N9" s="89">
        <f xml:space="preserve"> 1*D_AG_1!N5 + 1*D_AG_2!N5 + 1*D_AG_3!N5 + 1*D_BE_1!N5 + 1*D_BE_2!N5 + 1*D_BE_3!N5 + 1*D_BS_1!N5 + 1*D_FR_1!N5 + 1*D_GE_1!N5 + 1*D_GL_1!N5 + 1*D_GR_1!N5 + 1*D_LU_1!N5 + 1*D_LU_2!N5 + 1*D_NE_1!N5 + 1*D_NE_2!N5 + D_SG_1!N5 + D_SG_2!N5 + D_SG_3!N5 + D_SO_1!N5 + D_TG_1!N5 + D_TI_1!N5 + D_VD_2!N5 + D_VS_1!N5 + D_VS_2!N5 + D_VS_3!N5 + D_ZH_1!N5 + D_ZH_2!N5 + D_ZH_3!N5 + D_ZH_4!N5 + D_ZH_5!N5 + D_ZH_6!N5</f>
        <v>3974689</v>
      </c>
      <c r="O9" s="43">
        <f xml:space="preserve"> 1*D_AG_1!O5 + 1*D_AG_2!O5 + 1*D_AG_3!O5 + 1*D_BE_1!O5 + 1*D_BE_2!O5 + 1*D_BE_3!O5 + 1*D_BS_1!O5 + 1*D_FR_1!O5 + 1*D_GE_1!O5 + 1*D_GL_1!O5 + 1*D_GR_1!O5 + 1*D_LU_1!O5 + 1*D_LU_2!O5 + 1*D_NE_1!O5 + 1*D_NE_2!O5 + D_SG_1!O5 + D_SG_2!O5 + D_SG_3!O5 + D_SO_1!O5 + D_TG_1!O5 + D_TI_1!O5 + D_VD_2!O5 + D_VS_1!O5 + D_VS_2!O5 + D_VS_3!O5 + D_ZH_1!O5 + D_ZH_2!O5 + D_ZH_3!O5 + D_ZH_4!O5 + D_ZH_5!O5 + D_ZH_6!O5</f>
        <v>3935144.7199008483</v>
      </c>
      <c r="P9" s="43">
        <f xml:space="preserve"> 1*D_AG_1!P5 + 1*D_AG_2!P5 + 1*D_AG_3!P5 + 1*D_BE_1!P5 + 1*D_BE_2!P5 + 1*D_BE_3!P5 + 1*D_BS_1!P5 + 1*D_FR_1!P5 + 1*D_GE_1!P5 + 1*D_GL_1!P5 + 1*D_GR_1!P5 + 1*D_LU_1!P5 + 1*D_LU_2!P5 + 1*D_NE_1!P5 + 1*D_NE_2!P5 + D_SG_1!P5 + D_SG_2!P5 + D_SG_3!P5 + D_SO_1!P5 + D_TG_1!P5 + D_TI_1!P5 + D_VD_2!P5 + D_VS_1!P5 + D_VS_2!P5 + D_VS_3!P5 + D_ZH_1!P5 + D_ZH_2!P5 + D_ZH_3!P5 + D_ZH_4!P5 + D_ZH_5!P5 + D_ZH_6!P5</f>
        <v>4057881</v>
      </c>
      <c r="Q9" s="43"/>
      <c r="R9" s="43"/>
      <c r="S9" s="43"/>
      <c r="T9" s="90"/>
      <c r="U9" s="90"/>
      <c r="V9" s="90"/>
      <c r="W9" s="90"/>
      <c r="X9" s="90"/>
      <c r="Y9" s="90"/>
      <c r="Z9" s="90"/>
      <c r="AA9" s="90"/>
      <c r="AB9" s="90"/>
    </row>
    <row r="10" spans="1:28" ht="19.5" customHeight="1" x14ac:dyDescent="0.3">
      <c r="B10" s="45" t="s">
        <v>276</v>
      </c>
      <c r="C10" s="46" t="s">
        <v>95</v>
      </c>
      <c r="D10" s="42">
        <f xml:space="preserve"> 1*D_AG_1!D6 + 1*D_AG_2!D6 + 1*D_AG_3!D6 + 1*D_BE_1!D6 + 1*D_BE_2!D6 + 1*D_BE_3!D6 + 1*D_BS_1!D6 + 1*D_FR_1!D6 + 1*D_GE_1!D6 + 1*D_GL_1!D6 + 1*D_GR_1!D6 + 1*D_LU_1!D6 + 1*D_LU_2!D6 + 1*D_NE_1!D6 + 1*D_NE_2!D6 + D_SG_1!D6 + D_SG_2!D6 + D_SG_3!D6 + D_SO_1!D6 + D_TG_1!D6 + D_TI_1!D6 + D_VD_2!D6 + D_VS_1!D6 + D_VS_2!D6 + D_VS_3!D6 + D_ZH_1!D6 + D_ZH_2!D6 + D_ZH_3!D6 + D_ZH_4!D6 + D_ZH_5!D6 + D_ZH_6!D6</f>
        <v>3732303</v>
      </c>
      <c r="E10" s="42">
        <f xml:space="preserve"> 1*D_AG_1!E6 + 1*D_AG_2!E6 + 1*D_AG_3!E6 + 1*D_BE_1!E6 + 1*D_BE_2!E6 + 1*D_BE_3!E6 + 1*D_BS_1!E6 + 1*D_FR_1!E6 + 1*D_GE_1!E6 + 1*D_GL_1!E6 + 1*D_GR_1!E6 + 1*D_LU_1!E6 + 1*D_LU_2!E6 + 1*D_NE_1!E6 + 1*D_NE_2!E6 + D_SG_1!E6 + D_SG_2!E6 + D_SG_3!E6 + D_SO_1!E6 + D_TG_1!E6 + D_TI_1!E6 + D_VD_2!E6 + D_VS_1!E6 + D_VS_2!E6 + D_VS_3!E6 + D_ZH_1!E6 + D_ZH_2!E6 + D_ZH_3!E6 + D_ZH_4!E6 + D_ZH_5!E6 + D_ZH_6!E6</f>
        <v>3748128</v>
      </c>
      <c r="F10" s="42">
        <f xml:space="preserve"> 1*D_AG_1!F6 + 1*D_AG_2!F6 + 1*D_AG_3!F6 + 1*D_BE_1!F6 + 1*D_BE_2!F6 + 1*D_BE_3!F6 + 1*D_BS_1!F6 + 1*D_FR_1!F6 + 1*D_GE_1!F6 + 1*D_GL_1!F6 + 1*D_GR_1!F6 + 1*D_LU_1!F6 + 1*D_LU_2!F6 + 1*D_NE_1!F6 + 1*D_NE_2!F6 + D_SG_1!F6 + D_SG_2!F6 + D_SG_3!F6 + D_SO_1!F6 + D_TG_1!F6 + D_TI_1!F6 + D_VD_2!F6 + D_VS_1!F6 + D_VS_2!F6 + D_VS_3!F6 + D_ZH_1!F6 + D_ZH_2!F6 + D_ZH_3!F6 + D_ZH_4!F6 + D_ZH_5!F6 + D_ZH_6!F6</f>
        <v>3869788</v>
      </c>
      <c r="G10" s="42">
        <f xml:space="preserve"> 1*D_AG_1!G6 + 1*D_AG_2!G6 + 1*D_AG_3!G6 + 1*D_BE_1!G6 + 1*D_BE_2!G6 + 1*D_BE_3!G6 + 1*D_BS_1!G6 + 1*D_FR_1!G6 + 1*D_GE_1!G6 + 1*D_GL_1!G6 + 1*D_GR_1!G6 + 1*D_LU_1!G6 + 1*D_LU_2!G6 + 1*D_NE_1!G6 + 1*D_NE_2!G6 + D_SG_1!G6 + D_SG_2!G6 + D_SG_3!G6 + D_SO_1!G6 + D_TG_1!G6 + D_TI_1!G6 + D_VD_2!G6 + D_VS_1!G6 + D_VS_2!G6 + D_VS_3!G6 + D_ZH_1!G6 + D_ZH_2!G6 + D_ZH_3!G6 + D_ZH_4!G6 + D_ZH_5!G6 + D_ZH_6!G6</f>
        <v>3794613</v>
      </c>
      <c r="H10" s="47">
        <f xml:space="preserve"> 1*D_AG_1!H6 + 1*D_AG_2!H6 + 1*D_AG_3!H6 + 1*D_BE_1!H6 + 1*D_BE_2!H6 + 1*D_BE_3!H6 + 1*D_BS_1!H6 + 1*D_FR_1!H6 + 1*D_GE_1!H6 + 1*D_GL_1!H6 + 1*D_GR_1!H6 + 1*D_LU_1!H6 + 1*D_LU_2!H6 + 1*D_NE_1!H6 + 1*D_NE_2!H6 + D_SG_1!H6 + D_SG_2!H6 + D_SG_3!H6 + D_SO_1!H6 + D_TG_1!H6 + D_TI_1!H6 + D_VD_2!H6 + D_VS_1!H6 + D_VS_2!H6 + D_VS_3!H6 + D_ZH_1!H6 + D_ZH_2!H6 + D_ZH_3!H6 + D_ZH_4!H6 + D_ZH_5!H6 + D_ZH_6!H6</f>
        <v>3816753</v>
      </c>
      <c r="I10" s="47">
        <f xml:space="preserve"> 1*D_AG_1!I6 + 1*D_AG_2!I6 + 1*D_AG_3!I6 + 1*D_BE_1!I6 + 1*D_BE_2!I6 + 1*D_BE_3!I6 + 1*D_BS_1!I6 + 1*D_FR_1!I6 + 1*D_GE_1!I6 + 1*D_GL_1!I6 + 1*D_GR_1!I6 + 1*D_LU_1!I6 + 1*D_LU_2!I6 + 1*D_NE_1!I6 + 1*D_NE_2!I6 + D_SG_1!I6 + D_SG_2!I6 + D_SG_3!I6 + D_SO_1!I6 + D_TG_1!I6 + D_TI_1!I6 + D_VD_2!I6 + D_VS_1!I6 + D_VS_2!I6 + D_VS_3!I6 + D_ZH_1!I6 + D_ZH_2!I6 + D_ZH_3!I6 + D_ZH_4!I6 + D_ZH_5!I6 + D_ZH_6!I6</f>
        <v>3889161</v>
      </c>
      <c r="J10" s="47">
        <f xml:space="preserve"> 1*D_AG_1!J6 + 1*D_AG_2!J6 + 1*D_AG_3!J6 + 1*D_BE_1!J6 + 1*D_BE_2!J6 + 1*D_BE_3!J6 + 1*D_BS_1!J6 + 1*D_FR_1!J6 + 1*D_GE_1!J6 + 1*D_GL_1!J6 + 1*D_GR_1!J6 + 1*D_LU_1!J6 + 1*D_LU_2!J6 + 1*D_NE_1!J6 + 1*D_NE_2!J6 + D_SG_1!J6 + D_SG_2!J6 + D_SG_3!J6 + D_SO_1!J6 + D_TG_1!J6 + D_TI_1!J6 + D_VD_2!J6 + D_VS_1!J6 + D_VS_2!J6 + D_VS_3!J6 + D_ZH_1!J6 + D_ZH_2!J6 + D_ZH_3!J6 + D_ZH_4!J6 + D_ZH_5!J6 + D_ZH_6!J6</f>
        <v>4010006</v>
      </c>
      <c r="K10" s="47">
        <f xml:space="preserve"> 1*D_AG_1!K6 + 1*D_AG_2!K6 + 1*D_AG_3!K6 + 1*D_BE_1!K6 + 1*D_BE_2!K6 + 1*D_BE_3!K6 + 1*D_BS_1!K6 + 1*D_FR_1!K6 + 1*D_GE_1!K6 + 1*D_GL_1!K6 + 1*D_GR_1!K6 + 1*D_LU_1!K6 + 1*D_LU_2!K6 + 1*D_NE_1!K6 + 1*D_NE_2!K6 + D_SG_1!K6 + D_SG_2!K6 + D_SG_3!K6 + D_SO_1!K6 + D_TG_1!K6 + D_TI_1!K6 + D_VD_2!K6 + D_VS_1!K6 + D_VS_2!K6 + D_VS_3!K6 + D_ZH_1!K6 + D_ZH_2!K6 + D_ZH_3!K6 + D_ZH_4!K6 + D_ZH_5!K6 + D_ZH_6!K6</f>
        <v>4011025.4168999996</v>
      </c>
      <c r="L10" s="47">
        <f xml:space="preserve"> 1*D_AG_1!L6 + 1*D_AG_2!L6 + 1*D_AG_3!L6 + 1*D_BE_1!L6 + 1*D_BE_2!L6 + 1*D_BE_3!L6 + 1*D_BS_1!L6 + 1*D_FR_1!L6 + 1*D_GE_1!L6 + 1*D_GL_1!L6 + 1*D_GR_1!L6 + 1*D_LU_1!L6 + 1*D_LU_2!L6 + 1*D_NE_1!L6 + 1*D_NE_2!L6 + D_SG_1!L6 + D_SG_2!L6 + D_SG_3!L6 + D_SO_1!L6 + D_TG_1!L6 + D_TI_1!L6 + D_VD_2!L6 + D_VS_1!L6 + D_VS_2!L6 + D_VS_3!L6 + D_ZH_1!L6 + D_ZH_2!L6 + D_ZH_3!L6 + D_ZH_4!L6 + D_ZH_5!L6 + D_ZH_6!L6</f>
        <v>4041685</v>
      </c>
      <c r="M10" s="47">
        <f xml:space="preserve"> 1*D_AG_1!M6 + 1*D_AG_2!M6 + 1*D_AG_3!M6 + 1*D_BE_1!M6 + 1*D_BE_2!M6 + 1*D_BE_3!M6 + 1*D_BS_1!M6 + 1*D_FR_1!M6 + 1*D_GE_1!M6 + 1*D_GL_1!M6 + 1*D_GR_1!M6 + 1*D_LU_1!M6 + 1*D_LU_2!M6 + 1*D_NE_1!M6 + 1*D_NE_2!M6 + D_SG_1!M6 + D_SG_2!M6 + D_SG_3!M6 + D_SO_1!M6 + D_TG_1!M6 + D_TI_1!M6 + D_VD_2!M6 + D_VS_1!M6 + D_VS_2!M6 + D_VS_3!M6 + D_ZH_1!M6 + D_ZH_2!M6 + D_ZH_3!M6 + D_ZH_4!M6 + D_ZH_5!M6 + D_ZH_6!M6</f>
        <v>4059376</v>
      </c>
      <c r="N10" s="47">
        <f xml:space="preserve"> 1*D_AG_1!N6 + 1*D_AG_2!N6 + 1*D_AG_3!N6 + 1*D_BE_1!N6 + 1*D_BE_2!N6 + 1*D_BE_3!N6 + 1*D_BS_1!N6 + 1*D_FR_1!N6 + 1*D_GE_1!N6 + 1*D_GL_1!N6 + 1*D_GR_1!N6 + 1*D_LU_1!N6 + 1*D_LU_2!N6 + 1*D_NE_1!N6 + 1*D_NE_2!N6 + D_SG_1!N6 + D_SG_2!N6 + D_SG_3!N6 + D_SO_1!N6 + D_TG_1!N6 + D_TI_1!N6 + D_VD_2!N6 + D_VS_1!N6 + D_VS_2!N6 + D_VS_3!N6 + D_ZH_1!N6 + D_ZH_2!N6 + D_ZH_3!N6 + D_ZH_4!N6 + D_ZH_5!N6 + D_ZH_6!N6</f>
        <v>4071644</v>
      </c>
      <c r="O10" s="47">
        <f xml:space="preserve"> 1*D_AG_1!O6 + 1*D_AG_2!O6 + 1*D_AG_3!O6 + 1*D_BE_1!O6 + 1*D_BE_2!O6 + 1*D_BE_3!O6 + 1*D_BS_1!O6 + 1*D_FR_1!O6 + 1*D_GE_1!O6 + 1*D_GL_1!O6 + 1*D_GR_1!O6 + 1*D_LU_1!O6 + 1*D_LU_2!O6 + 1*D_NE_1!O6 + 1*D_NE_2!O6 + D_SG_1!O6 + D_SG_2!O6 + D_SG_3!O6 + D_SO_1!O6 + D_TG_1!O6 + D_TI_1!O6 + D_VD_2!O6 + D_VS_1!O6 + D_VS_2!O6 + D_VS_3!O6 + D_ZH_1!O6 + D_ZH_2!O6 + D_ZH_3!O6 + D_ZH_4!O6 + D_ZH_5!O6 + D_ZH_6!O6</f>
        <v>4026665.0459200009</v>
      </c>
      <c r="P10" s="47">
        <f xml:space="preserve"> 1*D_AG_1!P6 + 1*D_AG_2!P6 + 1*D_AG_3!P6 + 1*D_BE_1!P6 + 1*D_BE_2!P6 + 1*D_BE_3!P6 + 1*D_BS_1!P6 + 1*D_FR_1!P6 + 1*D_GE_1!P6 + 1*D_GL_1!P6 + 1*D_GR_1!P6 + 1*D_LU_1!P6 + 1*D_LU_2!P6 + 1*D_NE_1!P6 + 1*D_NE_2!P6 + D_SG_1!P6 + D_SG_2!P6 + D_SG_3!P6 + D_SO_1!P6 + D_TG_1!P6 + D_TI_1!P6 + D_VD_2!P6 + D_VS_1!P6 + D_VS_2!P6 + D_VS_3!P6 + D_ZH_1!P6 + D_ZH_2!P6 + D_ZH_3!P6 + D_ZH_4!P6 + D_ZH_5!P6 + D_ZH_6!P6</f>
        <v>3854935</v>
      </c>
      <c r="Q10" s="47"/>
      <c r="R10" s="47"/>
      <c r="S10" s="47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18" customHeight="1" x14ac:dyDescent="0.3">
      <c r="B11" s="45"/>
      <c r="C11" s="46"/>
      <c r="D11" s="46"/>
      <c r="E11" s="46"/>
      <c r="F11" s="46"/>
      <c r="G11" s="46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x14ac:dyDescent="0.3">
      <c r="B12" s="48" t="s">
        <v>97</v>
      </c>
      <c r="C12" s="46" t="s">
        <v>98</v>
      </c>
      <c r="D12" s="47">
        <f xml:space="preserve"> 1*D_AG_1!D7 + 1*D_AG_2!D7 + 1*D_AG_3!D7 + 1*D_BE_1!D7 + 1*D_BE_2!D7 + 1*D_BE_3!D7 + 1*D_BS_1!D7 + 1*D_FR_1!D7 + 1*D_GE_1!D7 + 1*D_GL_1!D7 + 1*D_GR_1!D7 + 1*D_LU_1!D7 + 1*D_LU_2!D7 + 1*D_NE_1!D7 + 1*D_NE_2!D7 + D_SG_1!D7 + D_SG_2!D7 + D_SG_3!D7 + D_SO_1!D7 + D_TG_1!D7 + D_TI_1!D7 + D_VD_2!D7 + D_VS_1!D7 + D_VS_2!D7 + D_VS_3!D7 + D_ZH_1!D7 + D_ZH_2!D7 + D_ZH_3!D7 + D_ZH_4!D7 + D_ZH_5!D7 + D_ZH_6!D7</f>
        <v>181883</v>
      </c>
      <c r="E12" s="47">
        <f xml:space="preserve"> 1*D_AG_1!E7 + 1*D_AG_2!E7 + 1*D_AG_3!E7 + 1*D_BE_1!E7 + 1*D_BE_2!E7 + 1*D_BE_3!E7 + 1*D_BS_1!E7 + 1*D_FR_1!E7 + 1*D_GE_1!E7 + 1*D_GL_1!E7 + 1*D_GR_1!E7 + 1*D_LU_1!E7 + 1*D_LU_2!E7 + 1*D_NE_1!E7 + 1*D_NE_2!E7 + D_SG_1!E7 + D_SG_2!E7 + D_SG_3!E7 + D_SO_1!E7 + D_TG_1!E7 + D_TI_1!E7 + D_VD_2!E7 + D_VS_1!E7 + D_VS_2!E7 + D_VS_3!E7 + D_ZH_1!E7 + D_ZH_2!E7 + D_ZH_3!E7 + D_ZH_4!E7 + D_ZH_5!E7 + D_ZH_6!E7</f>
        <v>189378</v>
      </c>
      <c r="F12" s="47">
        <f xml:space="preserve"> 1*D_AG_1!F7 + 1*D_AG_2!F7 + 1*D_AG_3!F7 + 1*D_BE_1!F7 + 1*D_BE_2!F7 + 1*D_BE_3!F7 + 1*D_BS_1!F7 + 1*D_FR_1!F7 + 1*D_GE_1!F7 + 1*D_GL_1!F7 + 1*D_GR_1!F7 + 1*D_LU_1!F7 + 1*D_LU_2!F7 + 1*D_NE_1!F7 + 1*D_NE_2!F7 + D_SG_1!F7 + D_SG_2!F7 + D_SG_3!F7 + D_SO_1!F7 + D_TG_1!F7 + D_TI_1!F7 + D_VD_2!F7 + D_VS_1!F7 + D_VS_2!F7 + D_VS_3!F7 + D_ZH_1!F7 + D_ZH_2!F7 + D_ZH_3!F7 + D_ZH_4!F7 + D_ZH_5!F7 + D_ZH_6!F7</f>
        <v>181530</v>
      </c>
      <c r="G12" s="47">
        <f xml:space="preserve"> 1*D_AG_1!G7 + 1*D_AG_2!G7 + 1*D_AG_3!G7 + 1*D_BE_1!G7 + 1*D_BE_2!G7 + 1*D_BE_3!G7 + 1*D_BS_1!G7 + 1*D_FR_1!G7 + 1*D_GE_1!G7 + 1*D_GL_1!G7 + 1*D_GR_1!G7 + 1*D_LU_1!G7 + 1*D_LU_2!G7 + 1*D_NE_1!G7 + 1*D_NE_2!G7 + D_SG_1!G7 + D_SG_2!G7 + D_SG_3!G7 + D_SO_1!G7 + D_TG_1!G7 + D_TI_1!G7 + D_VD_2!G7 + D_VS_1!G7 + D_VS_2!G7 + D_VS_3!G7 + D_ZH_1!G7 + D_ZH_2!G7 + D_ZH_3!G7 + D_ZH_4!G7 + D_ZH_5!G7 + D_ZH_6!G7</f>
        <v>185512</v>
      </c>
      <c r="H12" s="47">
        <f xml:space="preserve"> 1*D_AG_1!H7 + 1*D_AG_2!H7 + 1*D_AG_3!H7 + 1*D_BE_1!H7 + 1*D_BE_2!H7 + 1*D_BE_3!H7 + 1*D_BS_1!H7 + 1*D_FR_1!H7 + 1*D_GE_1!H7 + 1*D_GL_1!H7 + 1*D_GR_1!H7 + 1*D_LU_1!H7 + 1*D_LU_2!H7 + 1*D_NE_1!H7 + 1*D_NE_2!H7 + D_SG_1!H7 + D_SG_2!H7 + D_SG_3!H7 + D_SO_1!H7 + D_TG_1!H7 + D_TI_1!H7 + D_VD_2!H7 + D_VS_1!H7 + D_VS_2!H7 + D_VS_3!H7 + D_ZH_1!H7 + D_ZH_2!H7 + D_ZH_3!H7 + D_ZH_4!H7 + D_ZH_5!H7 + D_ZH_6!H7</f>
        <v>158153</v>
      </c>
      <c r="I12" s="47">
        <f xml:space="preserve"> 1*D_AG_1!I7 + 1*D_AG_2!I7 + 1*D_AG_3!I7 + 1*D_BE_1!I7 + 1*D_BE_2!I7 + 1*D_BE_3!I7 + 1*D_BS_1!I7 + 1*D_FR_1!I7 + 1*D_GE_1!I7 + 1*D_GL_1!I7 + 1*D_GR_1!I7 + 1*D_LU_1!I7 + 1*D_LU_2!I7 + 1*D_NE_1!I7 + 1*D_NE_2!I7 + D_SG_1!I7 + D_SG_2!I7 + D_SG_3!I7 + D_SO_1!I7 + D_TG_1!I7 + D_TI_1!I7 + D_VD_2!I7 + D_VS_1!I7 + D_VS_2!I7 + D_VS_3!I7 + D_ZH_1!I7 + D_ZH_2!I7 + D_ZH_3!I7 + D_ZH_4!I7 + D_ZH_5!I7 + D_ZH_6!I7</f>
        <v>131076</v>
      </c>
      <c r="J12" s="47">
        <f xml:space="preserve"> 1*D_AG_1!J7 + 1*D_AG_2!J7 + 1*D_AG_3!J7 + 1*D_BE_1!J7 + 1*D_BE_2!J7 + 1*D_BE_3!J7 + 1*D_BS_1!J7 + 1*D_FR_1!J7 + 1*D_GE_1!J7 + 1*D_GL_1!J7 + 1*D_GR_1!J7 + 1*D_LU_1!J7 + 1*D_LU_2!J7 + 1*D_NE_1!J7 + 1*D_NE_2!J7 + D_SG_1!J7 + D_SG_2!J7 + D_SG_3!J7 + D_SO_1!J7 + D_TG_1!J7 + D_TI_1!J7 + D_VD_2!J7 + D_VS_1!J7 + D_VS_2!J7 + D_VS_3!J7 + D_ZH_1!J7 + D_ZH_2!J7 + D_ZH_3!J7 + D_ZH_4!J7 + D_ZH_5!J7 + D_ZH_6!J7</f>
        <v>105119</v>
      </c>
      <c r="K12" s="47">
        <f xml:space="preserve"> 1*D_AG_1!K7 + 1*D_AG_2!K7 + 1*D_AG_3!K7 + 1*D_BE_1!K7 + 1*D_BE_2!K7 + 1*D_BE_3!K7 + 1*D_BS_1!K7 + 1*D_FR_1!K7 + 1*D_GE_1!K7 + 1*D_GL_1!K7 + 1*D_GR_1!K7 + 1*D_LU_1!K7 + 1*D_LU_2!K7 + 1*D_NE_1!K7 + 1*D_NE_2!K7 + D_SG_1!K7 + D_SG_2!K7 + D_SG_3!K7 + D_SO_1!K7 + D_TG_1!K7 + D_TI_1!K7 + D_VD_2!K7 + D_VS_1!K7 + D_VS_2!K7 + D_VS_3!K7 + D_ZH_1!K7 + D_ZH_2!K7 + D_ZH_3!K7 + D_ZH_4!K7 + D_ZH_5!K7 + D_ZH_6!K7</f>
        <v>98771.62</v>
      </c>
      <c r="L12" s="47">
        <f xml:space="preserve"> 1*D_AG_1!L7 + 1*D_AG_2!L7 + 1*D_AG_3!L7 + 1*D_BE_1!L7 + 1*D_BE_2!L7 + 1*D_BE_3!L7 + 1*D_BS_1!L7 + 1*D_FR_1!L7 + 1*D_GE_1!L7 + 1*D_GL_1!L7 + 1*D_GR_1!L7 + 1*D_LU_1!L7 + 1*D_LU_2!L7 + 1*D_NE_1!L7 + 1*D_NE_2!L7 + D_SG_1!L7 + D_SG_2!L7 + D_SG_3!L7 + D_SO_1!L7 + D_TG_1!L7 + D_TI_1!L7 + D_VD_2!L7 + D_VS_1!L7 + D_VS_2!L7 + D_VS_3!L7 + D_ZH_1!L7 + D_ZH_2!L7 + D_ZH_3!L7 + D_ZH_4!L7 + D_ZH_5!L7 + D_ZH_6!L7</f>
        <v>109295</v>
      </c>
      <c r="M12" s="47">
        <f xml:space="preserve"> 1*D_AG_1!M7 + 1*D_AG_2!M7 + 1*D_AG_3!M7 + 1*D_BE_1!M7 + 1*D_BE_2!M7 + 1*D_BE_3!M7 + 1*D_BS_1!M7 + 1*D_FR_1!M7 + 1*D_GE_1!M7 + 1*D_GL_1!M7 + 1*D_GR_1!M7 + 1*D_LU_1!M7 + 1*D_LU_2!M7 + 1*D_NE_1!M7 + 1*D_NE_2!M7 + D_SG_1!M7 + D_SG_2!M7 + D_SG_3!M7 + D_SO_1!M7 + D_TG_1!M7 + D_TI_1!M7 + D_VD_2!M7 + D_VS_1!M7 + D_VS_2!M7 + D_VS_3!M7 + D_ZH_1!M7 + D_ZH_2!M7 + D_ZH_3!M7 + D_ZH_4!M7 + D_ZH_5!M7 + D_ZH_6!M7</f>
        <v>99109</v>
      </c>
      <c r="N12" s="47">
        <f xml:space="preserve"> 1*D_AG_1!N7 + 1*D_AG_2!N7 + 1*D_AG_3!N7 + 1*D_BE_1!N7 + 1*D_BE_2!N7 + 1*D_BE_3!N7 + 1*D_BS_1!N7 + 1*D_FR_1!N7 + 1*D_GE_1!N7 + 1*D_GL_1!N7 + 1*D_GR_1!N7 + 1*D_LU_1!N7 + 1*D_LU_2!N7 + 1*D_NE_1!N7 + 1*D_NE_2!N7 + D_SG_1!N7 + D_SG_2!N7 + D_SG_3!N7 + D_SO_1!N7 + D_TG_1!N7 + D_TI_1!N7 + D_VD_2!N7 + D_VS_1!N7 + D_VS_2!N7 + D_VS_3!N7 + D_ZH_1!N7 + D_ZH_2!N7 + D_ZH_3!N7 + D_ZH_4!N7 + D_ZH_5!N7 + D_ZH_6!N7</f>
        <v>99034</v>
      </c>
      <c r="O12" s="47">
        <f xml:space="preserve"> 1*D_AG_1!O7 + 1*D_AG_2!O7 + 1*D_AG_3!O7 + 1*D_BE_1!O7 + 1*D_BE_2!O7 + 1*D_BE_3!O7 + 1*D_BS_1!O7 + 1*D_FR_1!O7 + 1*D_GE_1!O7 + 1*D_GL_1!O7 + 1*D_GR_1!O7 + 1*D_LU_1!O7 + 1*D_LU_2!O7 + 1*D_NE_1!O7 + 1*D_NE_2!O7 + D_SG_1!O7 + D_SG_2!O7 + D_SG_3!O7 + D_SO_1!O7 + D_TG_1!O7 + D_TI_1!O7 + D_VD_2!O7 + D_VS_1!O7 + D_VS_2!O7 + D_VS_3!O7 + D_ZH_1!O7 + D_ZH_2!O7 + D_ZH_3!O7 + D_ZH_4!O7 + D_ZH_5!O7 + D_ZH_6!O7</f>
        <v>99035.86</v>
      </c>
      <c r="P12" s="47">
        <f xml:space="preserve"> 1*D_AG_1!P7 + 1*D_AG_2!P7 + 1*D_AG_3!P7 + 1*D_BE_1!P7 + 1*D_BE_2!P7 + 1*D_BE_3!P7 + 1*D_BS_1!P7 + 1*D_FR_1!P7 + 1*D_GE_1!P7 + 1*D_GL_1!P7 + 1*D_GR_1!P7 + 1*D_LU_1!P7 + 1*D_LU_2!P7 + 1*D_NE_1!P7 + 1*D_NE_2!P7 + D_SG_1!P7 + D_SG_2!P7 + D_SG_3!P7 + D_SO_1!P7 + D_TG_1!P7 + D_TI_1!P7 + D_VD_2!P7 + D_VS_1!P7 + D_VS_2!P7 + D_VS_3!P7 + D_ZH_1!P7 + D_ZH_2!P7 + D_ZH_3!P7 + D_ZH_4!P7 + D_ZH_5!P7 + D_ZH_6!P7</f>
        <v>96729</v>
      </c>
      <c r="Q12" s="47"/>
      <c r="R12" s="47"/>
      <c r="S12" s="47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x14ac:dyDescent="0.3">
      <c r="B13" s="48" t="s">
        <v>99</v>
      </c>
      <c r="C13" s="46" t="s">
        <v>95</v>
      </c>
      <c r="D13" s="47">
        <f xml:space="preserve"> 1*D_AG_1!D8 + 1*D_AG_2!D8 + 1*D_AG_3!D8 + 1*D_BE_1!D8 + 1*D_BE_2!D8 + 1*D_BE_3!D8 + 1*D_BS_1!D8 + 1*D_FR_1!D8 + 1*D_GE_1!D8 + 1*D_GL_1!D8 + 1*D_GR_1!D8 + 1*D_LU_1!D8 + 1*D_LU_2!D8 + 1*D_NE_1!D8 + 1*D_NE_2!D8 + D_SG_1!D8 + D_SG_2!D8 + D_SG_3!D8 + D_SO_1!D8 + D_TG_1!D8 + D_TI_1!D8 + D_VD_2!D8 + D_VS_1!D8 + D_VS_2!D8 + D_VS_3!D8 + D_ZH_1!D8 + D_ZH_2!D8 + D_ZH_3!D8 + D_ZH_4!D8 + D_ZH_5!D8 + D_ZH_6!D8</f>
        <v>209681</v>
      </c>
      <c r="E13" s="47">
        <f xml:space="preserve"> 1*D_AG_1!E8 + 1*D_AG_2!E8 + 1*D_AG_3!E8 + 1*D_BE_1!E8 + 1*D_BE_2!E8 + 1*D_BE_3!E8 + 1*D_BS_1!E8 + 1*D_FR_1!E8 + 1*D_GE_1!E8 + 1*D_GL_1!E8 + 1*D_GR_1!E8 + 1*D_LU_1!E8 + 1*D_LU_2!E8 + 1*D_NE_1!E8 + 1*D_NE_2!E8 + D_SG_1!E8 + D_SG_2!E8 + D_SG_3!E8 + D_SO_1!E8 + D_TG_1!E8 + D_TI_1!E8 + D_VD_2!E8 + D_VS_1!E8 + D_VS_2!E8 + D_VS_3!E8 + D_ZH_1!E8 + D_ZH_2!E8 + D_ZH_3!E8 + D_ZH_4!E8 + D_ZH_5!E8 + D_ZH_6!E8</f>
        <v>218876</v>
      </c>
      <c r="F13" s="47">
        <f xml:space="preserve"> 1*D_AG_1!F8 + 1*D_AG_2!F8 + 1*D_AG_3!F8 + 1*D_BE_1!F8 + 1*D_BE_2!F8 + 1*D_BE_3!F8 + 1*D_BS_1!F8 + 1*D_FR_1!F8 + 1*D_GE_1!F8 + 1*D_GL_1!F8 + 1*D_GR_1!F8 + 1*D_LU_1!F8 + 1*D_LU_2!F8 + 1*D_NE_1!F8 + 1*D_NE_2!F8 + D_SG_1!F8 + D_SG_2!F8 + D_SG_3!F8 + D_SO_1!F8 + D_TG_1!F8 + D_TI_1!F8 + D_VD_2!F8 + D_VS_1!F8 + D_VS_2!F8 + D_VS_3!F8 + D_ZH_1!F8 + D_ZH_2!F8 + D_ZH_3!F8 + D_ZH_4!F8 + D_ZH_5!F8 + D_ZH_6!F8</f>
        <v>235443</v>
      </c>
      <c r="G13" s="47">
        <f xml:space="preserve"> 1*D_AG_1!G8 + 1*D_AG_2!G8 + 1*D_AG_3!G8 + 1*D_BE_1!G8 + 1*D_BE_2!G8 + 1*D_BE_3!G8 + 1*D_BS_1!G8 + 1*D_FR_1!G8 + 1*D_GE_1!G8 + 1*D_GL_1!G8 + 1*D_GR_1!G8 + 1*D_LU_1!G8 + 1*D_LU_2!G8 + 1*D_NE_1!G8 + 1*D_NE_2!G8 + D_SG_1!G8 + D_SG_2!G8 + D_SG_3!G8 + D_SO_1!G8 + D_TG_1!G8 + D_TI_1!G8 + D_VD_2!G8 + D_VS_1!G8 + D_VS_2!G8 + D_VS_3!G8 + D_ZH_1!G8 + D_ZH_2!G8 + D_ZH_3!G8 + D_ZH_4!G8 + D_ZH_5!G8 + D_ZH_6!G8</f>
        <v>225827</v>
      </c>
      <c r="H13" s="47">
        <f xml:space="preserve"> 1*D_AG_1!H8 + 1*D_AG_2!H8 + 1*D_AG_3!H8 + 1*D_BE_1!H8 + 1*D_BE_2!H8 + 1*D_BE_3!H8 + 1*D_BS_1!H8 + 1*D_FR_1!H8 + 1*D_GE_1!H8 + 1*D_GL_1!H8 + 1*D_GR_1!H8 + 1*D_LU_1!H8 + 1*D_LU_2!H8 + 1*D_NE_1!H8 + 1*D_NE_2!H8 + D_SG_1!H8 + D_SG_2!H8 + D_SG_3!H8 + D_SO_1!H8 + D_TG_1!H8 + D_TI_1!H8 + D_VD_2!H8 + D_VS_1!H8 + D_VS_2!H8 + D_VS_3!H8 + D_ZH_1!H8 + D_ZH_2!H8 + D_ZH_3!H8 + D_ZH_4!H8 + D_ZH_5!H8 + D_ZH_6!H8</f>
        <v>236126</v>
      </c>
      <c r="I13" s="47">
        <f xml:space="preserve"> 1*D_AG_1!I8 + 1*D_AG_2!I8 + 1*D_AG_3!I8 + 1*D_BE_1!I8 + 1*D_BE_2!I8 + 1*D_BE_3!I8 + 1*D_BS_1!I8 + 1*D_FR_1!I8 + 1*D_GE_1!I8 + 1*D_GL_1!I8 + 1*D_GR_1!I8 + 1*D_LU_1!I8 + 1*D_LU_2!I8 + 1*D_NE_1!I8 + 1*D_NE_2!I8 + D_SG_1!I8 + D_SG_2!I8 + D_SG_3!I8 + D_SO_1!I8 + D_TG_1!I8 + D_TI_1!I8 + D_VD_2!I8 + D_VS_1!I8 + D_VS_2!I8 + D_VS_3!I8 + D_ZH_1!I8 + D_ZH_2!I8 + D_ZH_3!I8 + D_ZH_4!I8 + D_ZH_5!I8 + D_ZH_6!I8</f>
        <v>254015</v>
      </c>
      <c r="J13" s="47">
        <f xml:space="preserve"> 1*D_AG_1!J8 + 1*D_AG_2!J8 + 1*D_AG_3!J8 + 1*D_BE_1!J8 + 1*D_BE_2!J8 + 1*D_BE_3!J8 + 1*D_BS_1!J8 + 1*D_FR_1!J8 + 1*D_GE_1!J8 + 1*D_GL_1!J8 + 1*D_GR_1!J8 + 1*D_LU_1!J8 + 1*D_LU_2!J8 + 1*D_NE_1!J8 + 1*D_NE_2!J8 + D_SG_1!J8 + D_SG_2!J8 + D_SG_3!J8 + D_SO_1!J8 + D_TG_1!J8 + D_TI_1!J8 + D_VD_2!J8 + D_VS_1!J8 + D_VS_2!J8 + D_VS_3!J8 + D_ZH_1!J8 + D_ZH_2!J8 + D_ZH_3!J8 + D_ZH_4!J8 + D_ZH_5!J8 + D_ZH_6!J8</f>
        <v>285414</v>
      </c>
      <c r="K13" s="47">
        <f xml:space="preserve"> 1*D_AG_1!K8 + 1*D_AG_2!K8 + 1*D_AG_3!K8 + 1*D_BE_1!K8 + 1*D_BE_2!K8 + 1*D_BE_3!K8 + 1*D_BS_1!K8 + 1*D_FR_1!K8 + 1*D_GE_1!K8 + 1*D_GL_1!K8 + 1*D_GR_1!K8 + 1*D_LU_1!K8 + 1*D_LU_2!K8 + 1*D_NE_1!K8 + 1*D_NE_2!K8 + D_SG_1!K8 + D_SG_2!K8 + D_SG_3!K8 + D_SO_1!K8 + D_TG_1!K8 + D_TI_1!K8 + D_VD_2!K8 + D_VS_1!K8 + D_VS_2!K8 + D_VS_3!K8 + D_ZH_1!K8 + D_ZH_2!K8 + D_ZH_3!K8 + D_ZH_4!K8 + D_ZH_5!K8 + D_ZH_6!K8</f>
        <v>301369.81000000006</v>
      </c>
      <c r="L13" s="47">
        <f xml:space="preserve"> 1*D_AG_1!L8 + 1*D_AG_2!L8 + 1*D_AG_3!L8 + 1*D_BE_1!L8 + 1*D_BE_2!L8 + 1*D_BE_3!L8 + 1*D_BS_1!L8 + 1*D_FR_1!L8 + 1*D_GE_1!L8 + 1*D_GL_1!L8 + 1*D_GR_1!L8 + 1*D_LU_1!L8 + 1*D_LU_2!L8 + 1*D_NE_1!L8 + 1*D_NE_2!L8 + D_SG_1!L8 + D_SG_2!L8 + D_SG_3!L8 + D_SO_1!L8 + D_TG_1!L8 + D_TI_1!L8 + D_VD_2!L8 + D_VS_1!L8 + D_VS_2!L8 + D_VS_3!L8 + D_ZH_1!L8 + D_ZH_2!L8 + D_ZH_3!L8 + D_ZH_4!L8 + D_ZH_5!L8 + D_ZH_6!L8</f>
        <v>294325</v>
      </c>
      <c r="M13" s="47">
        <f xml:space="preserve"> 1*D_AG_1!M8 + 1*D_AG_2!M8 + 1*D_AG_3!M8 + 1*D_BE_1!M8 + 1*D_BE_2!M8 + 1*D_BE_3!M8 + 1*D_BS_1!M8 + 1*D_FR_1!M8 + 1*D_GE_1!M8 + 1*D_GL_1!M8 + 1*D_GR_1!M8 + 1*D_LU_1!M8 + 1*D_LU_2!M8 + 1*D_NE_1!M8 + 1*D_NE_2!M8 + D_SG_1!M8 + D_SG_2!M8 + D_SG_3!M8 + D_SO_1!M8 + D_TG_1!M8 + D_TI_1!M8 + D_VD_2!M8 + D_VS_1!M8 + D_VS_2!M8 + D_VS_3!M8 + D_ZH_1!M8 + D_ZH_2!M8 + D_ZH_3!M8 + D_ZH_4!M8 + D_ZH_5!M8 + D_ZH_6!M8</f>
        <v>305854</v>
      </c>
      <c r="N13" s="47">
        <f xml:space="preserve"> 1*D_AG_1!N8 + 1*D_AG_2!N8 + 1*D_AG_3!N8 + 1*D_BE_1!N8 + 1*D_BE_2!N8 + 1*D_BE_3!N8 + 1*D_BS_1!N8 + 1*D_FR_1!N8 + 1*D_GE_1!N8 + 1*D_GL_1!N8 + 1*D_GR_1!N8 + 1*D_LU_1!N8 + 1*D_LU_2!N8 + 1*D_NE_1!N8 + 1*D_NE_2!N8 + D_SG_1!N8 + D_SG_2!N8 + D_SG_3!N8 + D_SO_1!N8 + D_TG_1!N8 + D_TI_1!N8 + D_VD_2!N8 + D_VS_1!N8 + D_VS_2!N8 + D_VS_3!N8 + D_ZH_1!N8 + D_ZH_2!N8 + D_ZH_3!N8 + D_ZH_4!N8 + D_ZH_5!N8 + D_ZH_6!N8</f>
        <v>283413</v>
      </c>
      <c r="O13" s="47">
        <f xml:space="preserve"> 1*D_AG_1!O8 + 1*D_AG_2!O8 + 1*D_AG_3!O8 + 1*D_BE_1!O8 + 1*D_BE_2!O8 + 1*D_BE_3!O8 + 1*D_BS_1!O8 + 1*D_FR_1!O8 + 1*D_GE_1!O8 + 1*D_GL_1!O8 + 1*D_GR_1!O8 + 1*D_LU_1!O8 + 1*D_LU_2!O8 + 1*D_NE_1!O8 + 1*D_NE_2!O8 + D_SG_1!O8 + D_SG_2!O8 + D_SG_3!O8 + D_SO_1!O8 + D_TG_1!O8 + D_TI_1!O8 + D_VD_2!O8 + D_VS_1!O8 + D_VS_2!O8 + D_VS_3!O8 + D_ZH_1!O8 + D_ZH_2!O8 + D_ZH_3!O8 + D_ZH_4!O8 + D_ZH_5!O8 + D_ZH_6!O8</f>
        <v>196510.25000000003</v>
      </c>
      <c r="P13" s="47">
        <f xml:space="preserve"> 1*D_AG_1!P8 + 1*D_AG_2!P8 + 1*D_AG_3!P8 + 1*D_BE_1!P8 + 1*D_BE_2!P8 + 1*D_BE_3!P8 + 1*D_BS_1!P8 + 1*D_FR_1!P8 + 1*D_GE_1!P8 + 1*D_GL_1!P8 + 1*D_GR_1!P8 + 1*D_LU_1!P8 + 1*D_LU_2!P8 + 1*D_NE_1!P8 + 1*D_NE_2!P8 + D_SG_1!P8 + D_SG_2!P8 + D_SG_3!P8 + D_SO_1!P8 + D_TG_1!P8 + D_TI_1!P8 + D_VD_2!P8 + D_VS_1!P8 + D_VS_2!P8 + D_VS_3!P8 + D_ZH_1!P8 + D_ZH_2!P8 + D_ZH_3!P8 + D_ZH_4!P8 + D_ZH_5!P8 + D_ZH_6!P8</f>
        <v>189172</v>
      </c>
      <c r="Q13" s="47"/>
      <c r="R13" s="47"/>
      <c r="S13" s="47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x14ac:dyDescent="0.3">
      <c r="B14" s="48" t="s">
        <v>100</v>
      </c>
      <c r="C14" s="46" t="s">
        <v>95</v>
      </c>
      <c r="D14" s="47">
        <f xml:space="preserve"> 1*D_AG_1!D9 + 1*D_AG_2!D9 + 1*D_AG_3!D9 + 1*D_BE_1!D9 + 1*D_BE_2!D9 + 1*D_BE_3!D9 + 1*D_BS_1!D9 + 1*D_FR_1!D9 + 1*D_GE_1!D9 + 1*D_GL_1!D9 + 1*D_GR_1!D9 + 1*D_LU_1!D9 + 1*D_LU_2!D9 + 1*D_NE_1!D9 + 1*D_NE_2!D9 + D_SG_1!D9 + D_SG_2!D9 + D_SG_3!D9 + D_SO_1!D9 + D_TG_1!D9 + D_TI_1!D9 + D_VD_2!D9 + D_VS_1!D9 + D_VS_2!D9 + D_VS_3!D9 + D_ZH_1!D9 + D_ZH_2!D9 + D_ZH_3!D9 + D_ZH_4!D9 + D_ZH_5!D9 + D_ZH_6!D9</f>
        <v>13500</v>
      </c>
      <c r="E14" s="47">
        <f xml:space="preserve"> 1*D_AG_1!E9 + 1*D_AG_2!E9 + 1*D_AG_3!E9 + 1*D_BE_1!E9 + 1*D_BE_2!E9 + 1*D_BE_3!E9 + 1*D_BS_1!E9 + 1*D_FR_1!E9 + 1*D_GE_1!E9 + 1*D_GL_1!E9 + 1*D_GR_1!E9 + 1*D_LU_1!E9 + 1*D_LU_2!E9 + 1*D_NE_1!E9 + 1*D_NE_2!E9 + D_SG_1!E9 + D_SG_2!E9 + D_SG_3!E9 + D_SO_1!E9 + D_TG_1!E9 + D_TI_1!E9 + D_VD_2!E9 + D_VS_1!E9 + D_VS_2!E9 + D_VS_3!E9 + D_ZH_1!E9 + D_ZH_2!E9 + D_ZH_3!E9 + D_ZH_4!E9 + D_ZH_5!E9 + D_ZH_6!E9</f>
        <v>25986</v>
      </c>
      <c r="F14" s="47">
        <f xml:space="preserve"> 1*D_AG_1!F9 + 1*D_AG_2!F9 + 1*D_AG_3!F9 + 1*D_BE_1!F9 + 1*D_BE_2!F9 + 1*D_BE_3!F9 + 1*D_BS_1!F9 + 1*D_FR_1!F9 + 1*D_GE_1!F9 + 1*D_GL_1!F9 + 1*D_GR_1!F9 + 1*D_LU_1!F9 + 1*D_LU_2!F9 + 1*D_NE_1!F9 + 1*D_NE_2!F9 + D_SG_1!F9 + D_SG_2!F9 + D_SG_3!F9 + D_SO_1!F9 + D_TG_1!F9 + D_TI_1!F9 + D_VD_2!F9 + D_VS_1!F9 + D_VS_2!F9 + D_VS_3!F9 + D_ZH_1!F9 + D_ZH_2!F9 + D_ZH_3!F9 + D_ZH_4!F9 + D_ZH_5!F9 + D_ZH_6!F9</f>
        <v>13158</v>
      </c>
      <c r="G14" s="47">
        <f xml:space="preserve"> 1*D_AG_1!G9 + 1*D_AG_2!G9 + 1*D_AG_3!G9 + 1*D_BE_1!G9 + 1*D_BE_2!G9 + 1*D_BE_3!G9 + 1*D_BS_1!G9 + 1*D_FR_1!G9 + 1*D_GE_1!G9 + 1*D_GL_1!G9 + 1*D_GR_1!G9 + 1*D_LU_1!G9 + 1*D_LU_2!G9 + 1*D_NE_1!G9 + 1*D_NE_2!G9 + D_SG_1!G9 + D_SG_2!G9 + D_SG_3!G9 + D_SO_1!G9 + D_TG_1!G9 + D_TI_1!G9 + D_VD_2!G9 + D_VS_1!G9 + D_VS_2!G9 + D_VS_3!G9 + D_ZH_1!G9 + D_ZH_2!G9 + D_ZH_3!G9 + D_ZH_4!G9 + D_ZH_5!G9 + D_ZH_6!G9</f>
        <v>15016</v>
      </c>
      <c r="H14" s="47">
        <f xml:space="preserve"> 1*D_AG_1!H9 + 1*D_AG_2!H9 + 1*D_AG_3!H9 + 1*D_BE_1!H9 + 1*D_BE_2!H9 + 1*D_BE_3!H9 + 1*D_BS_1!H9 + 1*D_FR_1!H9 + 1*D_GE_1!H9 + 1*D_GL_1!H9 + 1*D_GR_1!H9 + 1*D_LU_1!H9 + 1*D_LU_2!H9 + 1*D_NE_1!H9 + 1*D_NE_2!H9 + D_SG_1!H9 + D_SG_2!H9 + D_SG_3!H9 + D_SO_1!H9 + D_TG_1!H9 + D_TI_1!H9 + D_VD_2!H9 + D_VS_1!H9 + D_VS_2!H9 + D_VS_3!H9 + D_ZH_1!H9 + D_ZH_2!H9 + D_ZH_3!H9 + D_ZH_4!H9 + D_ZH_5!H9 + D_ZH_6!H9</f>
        <v>18966</v>
      </c>
      <c r="I14" s="47">
        <f xml:space="preserve"> 1*D_AG_1!I9 + 1*D_AG_2!I9 + 1*D_AG_3!I9 + 1*D_BE_1!I9 + 1*D_BE_2!I9 + 1*D_BE_3!I9 + 1*D_BS_1!I9 + 1*D_FR_1!I9 + 1*D_GE_1!I9 + 1*D_GL_1!I9 + 1*D_GR_1!I9 + 1*D_LU_1!I9 + 1*D_LU_2!I9 + 1*D_NE_1!I9 + 1*D_NE_2!I9 + D_SG_1!I9 + D_SG_2!I9 + D_SG_3!I9 + D_SO_1!I9 + D_TG_1!I9 + D_TI_1!I9 + D_VD_2!I9 + D_VS_1!I9 + D_VS_2!I9 + D_VS_3!I9 + D_ZH_1!I9 + D_ZH_2!I9 + D_ZH_3!I9 + D_ZH_4!I9 + D_ZH_5!I9 + D_ZH_6!I9</f>
        <v>40520</v>
      </c>
      <c r="J14" s="47">
        <f xml:space="preserve"> 1*D_AG_1!J9 + 1*D_AG_2!J9 + 1*D_AG_3!J9 + 1*D_BE_1!J9 + 1*D_BE_2!J9 + 1*D_BE_3!J9 + 1*D_BS_1!J9 + 1*D_FR_1!J9 + 1*D_GE_1!J9 + 1*D_GL_1!J9 + 1*D_GR_1!J9 + 1*D_LU_1!J9 + 1*D_LU_2!J9 + 1*D_NE_1!J9 + 1*D_NE_2!J9 + D_SG_1!J9 + D_SG_2!J9 + D_SG_3!J9 + D_SO_1!J9 + D_TG_1!J9 + D_TI_1!J9 + D_VD_2!J9 + D_VS_1!J9 + D_VS_2!J9 + D_VS_3!J9 + D_ZH_1!J9 + D_ZH_2!J9 + D_ZH_3!J9 + D_ZH_4!J9 + D_ZH_5!J9 + D_ZH_6!J9</f>
        <v>40119</v>
      </c>
      <c r="K14" s="47">
        <f xml:space="preserve"> 1*D_AG_1!K9 + 1*D_AG_2!K9 + 1*D_AG_3!K9 + 1*D_BE_1!K9 + 1*D_BE_2!K9 + 1*D_BE_3!K9 + 1*D_BS_1!K9 + 1*D_FR_1!K9 + 1*D_GE_1!K9 + 1*D_GL_1!K9 + 1*D_GR_1!K9 + 1*D_LU_1!K9 + 1*D_LU_2!K9 + 1*D_NE_1!K9 + 1*D_NE_2!K9 + D_SG_1!K9 + D_SG_2!K9 + D_SG_3!K9 + D_SO_1!K9 + D_TG_1!K9 + D_TI_1!K9 + D_VD_2!K9 + D_VS_1!K9 + D_VS_2!K9 + D_VS_3!K9 + D_ZH_1!K9 + D_ZH_2!K9 + D_ZH_3!K9 + D_ZH_4!K9 + D_ZH_5!K9 + D_ZH_6!K9</f>
        <v>46644</v>
      </c>
      <c r="L14" s="47">
        <f xml:space="preserve"> 1*D_AG_1!L9 + 1*D_AG_2!L9 + 1*D_AG_3!L9 + 1*D_BE_1!L9 + 1*D_BE_2!L9 + 1*D_BE_3!L9 + 1*D_BS_1!L9 + 1*D_FR_1!L9 + 1*D_GE_1!L9 + 1*D_GL_1!L9 + 1*D_GR_1!L9 + 1*D_LU_1!L9 + 1*D_LU_2!L9 + 1*D_NE_1!L9 + 1*D_NE_2!L9 + D_SG_1!L9 + D_SG_2!L9 + D_SG_3!L9 + D_SO_1!L9 + D_TG_1!L9 + D_TI_1!L9 + D_VD_2!L9 + D_VS_1!L9 + D_VS_2!L9 + D_VS_3!L9 + D_ZH_1!L9 + D_ZH_2!L9 + D_ZH_3!L9 + D_ZH_4!L9 + D_ZH_5!L9 + D_ZH_6!L9</f>
        <v>52916</v>
      </c>
      <c r="M14" s="47">
        <f xml:space="preserve"> 1*D_AG_1!M9 + 1*D_AG_2!M9 + 1*D_AG_3!M9 + 1*D_BE_1!M9 + 1*D_BE_2!M9 + 1*D_BE_3!M9 + 1*D_BS_1!M9 + 1*D_FR_1!M9 + 1*D_GE_1!M9 + 1*D_GL_1!M9 + 1*D_GR_1!M9 + 1*D_LU_1!M9 + 1*D_LU_2!M9 + 1*D_NE_1!M9 + 1*D_NE_2!M9 + D_SG_1!M9 + D_SG_2!M9 + D_SG_3!M9 + D_SO_1!M9 + D_TG_1!M9 + D_TI_1!M9 + D_VD_2!M9 + D_VS_1!M9 + D_VS_2!M9 + D_VS_3!M9 + D_ZH_1!M9 + D_ZH_2!M9 + D_ZH_3!M9 + D_ZH_4!M9 + D_ZH_5!M9 + D_ZH_6!M9</f>
        <v>44148</v>
      </c>
      <c r="N14" s="47">
        <f xml:space="preserve"> 1*D_AG_1!N9 + 1*D_AG_2!N9 + 1*D_AG_3!N9 + 1*D_BE_1!N9 + 1*D_BE_2!N9 + 1*D_BE_3!N9 + 1*D_BS_1!N9 + 1*D_FR_1!N9 + 1*D_GE_1!N9 + 1*D_GL_1!N9 + 1*D_GR_1!N9 + 1*D_LU_1!N9 + 1*D_LU_2!N9 + 1*D_NE_1!N9 + 1*D_NE_2!N9 + D_SG_1!N9 + D_SG_2!N9 + D_SG_3!N9 + D_SO_1!N9 + D_TG_1!N9 + D_TI_1!N9 + D_VD_2!N9 + D_VS_1!N9 + D_VS_2!N9 + D_VS_3!N9 + D_ZH_1!N9 + D_ZH_2!N9 + D_ZH_3!N9 + D_ZH_4!N9 + D_ZH_5!N9 + D_ZH_6!N9</f>
        <v>41823</v>
      </c>
      <c r="O14" s="47">
        <f xml:space="preserve"> 1*D_AG_1!O9 + 1*D_AG_2!O9 + 1*D_AG_3!O9 + 1*D_BE_1!O9 + 1*D_BE_2!O9 + 1*D_BE_3!O9 + 1*D_BS_1!O9 + 1*D_FR_1!O9 + 1*D_GE_1!O9 + 1*D_GL_1!O9 + 1*D_GR_1!O9 + 1*D_LU_1!O9 + 1*D_LU_2!O9 + 1*D_NE_1!O9 + 1*D_NE_2!O9 + D_SG_1!O9 + D_SG_2!O9 + D_SG_3!O9 + D_SO_1!O9 + D_TG_1!O9 + D_TI_1!O9 + D_VD_2!O9 + D_VS_1!O9 + D_VS_2!O9 + D_VS_3!O9 + D_ZH_1!O9 + D_ZH_2!O9 + D_ZH_3!O9 + D_ZH_4!O9 + D_ZH_5!O9 + D_ZH_6!O9</f>
        <v>25131.120000000003</v>
      </c>
      <c r="P14" s="47">
        <f xml:space="preserve"> 1*D_AG_1!P9 + 1*D_AG_2!P9 + 1*D_AG_3!P9 + 1*D_BE_1!P9 + 1*D_BE_2!P9 + 1*D_BE_3!P9 + 1*D_BS_1!P9 + 1*D_FR_1!P9 + 1*D_GE_1!P9 + 1*D_GL_1!P9 + 1*D_GR_1!P9 + 1*D_LU_1!P9 + 1*D_LU_2!P9 + 1*D_NE_1!P9 + 1*D_NE_2!P9 + D_SG_1!P9 + D_SG_2!P9 + D_SG_3!P9 + D_SO_1!P9 + D_TG_1!P9 + D_TI_1!P9 + D_VD_2!P9 + D_VS_1!P9 + D_VS_2!P9 + D_VS_3!P9 + D_ZH_1!P9 + D_ZH_2!P9 + D_ZH_3!P9 + D_ZH_4!P9 + D_ZH_5!P9 + D_ZH_6!P9</f>
        <v>17551</v>
      </c>
      <c r="Q14" s="47"/>
      <c r="R14" s="47"/>
      <c r="S14" s="47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x14ac:dyDescent="0.3">
      <c r="B15" s="48" t="s">
        <v>101</v>
      </c>
      <c r="C15" s="46" t="s">
        <v>95</v>
      </c>
      <c r="D15" s="47">
        <f xml:space="preserve"> 1*D_AG_1!D10 + 1*D_AG_2!D10 + 1*D_AG_3!D10 + 1*D_BE_1!D10 + 1*D_BE_2!D10 + 1*D_BE_3!D10 + 1*D_BS_1!D10 + 1*D_FR_1!D10 + 1*D_GE_1!D10 + 1*D_GL_1!D10 + 1*D_GR_1!D10 + 1*D_LU_1!D10 + 1*D_LU_2!D10 + 1*D_NE_1!D10 + 1*D_NE_2!D10 + D_SG_1!D10 + D_SG_2!D10 + D_SG_3!D10 + D_SO_1!D10 + D_TG_1!D10 + D_TI_1!D10 + D_VD_2!D10 + D_VS_1!D10 + D_VS_2!D10 + D_VS_3!D10 + D_ZH_1!D10 + D_ZH_2!D10 + D_ZH_3!D10 + D_ZH_4!D10 + D_ZH_5!D10 + D_ZH_6!D10</f>
        <v>49000</v>
      </c>
      <c r="E15" s="47">
        <f xml:space="preserve"> 1*D_AG_1!E10 + 1*D_AG_2!E10 + 1*D_AG_3!E10 + 1*D_BE_1!E10 + 1*D_BE_2!E10 + 1*D_BE_3!E10 + 1*D_BS_1!E10 + 1*D_FR_1!E10 + 1*D_GE_1!E10 + 1*D_GL_1!E10 + 1*D_GR_1!E10 + 1*D_LU_1!E10 + 1*D_LU_2!E10 + 1*D_NE_1!E10 + 1*D_NE_2!E10 + D_SG_1!E10 + D_SG_2!E10 + D_SG_3!E10 + D_SO_1!E10 + D_TG_1!E10 + D_TI_1!E10 + D_VD_2!E10 + D_VS_1!E10 + D_VS_2!E10 + D_VS_3!E10 + D_ZH_1!E10 + D_ZH_2!E10 + D_ZH_3!E10 + D_ZH_4!E10 + D_ZH_5!E10 + D_ZH_6!E10</f>
        <v>69204</v>
      </c>
      <c r="F15" s="47">
        <f xml:space="preserve"> 1*D_AG_1!F10 + 1*D_AG_2!F10 + 1*D_AG_3!F10 + 1*D_BE_1!F10 + 1*D_BE_2!F10 + 1*D_BE_3!F10 + 1*D_BS_1!F10 + 1*D_FR_1!F10 + 1*D_GE_1!F10 + 1*D_GL_1!F10 + 1*D_GR_1!F10 + 1*D_LU_1!F10 + 1*D_LU_2!F10 + 1*D_NE_1!F10 + 1*D_NE_2!F10 + D_SG_1!F10 + D_SG_2!F10 + D_SG_3!F10 + D_SO_1!F10 + D_TG_1!F10 + D_TI_1!F10 + D_VD_2!F10 + D_VS_1!F10 + D_VS_2!F10 + D_VS_3!F10 + D_ZH_1!F10 + D_ZH_2!F10 + D_ZH_3!F10 + D_ZH_4!F10 + D_ZH_5!F10 + D_ZH_6!F10</f>
        <v>63039</v>
      </c>
      <c r="G15" s="47">
        <f xml:space="preserve"> 1*D_AG_1!G10 + 1*D_AG_2!G10 + 1*D_AG_3!G10 + 1*D_BE_1!G10 + 1*D_BE_2!G10 + 1*D_BE_3!G10 + 1*D_BS_1!G10 + 1*D_FR_1!G10 + 1*D_GE_1!G10 + 1*D_GL_1!G10 + 1*D_GR_1!G10 + 1*D_LU_1!G10 + 1*D_LU_2!G10 + 1*D_NE_1!G10 + 1*D_NE_2!G10 + D_SG_1!G10 + D_SG_2!G10 + D_SG_3!G10 + D_SO_1!G10 + D_TG_1!G10 + D_TI_1!G10 + D_VD_2!G10 + D_VS_1!G10 + D_VS_2!G10 + D_VS_3!G10 + D_ZH_1!G10 + D_ZH_2!G10 + D_ZH_3!G10 + D_ZH_4!G10 + D_ZH_5!G10 + D_ZH_6!G10</f>
        <v>45412</v>
      </c>
      <c r="H15" s="47">
        <f xml:space="preserve"> 1*D_AG_1!H10 + 1*D_AG_2!H10 + 1*D_AG_3!H10 + 1*D_BE_1!H10 + 1*D_BE_2!H10 + 1*D_BE_3!H10 + 1*D_BS_1!H10 + 1*D_FR_1!H10 + 1*D_GE_1!H10 + 1*D_GL_1!H10 + 1*D_GR_1!H10 + 1*D_LU_1!H10 + 1*D_LU_2!H10 + 1*D_NE_1!H10 + 1*D_NE_2!H10 + D_SG_1!H10 + D_SG_2!H10 + D_SG_3!H10 + D_SO_1!H10 + D_TG_1!H10 + D_TI_1!H10 + D_VD_2!H10 + D_VS_1!H10 + D_VS_2!H10 + D_VS_3!H10 + D_ZH_1!H10 + D_ZH_2!H10 + D_ZH_3!H10 + D_ZH_4!H10 + D_ZH_5!H10 + D_ZH_6!H10</f>
        <v>54133</v>
      </c>
      <c r="I15" s="47">
        <f xml:space="preserve"> 1*D_AG_1!I10 + 1*D_AG_2!I10 + 1*D_AG_3!I10 + 1*D_BE_1!I10 + 1*D_BE_2!I10 + 1*D_BE_3!I10 + 1*D_BS_1!I10 + 1*D_FR_1!I10 + 1*D_GE_1!I10 + 1*D_GL_1!I10 + 1*D_GR_1!I10 + 1*D_LU_1!I10 + 1*D_LU_2!I10 + 1*D_NE_1!I10 + 1*D_NE_2!I10 + D_SG_1!I10 + D_SG_2!I10 + D_SG_3!I10 + D_SO_1!I10 + D_TG_1!I10 + D_TI_1!I10 + D_VD_2!I10 + D_VS_1!I10 + D_VS_2!I10 + D_VS_3!I10 + D_ZH_1!I10 + D_ZH_2!I10 + D_ZH_3!I10 + D_ZH_4!I10 + D_ZH_5!I10 + D_ZH_6!I10</f>
        <v>84436</v>
      </c>
      <c r="J15" s="47">
        <f xml:space="preserve"> 1*D_AG_1!J10 + 1*D_AG_2!J10 + 1*D_AG_3!J10 + 1*D_BE_1!J10 + 1*D_BE_2!J10 + 1*D_BE_3!J10 + 1*D_BS_1!J10 + 1*D_FR_1!J10 + 1*D_GE_1!J10 + 1*D_GL_1!J10 + 1*D_GR_1!J10 + 1*D_LU_1!J10 + 1*D_LU_2!J10 + 1*D_NE_1!J10 + 1*D_NE_2!J10 + D_SG_1!J10 + D_SG_2!J10 + D_SG_3!J10 + D_SO_1!J10 + D_TG_1!J10 + D_TI_1!J10 + D_VD_2!J10 + D_VS_1!J10 + D_VS_2!J10 + D_VS_3!J10 + D_ZH_1!J10 + D_ZH_2!J10 + D_ZH_3!J10 + D_ZH_4!J10 + D_ZH_5!J10 + D_ZH_6!J10</f>
        <v>95865</v>
      </c>
      <c r="K15" s="47">
        <f xml:space="preserve"> 1*D_AG_1!K10 + 1*D_AG_2!K10 + 1*D_AG_3!K10 + 1*D_BE_1!K10 + 1*D_BE_2!K10 + 1*D_BE_3!K10 + 1*D_BS_1!K10 + 1*D_FR_1!K10 + 1*D_GE_1!K10 + 1*D_GL_1!K10 + 1*D_GR_1!K10 + 1*D_LU_1!K10 + 1*D_LU_2!K10 + 1*D_NE_1!K10 + 1*D_NE_2!K10 + D_SG_1!K10 + D_SG_2!K10 + D_SG_3!K10 + D_SO_1!K10 + D_TG_1!K10 + D_TI_1!K10 + D_VD_2!K10 + D_VS_1!K10 + D_VS_2!K10 + D_VS_3!K10 + D_ZH_1!K10 + D_ZH_2!K10 + D_ZH_3!K10 + D_ZH_4!K10 + D_ZH_5!K10 + D_ZH_6!K10</f>
        <v>96480.260000000009</v>
      </c>
      <c r="L15" s="47">
        <f xml:space="preserve"> 1*D_AG_1!L10 + 1*D_AG_2!L10 + 1*D_AG_3!L10 + 1*D_BE_1!L10 + 1*D_BE_2!L10 + 1*D_BE_3!L10 + 1*D_BS_1!L10 + 1*D_FR_1!L10 + 1*D_GE_1!L10 + 1*D_GL_1!L10 + 1*D_GR_1!L10 + 1*D_LU_1!L10 + 1*D_LU_2!L10 + 1*D_NE_1!L10 + 1*D_NE_2!L10 + D_SG_1!L10 + D_SG_2!L10 + D_SG_3!L10 + D_SO_1!L10 + D_TG_1!L10 + D_TI_1!L10 + D_VD_2!L10 + D_VS_1!L10 + D_VS_2!L10 + D_VS_3!L10 + D_ZH_1!L10 + D_ZH_2!L10 + D_ZH_3!L10 + D_ZH_4!L10 + D_ZH_5!L10 + D_ZH_6!L10</f>
        <v>95820</v>
      </c>
      <c r="M15" s="47">
        <f xml:space="preserve"> 1*D_AG_1!M10 + 1*D_AG_2!M10 + 1*D_AG_3!M10 + 1*D_BE_1!M10 + 1*D_BE_2!M10 + 1*D_BE_3!M10 + 1*D_BS_1!M10 + 1*D_FR_1!M10 + 1*D_GE_1!M10 + 1*D_GL_1!M10 + 1*D_GR_1!M10 + 1*D_LU_1!M10 + 1*D_LU_2!M10 + 1*D_NE_1!M10 + 1*D_NE_2!M10 + D_SG_1!M10 + D_SG_2!M10 + D_SG_3!M10 + D_SO_1!M10 + D_TG_1!M10 + D_TI_1!M10 + D_VD_2!M10 + D_VS_1!M10 + D_VS_2!M10 + D_VS_3!M10 + D_ZH_1!M10 + D_ZH_2!M10 + D_ZH_3!M10 + D_ZH_4!M10 + D_ZH_5!M10 + D_ZH_6!M10</f>
        <v>89623</v>
      </c>
      <c r="N15" s="47">
        <f xml:space="preserve"> 1*D_AG_1!N10 + 1*D_AG_2!N10 + 1*D_AG_3!N10 + 1*D_BE_1!N10 + 1*D_BE_2!N10 + 1*D_BE_3!N10 + 1*D_BS_1!N10 + 1*D_FR_1!N10 + 1*D_GE_1!N10 + 1*D_GL_1!N10 + 1*D_GR_1!N10 + 1*D_LU_1!N10 + 1*D_LU_2!N10 + 1*D_NE_1!N10 + 1*D_NE_2!N10 + D_SG_1!N10 + D_SG_2!N10 + D_SG_3!N10 + D_SO_1!N10 + D_TG_1!N10 + D_TI_1!N10 + D_VD_2!N10 + D_VS_1!N10 + D_VS_2!N10 + D_VS_3!N10 + D_ZH_1!N10 + D_ZH_2!N10 + D_ZH_3!N10 + D_ZH_4!N10 + D_ZH_5!N10 + D_ZH_6!N10</f>
        <v>99444</v>
      </c>
      <c r="O15" s="47">
        <f xml:space="preserve"> 1*D_AG_1!O10 + 1*D_AG_2!O10 + 1*D_AG_3!O10 + 1*D_BE_1!O10 + 1*D_BE_2!O10 + 1*D_BE_3!O10 + 1*D_BS_1!O10 + 1*D_FR_1!O10 + 1*D_GE_1!O10 + 1*D_GL_1!O10 + 1*D_GR_1!O10 + 1*D_LU_1!O10 + 1*D_LU_2!O10 + 1*D_NE_1!O10 + 1*D_NE_2!O10 + D_SG_1!O10 + D_SG_2!O10 + D_SG_3!O10 + D_SO_1!O10 + D_TG_1!O10 + D_TI_1!O10 + D_VD_2!O10 + D_VS_1!O10 + D_VS_2!O10 + D_VS_3!O10 + D_ZH_1!O10 + D_ZH_2!O10 + D_ZH_3!O10 + D_ZH_4!O10 + D_ZH_5!O10 + D_ZH_6!O10</f>
        <v>87248.11</v>
      </c>
      <c r="P15" s="47">
        <f xml:space="preserve"> 1*D_AG_1!P10 + 1*D_AG_2!P10 + 1*D_AG_3!P10 + 1*D_BE_1!P10 + 1*D_BE_2!P10 + 1*D_BE_3!P10 + 1*D_BS_1!P10 + 1*D_FR_1!P10 + 1*D_GE_1!P10 + 1*D_GL_1!P10 + 1*D_GR_1!P10 + 1*D_LU_1!P10 + 1*D_LU_2!P10 + 1*D_NE_1!P10 + 1*D_NE_2!P10 + D_SG_1!P10 + D_SG_2!P10 + D_SG_3!P10 + D_SO_1!P10 + D_TG_1!P10 + D_TI_1!P10 + D_VD_2!P10 + D_VS_1!P10 + D_VS_2!P10 + D_VS_3!P10 + D_ZH_1!P10 + D_ZH_2!P10 + D_ZH_3!P10 + D_ZH_4!P10 + D_ZH_5!P10 + D_ZH_6!P10</f>
        <v>92351</v>
      </c>
      <c r="Q15" s="47"/>
      <c r="R15" s="47"/>
      <c r="S15" s="47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x14ac:dyDescent="0.3">
      <c r="B16" s="48" t="s">
        <v>102</v>
      </c>
      <c r="C16" s="46" t="s">
        <v>95</v>
      </c>
      <c r="D16" s="47">
        <f xml:space="preserve"> 1*D_AG_1!D11 + 1*D_AG_2!D11 + 1*D_AG_3!D11 + 1*D_BE_1!D11 + 1*D_BE_2!D11 + 1*D_BE_3!D11 + 1*D_BS_1!D11 + 1*D_FR_1!D11 + 1*D_GE_1!D11 + 1*D_GL_1!D11 + 1*D_GR_1!D11 + 1*D_LU_1!D11 + 1*D_LU_2!D11 + 1*D_NE_1!D11 + 1*D_NE_2!D11 + D_SG_1!D11 + D_SG_2!D11 + D_SG_3!D11 + D_SO_1!D11 + D_TG_1!D11 + D_TI_1!D11 + D_VD_2!D11 + D_VS_1!D11 + D_VS_2!D11 + D_VS_3!D11 + D_ZH_1!D11 + D_ZH_2!D11 + D_ZH_3!D11 + D_ZH_4!D11 + D_ZH_5!D11 + D_ZH_6!D11</f>
        <v>1500</v>
      </c>
      <c r="E16" s="47">
        <f xml:space="preserve"> 1*D_AG_1!E11 + 1*D_AG_2!E11 + 1*D_AG_3!E11 + 1*D_BE_1!E11 + 1*D_BE_2!E11 + 1*D_BE_3!E11 + 1*D_BS_1!E11 + 1*D_FR_1!E11 + 1*D_GE_1!E11 + 1*D_GL_1!E11 + 1*D_GR_1!E11 + 1*D_LU_1!E11 + 1*D_LU_2!E11 + 1*D_NE_1!E11 + 1*D_NE_2!E11 + D_SG_1!E11 + D_SG_2!E11 + D_SG_3!E11 + D_SO_1!E11 + D_TG_1!E11 + D_TI_1!E11 + D_VD_2!E11 + D_VS_1!E11 + D_VS_2!E11 + D_VS_3!E11 + D_ZH_1!E11 + D_ZH_2!E11 + D_ZH_3!E11 + D_ZH_4!E11 + D_ZH_5!E11 + D_ZH_6!E11</f>
        <v>1713</v>
      </c>
      <c r="F16" s="47">
        <f xml:space="preserve"> 1*D_AG_1!F11 + 1*D_AG_2!F11 + 1*D_AG_3!F11 + 1*D_BE_1!F11 + 1*D_BE_2!F11 + 1*D_BE_3!F11 + 1*D_BS_1!F11 + 1*D_FR_1!F11 + 1*D_GE_1!F11 + 1*D_GL_1!F11 + 1*D_GR_1!F11 + 1*D_LU_1!F11 + 1*D_LU_2!F11 + 1*D_NE_1!F11 + 1*D_NE_2!F11 + D_SG_1!F11 + D_SG_2!F11 + D_SG_3!F11 + D_SO_1!F11 + D_TG_1!F11 + D_TI_1!F11 + D_VD_2!F11 + D_VS_1!F11 + D_VS_2!F11 + D_VS_3!F11 + D_ZH_1!F11 + D_ZH_2!F11 + D_ZH_3!F11 + D_ZH_4!F11 + D_ZH_5!F11 + D_ZH_6!F11</f>
        <v>8238</v>
      </c>
      <c r="G16" s="47">
        <f xml:space="preserve"> 1*D_AG_1!G11 + 1*D_AG_2!G11 + 1*D_AG_3!G11 + 1*D_BE_1!G11 + 1*D_BE_2!G11 + 1*D_BE_3!G11 + 1*D_BS_1!G11 + 1*D_FR_1!G11 + 1*D_GE_1!G11 + 1*D_GL_1!G11 + 1*D_GR_1!G11 + 1*D_LU_1!G11 + 1*D_LU_2!G11 + 1*D_NE_1!G11 + 1*D_NE_2!G11 + D_SG_1!G11 + D_SG_2!G11 + D_SG_3!G11 + D_SO_1!G11 + D_TG_1!G11 + D_TI_1!G11 + D_VD_2!G11 + D_VS_1!G11 + D_VS_2!G11 + D_VS_3!G11 + D_ZH_1!G11 + D_ZH_2!G11 + D_ZH_3!G11 + D_ZH_4!G11 + D_ZH_5!G11 + D_ZH_6!G11</f>
        <v>4344</v>
      </c>
      <c r="H16" s="47">
        <f xml:space="preserve"> 1*D_AG_1!H11 + 1*D_AG_2!H11 + 1*D_AG_3!H11 + 1*D_BE_1!H11 + 1*D_BE_2!H11 + 1*D_BE_3!H11 + 1*D_BS_1!H11 + 1*D_FR_1!H11 + 1*D_GE_1!H11 + 1*D_GL_1!H11 + 1*D_GR_1!H11 + 1*D_LU_1!H11 + 1*D_LU_2!H11 + 1*D_NE_1!H11 + 1*D_NE_2!H11 + D_SG_1!H11 + D_SG_2!H11 + D_SG_3!H11 + D_SO_1!H11 + D_TG_1!H11 + D_TI_1!H11 + D_VD_2!H11 + D_VS_1!H11 + D_VS_2!H11 + D_VS_3!H11 + D_ZH_1!H11 + D_ZH_2!H11 + D_ZH_3!H11 + D_ZH_4!H11 + D_ZH_5!H11 + D_ZH_6!H11</f>
        <v>7991</v>
      </c>
      <c r="I16" s="47">
        <f xml:space="preserve"> 1*D_AG_1!I11 + 1*D_AG_2!I11 + 1*D_AG_3!I11 + 1*D_BE_1!I11 + 1*D_BE_2!I11 + 1*D_BE_3!I11 + 1*D_BS_1!I11 + 1*D_FR_1!I11 + 1*D_GE_1!I11 + 1*D_GL_1!I11 + 1*D_GR_1!I11 + 1*D_LU_1!I11 + 1*D_LU_2!I11 + 1*D_NE_1!I11 + 1*D_NE_2!I11 + D_SG_1!I11 + D_SG_2!I11 + D_SG_3!I11 + D_SO_1!I11 + D_TG_1!I11 + D_TI_1!I11 + D_VD_2!I11 + D_VS_1!I11 + D_VS_2!I11 + D_VS_3!I11 + D_ZH_1!I11 + D_ZH_2!I11 + D_ZH_3!I11 + D_ZH_4!I11 + D_ZH_5!I11 + D_ZH_6!I11</f>
        <v>4396</v>
      </c>
      <c r="J16" s="47">
        <f xml:space="preserve"> 1*D_AG_1!J11 + 1*D_AG_2!J11 + 1*D_AG_3!J11 + 1*D_BE_1!J11 + 1*D_BE_2!J11 + 1*D_BE_3!J11 + 1*D_BS_1!J11 + 1*D_FR_1!J11 + 1*D_GE_1!J11 + 1*D_GL_1!J11 + 1*D_GR_1!J11 + 1*D_LU_1!J11 + 1*D_LU_2!J11 + 1*D_NE_1!J11 + 1*D_NE_2!J11 + D_SG_1!J11 + D_SG_2!J11 + D_SG_3!J11 + D_SO_1!J11 + D_TG_1!J11 + D_TI_1!J11 + D_VD_2!J11 + D_VS_1!J11 + D_VS_2!J11 + D_VS_3!J11 + D_ZH_1!J11 + D_ZH_2!J11 + D_ZH_3!J11 + D_ZH_4!J11 + D_ZH_5!J11 + D_ZH_6!J11</f>
        <v>12703</v>
      </c>
      <c r="K16" s="47">
        <f xml:space="preserve"> 1*D_AG_1!K11 + 1*D_AG_2!K11 + 1*D_AG_3!K11 + 1*D_BE_1!K11 + 1*D_BE_2!K11 + 1*D_BE_3!K11 + 1*D_BS_1!K11 + 1*D_FR_1!K11 + 1*D_GE_1!K11 + 1*D_GL_1!K11 + 1*D_GR_1!K11 + 1*D_LU_1!K11 + 1*D_LU_2!K11 + 1*D_NE_1!K11 + 1*D_NE_2!K11 + D_SG_1!K11 + D_SG_2!K11 + D_SG_3!K11 + D_SO_1!K11 + D_TG_1!K11 + D_TI_1!K11 + D_VD_2!K11 + D_VS_1!K11 + D_VS_2!K11 + D_VS_3!K11 + D_ZH_1!K11 + D_ZH_2!K11 + D_ZH_3!K11 + D_ZH_4!K11 + D_ZH_5!K11 + D_ZH_6!K11</f>
        <v>6011.8899999999994</v>
      </c>
      <c r="L16" s="47">
        <f xml:space="preserve"> 1*D_AG_1!L11 + 1*D_AG_2!L11 + 1*D_AG_3!L11 + 1*D_BE_1!L11 + 1*D_BE_2!L11 + 1*D_BE_3!L11 + 1*D_BS_1!L11 + 1*D_FR_1!L11 + 1*D_GE_1!L11 + 1*D_GL_1!L11 + 1*D_GR_1!L11 + 1*D_LU_1!L11 + 1*D_LU_2!L11 + 1*D_NE_1!L11 + 1*D_NE_2!L11 + D_SG_1!L11 + D_SG_2!L11 + D_SG_3!L11 + D_SO_1!L11 + D_TG_1!L11 + D_TI_1!L11 + D_VD_2!L11 + D_VS_1!L11 + D_VS_2!L11 + D_VS_3!L11 + D_ZH_1!L11 + D_ZH_2!L11 + D_ZH_3!L11 + D_ZH_4!L11 + D_ZH_5!L11 + D_ZH_6!L11</f>
        <v>7569</v>
      </c>
      <c r="M16" s="47">
        <f xml:space="preserve"> 1*D_AG_1!M11 + 1*D_AG_2!M11 + 1*D_AG_3!M11 + 1*D_BE_1!M11 + 1*D_BE_2!M11 + 1*D_BE_3!M11 + 1*D_BS_1!M11 + 1*D_FR_1!M11 + 1*D_GE_1!M11 + 1*D_GL_1!M11 + 1*D_GR_1!M11 + 1*D_LU_1!M11 + 1*D_LU_2!M11 + 1*D_NE_1!M11 + 1*D_NE_2!M11 + D_SG_1!M11 + D_SG_2!M11 + D_SG_3!M11 + D_SO_1!M11 + D_TG_1!M11 + D_TI_1!M11 + D_VD_2!M11 + D_VS_1!M11 + D_VS_2!M11 + D_VS_3!M11 + D_ZH_1!M11 + D_ZH_2!M11 + D_ZH_3!M11 + D_ZH_4!M11 + D_ZH_5!M11 + D_ZH_6!M11</f>
        <v>18891</v>
      </c>
      <c r="N16" s="47">
        <f xml:space="preserve"> 1*D_AG_1!N11 + 1*D_AG_2!N11 + 1*D_AG_3!N11 + 1*D_BE_1!N11 + 1*D_BE_2!N11 + 1*D_BE_3!N11 + 1*D_BS_1!N11 + 1*D_FR_1!N11 + 1*D_GE_1!N11 + 1*D_GL_1!N11 + 1*D_GR_1!N11 + 1*D_LU_1!N11 + 1*D_LU_2!N11 + 1*D_NE_1!N11 + 1*D_NE_2!N11 + D_SG_1!N11 + D_SG_2!N11 + D_SG_3!N11 + D_SO_1!N11 + D_TG_1!N11 + D_TI_1!N11 + D_VD_2!N11 + D_VS_1!N11 + D_VS_2!N11 + D_VS_3!N11 + D_ZH_1!N11 + D_ZH_2!N11 + D_ZH_3!N11 + D_ZH_4!N11 + D_ZH_5!N11 + D_ZH_6!N11</f>
        <v>34516</v>
      </c>
      <c r="O16" s="47">
        <f xml:space="preserve"> 1*D_AG_1!O11 + 1*D_AG_2!O11 + 1*D_AG_3!O11 + 1*D_BE_1!O11 + 1*D_BE_2!O11 + 1*D_BE_3!O11 + 1*D_BS_1!O11 + 1*D_FR_1!O11 + 1*D_GE_1!O11 + 1*D_GL_1!O11 + 1*D_GR_1!O11 + 1*D_LU_1!O11 + 1*D_LU_2!O11 + 1*D_NE_1!O11 + 1*D_NE_2!O11 + D_SG_1!O11 + D_SG_2!O11 + D_SG_3!O11 + D_SO_1!O11 + D_TG_1!O11 + D_TI_1!O11 + D_VD_2!O11 + D_VS_1!O11 + D_VS_2!O11 + D_VS_3!O11 + D_ZH_1!O11 + D_ZH_2!O11 + D_ZH_3!O11 + D_ZH_4!O11 + D_ZH_5!O11 + D_ZH_6!O11</f>
        <v>56178.399999999994</v>
      </c>
      <c r="P16" s="47">
        <f xml:space="preserve"> 1*D_AG_1!P11 + 1*D_AG_2!P11 + 1*D_AG_3!P11 + 1*D_BE_1!P11 + 1*D_BE_2!P11 + 1*D_BE_3!P11 + 1*D_BS_1!P11 + 1*D_FR_1!P11 + 1*D_GE_1!P11 + 1*D_GL_1!P11 + 1*D_GR_1!P11 + 1*D_LU_1!P11 + 1*D_LU_2!P11 + 1*D_NE_1!P11 + 1*D_NE_2!P11 + D_SG_1!P11 + D_SG_2!P11 + D_SG_3!P11 + D_SO_1!P11 + D_TG_1!P11 + D_TI_1!P11 + D_VD_2!P11 + D_VS_1!P11 + D_VS_2!P11 + D_VS_3!P11 + D_ZH_1!P11 + D_ZH_2!P11 + D_ZH_3!P11 + D_ZH_4!P11 + D_ZH_5!P11 + D_ZH_6!P11</f>
        <v>34470</v>
      </c>
      <c r="Q16" s="47"/>
      <c r="R16" s="47"/>
      <c r="S16" s="47"/>
      <c r="T16" s="90"/>
      <c r="U16" s="90"/>
      <c r="V16" s="90"/>
      <c r="W16" s="90"/>
      <c r="X16" s="90"/>
      <c r="Y16" s="90"/>
      <c r="Z16" s="90"/>
      <c r="AA16" s="90"/>
      <c r="AB16" s="90"/>
    </row>
    <row r="17" spans="2:28" x14ac:dyDescent="0.3">
      <c r="B17" s="48" t="s">
        <v>275</v>
      </c>
      <c r="C17" s="46" t="s">
        <v>95</v>
      </c>
      <c r="D17" s="47">
        <f>D10-SUM(D12:D16)</f>
        <v>3276739</v>
      </c>
      <c r="E17" s="47">
        <f>E10-SUM(E12:E16)</f>
        <v>3242971</v>
      </c>
      <c r="F17" s="47">
        <f>F10-SUM(F12:F16)</f>
        <v>3368380</v>
      </c>
      <c r="G17" s="47">
        <f>G10-SUM(G12:G16)</f>
        <v>3318502</v>
      </c>
      <c r="H17" s="47">
        <f>H10-SUM(H12:H16)</f>
        <v>3341384</v>
      </c>
      <c r="I17" s="47">
        <f>I10-SUM(I12:I16)</f>
        <v>3374718</v>
      </c>
      <c r="J17" s="47">
        <f>J10-SUM(J12:J16)</f>
        <v>3470786</v>
      </c>
      <c r="K17" s="47">
        <f>K10-SUM(K12:K16)</f>
        <v>3461747.8368999995</v>
      </c>
      <c r="L17" s="47">
        <f>L10-SUM(L12:L16)</f>
        <v>3481760</v>
      </c>
      <c r="M17" s="47">
        <f>M10-SUM(M12:M16)</f>
        <v>3501751</v>
      </c>
      <c r="N17" s="47">
        <f>N10-SUM(N12:N16)</f>
        <v>3513414</v>
      </c>
      <c r="O17" s="47">
        <f>O10-SUM(O12:O16)</f>
        <v>3562561.3059200011</v>
      </c>
      <c r="P17" s="47">
        <f>P10-SUM(P12:P16)</f>
        <v>3424662</v>
      </c>
      <c r="Q17" s="47"/>
      <c r="R17" s="47"/>
      <c r="S17" s="47"/>
      <c r="T17" s="90"/>
      <c r="U17" s="90"/>
      <c r="V17" s="90"/>
      <c r="W17" s="90"/>
      <c r="X17" s="90"/>
      <c r="Y17" s="90"/>
      <c r="Z17" s="90"/>
      <c r="AA17" s="90"/>
      <c r="AB17" s="90"/>
    </row>
    <row r="18" spans="2:28" ht="369.6" customHeight="1" x14ac:dyDescent="0.3">
      <c r="C18" s="49"/>
      <c r="D18" s="50"/>
      <c r="E18" s="50"/>
      <c r="F18" s="50"/>
      <c r="G18" s="50"/>
      <c r="H18" s="49"/>
      <c r="I18" s="49"/>
      <c r="J18" s="49"/>
      <c r="K18" s="49"/>
      <c r="L18" s="49"/>
      <c r="M18" s="49"/>
      <c r="N18" s="49"/>
      <c r="O18" s="49"/>
      <c r="P18" s="49"/>
      <c r="R18" s="49"/>
      <c r="S18" s="49"/>
    </row>
    <row r="19" spans="2:28" x14ac:dyDescent="0.3">
      <c r="B19" s="40" t="s">
        <v>104</v>
      </c>
      <c r="C19" s="41" t="s">
        <v>79</v>
      </c>
      <c r="D19" s="51">
        <f>( 1*D_AG_1!D14*1*D_AG_1!D6 + 1*D_AG_2!D14*1*D_AG_2!D6 + 1*D_AG_3!D14*1*D_AG_3!D6 + 1*D_BE_1!D14*1*D_BE_1!D6 + 1*D_BE_2!D14*1*D_BE_2!D6 + 1*D_BE_3!D14*1*D_BE_3!D6 + 1*D_BS_1!D14*1*D_BS_1!D6 + 1*D_FR_1!D14*1*D_FR_1!D6 + 1*D_GE_1!D14*1*D_GE_1!D6 + 1*D_GL_1!D14*1*D_GL_1!D6 + 1*D_GR_1!D14*1*D_GR_1!D6 + 1*D_LU_1!D14*1*D_LU_1!D6 + 1*D_LU_2!D14*1*D_LU_2!D6 + 1*D_NE_1!D14*1*D_NE_1!D6 + 1*D_NE_2!D14*1*D_NE_2!D6 + D_SG_1!D14*D_SG_1!D6 + D_SG_2!D14*D_SG_2!D6 + D_SG_3!D14*D_SG_3!D6 + D_SO_1!D14*D_SO_1!D6 + D_TG_1!D14*D_TG_1!D6 + D_TI_1!D14*D_TI_1!D6 + D_VD_2!D14*D_VD_2!D6 + D_VS_1!D14*D_VS_1!D6 + D_VS_2!D14*D_VS_2!D6 + D_VS_3!D14*D_VS_3!D6 + D_ZH_1!D14*D_ZH_1!D6 + D_ZH_2!D14*D_ZH_2!D6 + D_ZH_3!D14*D_ZH_3!D6 + D_ZH_4!D14*D_ZH_4!D6 + D_ZH_5!D14*D_ZH_5!D6 + D_ZH_6!D14*D_ZH_6!D6 ) / D10</f>
        <v>11.694022170225731</v>
      </c>
      <c r="E19" s="51">
        <f>( 1*D_AG_1!E14*1*D_AG_1!E6 + 1*D_AG_2!E14*1*D_AG_2!E6 + 1*D_AG_3!E14*1*D_AG_3!E6 + 1*D_BE_1!E14*1*D_BE_1!E6 + 1*D_BE_2!E14*1*D_BE_2!E6 + 1*D_BE_3!E14*1*D_BE_3!E6 + 1*D_BS_1!E14*1*D_BS_1!E6 + 1*D_FR_1!E14*1*D_FR_1!E6 + 1*D_GE_1!E14*1*D_GE_1!E6 + 1*D_GL_1!E14*1*D_GL_1!E6 + 1*D_GR_1!E14*1*D_GR_1!E6 + 1*D_LU_1!E14*1*D_LU_1!E6 + 1*D_LU_2!E14*1*D_LU_2!E6 + 1*D_NE_1!E14*1*D_NE_1!E6 + 1*D_NE_2!E14*1*D_NE_2!E6 + D_SG_1!E14*D_SG_1!E6 + D_SG_2!E14*D_SG_2!E6 + D_SG_3!E14*D_SG_3!E6 + D_SO_1!E14*D_SO_1!E6 + D_TG_1!E14*D_TG_1!E6 + D_TI_1!E14*D_TI_1!E6 + D_VD_2!E14*D_VD_2!E6 + D_VS_1!E14*D_VS_1!E6 + D_VS_2!E14*D_VS_2!E6 + D_VS_3!E14*D_VS_3!E6 + D_ZH_1!E14*D_ZH_1!E6 + D_ZH_2!E14*D_ZH_2!E6 + D_ZH_3!E14*D_ZH_3!E6 + D_ZH_4!E14*D_ZH_4!E6 + D_ZH_5!E14*D_ZH_5!E6 + D_ZH_6!E14*D_ZH_6!E6 ) / E10</f>
        <v>11.751161221548463</v>
      </c>
      <c r="F19" s="51">
        <f>( 1*D_AG_1!F14*1*D_AG_1!F6 + 1*D_AG_2!F14*1*D_AG_2!F6 + 1*D_AG_3!F14*1*D_AG_3!F6 + 1*D_BE_1!F14*1*D_BE_1!F6 + 1*D_BE_2!F14*1*D_BE_2!F6 + 1*D_BE_3!F14*1*D_BE_3!F6 + 1*D_BS_1!F14*1*D_BS_1!F6 + 1*D_FR_1!F14*1*D_FR_1!F6 + 1*D_GE_1!F14*1*D_GE_1!F6 + 1*D_GL_1!F14*1*D_GL_1!F6 + 1*D_GR_1!F14*1*D_GR_1!F6 + 1*D_LU_1!F14*1*D_LU_1!F6 + 1*D_LU_2!F14*1*D_LU_2!F6 + 1*D_NE_1!F14*1*D_NE_1!F6 + 1*D_NE_2!F14*1*D_NE_2!F6 + D_SG_1!F14*D_SG_1!F6 + D_SG_2!F14*D_SG_2!F6 + D_SG_3!F14*D_SG_3!F6 + D_SO_1!F14*D_SO_1!F6 + D_TG_1!F14*D_TG_1!F6 + D_TI_1!F14*D_TI_1!F6 + D_VD_2!F14*D_VD_2!F6 + D_VS_1!F14*D_VS_1!F6 + D_VS_2!F14*D_VS_2!F6 + D_VS_3!F14*D_VS_3!F6 + D_ZH_1!F14*D_ZH_1!F6 + D_ZH_2!F14*D_ZH_2!F6 + D_ZH_3!F14*D_ZH_3!F6 + D_ZH_4!F14*D_ZH_4!F6 + D_ZH_5!F14*D_ZH_5!F6 + D_ZH_6!F14*D_ZH_6!F6 ) / F10</f>
        <v>11.591369336769869</v>
      </c>
      <c r="G19" s="51">
        <f>( 1*D_AG_1!G14*1*D_AG_1!G6 + 1*D_AG_2!G14*1*D_AG_2!G6 + 1*D_AG_3!G14*1*D_AG_3!G6 + 1*D_BE_1!G14*1*D_BE_1!G6 + 1*D_BE_2!G14*1*D_BE_2!G6 + 1*D_BE_3!G14*1*D_BE_3!G6 + 1*D_BS_1!G14*1*D_BS_1!G6 + 1*D_FR_1!G14*1*D_FR_1!G6 + 1*D_GE_1!G14*1*D_GE_1!G6 + 1*D_GL_1!G14*1*D_GL_1!G6 + 1*D_GR_1!G14*1*D_GR_1!G6 + 1*D_LU_1!G14*1*D_LU_1!G6 + 1*D_LU_2!G14*1*D_LU_2!G6 + 1*D_NE_1!G14*1*D_NE_1!G6 + 1*D_NE_2!G14*1*D_NE_2!G6 + D_SG_1!G14*D_SG_1!G6 + D_SG_2!G14*D_SG_2!G6 + D_SG_3!G14*D_SG_3!G6 + D_SO_1!G14*D_SO_1!G6 + D_TG_1!G14*D_TG_1!G6 + D_TI_1!G14*D_TI_1!G6 + D_VD_2!G14*D_VD_2!G6 + D_VS_1!G14*D_VS_1!G6 + D_VS_2!G14*D_VS_2!G6 + D_VS_3!G14*D_VS_3!G6 + D_ZH_1!G14*D_ZH_1!G6 + D_ZH_2!G14*D_ZH_2!G6 + D_ZH_3!G14*D_ZH_3!G6 + D_ZH_4!G14*D_ZH_4!G6 + D_ZH_5!G14*D_ZH_5!G6 + D_ZH_6!G14*D_ZH_6!G6 ) / G10</f>
        <v>11.468021545280111</v>
      </c>
      <c r="H19" s="84">
        <f>( 1*D_AG_1!H14*1*D_AG_1!H6 + 1*D_AG_2!H14*1*D_AG_2!H6 + 1*D_AG_3!H14*1*D_AG_3!H6 + 1*D_BE_1!H14*1*D_BE_1!H6 + 1*D_BE_2!H14*1*D_BE_2!H6 + 1*D_BE_3!H14*1*D_BE_3!H6 + 1*D_BS_1!H14*1*D_BS_1!H6 + 1*D_FR_1!H14*1*D_FR_1!H6 + 1*D_GE_1!H14*1*D_GE_1!H6 + 1*D_GL_1!H14*1*D_GL_1!H6 + 1*D_GR_1!H14*1*D_GR_1!H6 + 1*D_LU_1!H14*1*D_LU_1!H6 + 1*D_LU_2!H14*1*D_LU_2!H6 + 1*D_NE_1!H14*1*D_NE_1!H6 + 1*D_NE_2!H14*1*D_NE_2!H6 + D_SG_1!H14*D_SG_1!H6 + D_SG_2!H14*D_SG_2!H6 + D_SG_3!H14*D_SG_3!H6 + D_SO_1!H14*D_SO_1!H6 + D_TG_1!H14*D_TG_1!H6 + D_TI_1!H14*D_TI_1!H6 + D_VD_2!H14*D_VD_2!H6 + D_VS_1!H14*D_VS_1!H6 + D_VS_2!H14*D_VS_2!H6 + D_VS_3!H14*D_VS_3!H6 + D_ZH_1!H14*D_ZH_1!H6 + D_ZH_2!H14*D_ZH_2!H6 + D_ZH_3!H14*D_ZH_3!H6 + D_ZH_4!H14*D_ZH_4!H6 + D_ZH_5!H14*D_ZH_5!H6 + D_ZH_6!H14*D_ZH_6!H6 ) / H10</f>
        <v>11.601029084145608</v>
      </c>
      <c r="I19" s="84">
        <f>( 1*D_AG_1!I14*1*D_AG_1!I6 + 1*D_AG_2!I14*1*D_AG_2!I6 + 1*D_AG_3!I14*1*D_AG_3!I6 + 1*D_BE_1!I14*1*D_BE_1!I6 + 1*D_BE_2!I14*1*D_BE_2!I6 + 1*D_BE_3!I14*1*D_BE_3!I6 + 1*D_BS_1!I14*1*D_BS_1!I6 + 1*D_FR_1!I14*1*D_FR_1!I6 + 1*D_GE_1!I14*1*D_GE_1!I6 + 1*D_GL_1!I14*1*D_GL_1!I6 + 1*D_GR_1!I14*1*D_GR_1!I6 + 1*D_LU_1!I14*1*D_LU_1!I6 + 1*D_LU_2!I14*1*D_LU_2!I6 + 1*D_NE_1!I14*1*D_NE_1!I6 + 1*D_NE_2!I14*1*D_NE_2!I6 + D_SG_1!I14*D_SG_1!I6 + D_SG_2!I14*D_SG_2!I6 + D_SG_3!I14*D_SG_3!I6 + D_SO_1!I14*D_SO_1!I6 + D_TG_1!I14*D_TG_1!I6 + D_TI_1!I14*D_TI_1!I6 + D_VD_2!I14*D_VD_2!I6 + D_VS_1!I14*D_VS_1!I6 + D_VS_2!I14*D_VS_2!I6 + D_VS_3!I14*D_VS_3!I6 + D_ZH_1!I14*D_ZH_1!I6 + D_ZH_2!I14*D_ZH_2!I6 + D_ZH_3!I14*D_ZH_3!I6 + D_ZH_4!I14*D_ZH_4!I6 + D_ZH_5!I14*D_ZH_5!I6 + D_ZH_6!I14*D_ZH_6!I6 ) / I10</f>
        <v>11.75897928370669</v>
      </c>
      <c r="J19" s="84">
        <f>( 1*D_AG_1!J14*1*D_AG_1!J6 + 1*D_AG_2!J14*1*D_AG_2!J6 + 1*D_AG_3!J14*1*D_AG_3!J6 + 1*D_BE_1!J14*1*D_BE_1!J6 + 1*D_BE_2!J14*1*D_BE_2!J6 + 1*D_BE_3!J14*1*D_BE_3!J6 + 1*D_BS_1!J14*1*D_BS_1!J6 + 1*D_FR_1!J14*1*D_FR_1!J6 + 1*D_GE_1!J14*1*D_GE_1!J6 + 1*D_GL_1!J14*1*D_GL_1!J6 + 1*D_GR_1!J14*1*D_GR_1!J6 + 1*D_LU_1!J14*1*D_LU_1!J6 + 1*D_LU_2!J14*1*D_LU_2!J6 + 1*D_NE_1!J14*1*D_NE_1!J6 + 1*D_NE_2!J14*1*D_NE_2!J6 + D_SG_1!J14*D_SG_1!J6 + D_SG_2!J14*D_SG_2!J6 + D_SG_3!J14*D_SG_3!J6 + D_SO_1!J14*D_SO_1!J6 + D_TG_1!J14*D_TG_1!J6 + D_TI_1!J14*D_TI_1!J6 + D_VD_2!J14*D_VD_2!J6 + D_VS_1!J14*D_VS_1!J6 + D_VS_2!J14*D_VS_2!J6 + D_VS_3!J14*D_VS_3!J6 + D_ZH_1!J14*D_ZH_1!J6 + D_ZH_2!J14*D_ZH_2!J6 + D_ZH_3!J14*D_ZH_3!J6 + D_ZH_4!J14*D_ZH_4!J6 + D_ZH_5!J14*D_ZH_5!J6 + D_ZH_6!J14*D_ZH_6!J6 ) / J10</f>
        <v>11.83093751480671</v>
      </c>
      <c r="K19" s="84">
        <f>( 1*D_AG_1!K14*1*D_AG_1!K6 + 1*D_AG_2!K14*1*D_AG_2!K6 + 1*D_AG_3!K14*1*D_AG_3!K6 + 1*D_BE_1!K14*1*D_BE_1!K6 + 1*D_BE_2!K14*1*D_BE_2!K6 + 1*D_BE_3!K14*1*D_BE_3!K6 + 1*D_BS_1!K14*1*D_BS_1!K6 + 1*D_FR_1!K14*1*D_FR_1!K6 + 1*D_GE_1!K14*1*D_GE_1!K6 + 1*D_GL_1!K14*1*D_GL_1!K6 + 1*D_GR_1!K14*1*D_GR_1!K6 + 1*D_LU_1!K14*1*D_LU_1!K6 + 1*D_LU_2!K14*1*D_LU_2!K6 + 1*D_NE_1!K14*1*D_NE_1!K6 + 1*D_NE_2!K14*1*D_NE_2!K6 + D_SG_1!K14*D_SG_1!K6 + D_SG_2!K14*D_SG_2!K6 + D_SG_3!K14*D_SG_3!K6 + D_SO_1!K14*D_SO_1!K6 + D_TG_1!K14*D_TG_1!K6 + D_TI_1!K14*D_TI_1!K6 + D_VD_2!K14*D_VD_2!K6 + D_VS_1!K14*D_VS_1!K6 + D_VS_2!K14*D_VS_2!K6 + D_VS_3!K14*D_VS_3!K6 + D_ZH_1!K14*D_ZH_1!K6 + D_ZH_2!K14*D_ZH_2!K6 + D_ZH_3!K14*D_ZH_3!K6 + D_ZH_4!K14*D_ZH_4!K6 + D_ZH_5!K14*D_ZH_5!K6 + D_ZH_6!K14*D_ZH_6!K6 ) / K10</f>
        <v>11.885093496124686</v>
      </c>
      <c r="L19" s="84">
        <f>( 1*D_AG_1!L14*1*D_AG_1!L6 + 1*D_AG_2!L14*1*D_AG_2!L6 + 1*D_AG_3!L14*1*D_AG_3!L6 + 1*D_BE_1!L14*1*D_BE_1!L6 + 1*D_BE_2!L14*1*D_BE_2!L6 + 1*D_BE_3!L14*1*D_BE_3!L6 + 1*D_BS_1!L14*1*D_BS_1!L6 + 1*D_FR_1!L14*1*D_FR_1!L6 + 1*D_GE_1!L14*1*D_GE_1!L6 + 1*D_GL_1!L14*1*D_GL_1!L6 + 1*D_GR_1!L14*1*D_GR_1!L6 + 1*D_LU_1!L14*1*D_LU_1!L6 + 1*D_LU_2!L14*1*D_LU_2!L6 + 1*D_NE_1!L14*1*D_NE_1!L6 + 1*D_NE_2!L14*1*D_NE_2!L6 + D_SG_1!L14*D_SG_1!L6 + D_SG_2!L14*D_SG_2!L6 + D_SG_3!L14*D_SG_3!L6 + D_SO_1!L14*D_SO_1!L6 + D_TG_1!L14*D_TG_1!L6 + D_TI_1!L14*D_TI_1!L6 + D_VD_2!L14*D_VD_2!L6 + D_VS_1!L14*D_VS_1!L6 + D_VS_2!L14*D_VS_2!L6 + D_VS_3!L14*D_VS_3!L6 + D_ZH_1!L14*D_ZH_1!L6 + D_ZH_2!L14*D_ZH_2!L6 + D_ZH_3!L14*D_ZH_3!L6 + D_ZH_4!L14*D_ZH_4!L6 + D_ZH_5!L14*D_ZH_5!L6 + D_ZH_6!L14*D_ZH_6!L6 ) / L10</f>
        <v>11.897166587697951</v>
      </c>
      <c r="M19" s="84">
        <f>( 1*D_AG_1!M14*1*D_AG_1!M6 + 1*D_AG_2!M14*1*D_AG_2!M6 + 1*D_AG_3!M14*1*D_AG_3!M6 + 1*D_BE_1!M14*1*D_BE_1!M6 + 1*D_BE_2!M14*1*D_BE_2!M6 + 1*D_BE_3!M14*1*D_BE_3!M6 + 1*D_BS_1!M14*1*D_BS_1!M6 + 1*D_FR_1!M14*1*D_FR_1!M6 + 1*D_GE_1!M14*1*D_GE_1!M6 + 1*D_GL_1!M14*1*D_GL_1!M6 + 1*D_GR_1!M14*1*D_GR_1!M6 + 1*D_LU_1!M14*1*D_LU_1!M6 + 1*D_LU_2!M14*1*D_LU_2!M6 + 1*D_NE_1!M14*1*D_NE_1!M6 + 1*D_NE_2!M14*1*D_NE_2!M6 + D_SG_1!M14*D_SG_1!M6 + D_SG_2!M14*D_SG_2!M6 + D_SG_3!M14*D_SG_3!M6 + D_SO_1!M14*D_SO_1!M6 + D_TG_1!M14*D_TG_1!M6 + D_TI_1!M14*D_TI_1!M6 + D_VD_2!M14*D_VD_2!M6 + D_VS_1!M14*D_VS_1!M6 + D_VS_2!M14*D_VS_2!M6 + D_VS_3!M14*D_VS_3!M6 + D_ZH_1!M14*D_ZH_1!M6 + D_ZH_2!M14*D_ZH_2!M6 + D_ZH_3!M14*D_ZH_3!M6 + D_ZH_4!M14*D_ZH_4!M6 + D_ZH_5!M14*D_ZH_5!M6 + D_ZH_6!M14*D_ZH_6!M6 ) / M10</f>
        <v>11.924741972657865</v>
      </c>
      <c r="N19" s="84">
        <f>( 1*D_AG_1!N14*1*D_AG_1!N6 + 1*D_AG_2!N14*1*D_AG_2!N6 + 1*D_AG_3!N14*1*D_AG_3!N6 + 1*D_BE_1!N14*1*D_BE_1!N6 + 1*D_BE_2!N14*1*D_BE_2!N6 + 1*D_BE_3!N14*1*D_BE_3!N6 + 1*D_BS_1!N14*1*D_BS_1!N6 + 1*D_FR_1!N14*1*D_FR_1!N6 + 1*D_GE_1!N14*1*D_GE_1!N6 + 1*D_GL_1!N14*1*D_GL_1!N6 + 1*D_GR_1!N14*1*D_GR_1!N6 + 1*D_LU_1!N14*1*D_LU_1!N6 + 1*D_LU_2!N14*1*D_LU_2!N6 + 1*D_NE_1!N14*1*D_NE_1!N6 + 1*D_NE_2!N14*1*D_NE_2!N6 + D_SG_1!N14*D_SG_1!N6 + D_SG_2!N14*D_SG_2!N6 + D_SG_3!N14*D_SG_3!N6 + D_SO_1!N14*D_SO_1!N6 + D_TG_1!N14*D_TG_1!N6 + D_TI_1!N14*D_TI_1!N6 + D_VD_2!N14*D_VD_2!N6 + D_VS_1!N14*D_VS_1!N6 + D_VS_2!N14*D_VS_2!N6 + D_VS_3!N14*D_VS_3!N6 + D_ZH_1!N14*D_ZH_1!N6 + D_ZH_2!N14*D_ZH_2!N6 + D_ZH_3!N14*D_ZH_3!N6 + D_ZH_4!N14*D_ZH_4!N6 + D_ZH_5!N14*D_ZH_5!N6 + D_ZH_6!N14*D_ZH_6!N6 ) / N10</f>
        <v>11.917956209089006</v>
      </c>
      <c r="O19" s="84">
        <f>( 1*D_AG_1!O14*1*D_AG_1!O6 + 1*D_AG_2!O14*1*D_AG_2!O6 + 1*D_AG_3!O14*1*D_AG_3!O6 + 1*D_BE_1!O14*1*D_BE_1!O6 + 1*D_BE_2!O14*1*D_BE_2!O6 + 1*D_BE_3!O14*1*D_BE_3!O6 + 1*D_BS_1!O14*1*D_BS_1!O6 + 1*D_FR_1!O14*1*D_FR_1!O6 + 1*D_GE_1!O14*1*D_GE_1!O6 + 1*D_GL_1!O14*1*D_GL_1!O6 + 1*D_GR_1!O14*1*D_GR_1!O6 + 1*D_LU_1!O14*1*D_LU_1!O6 + 1*D_LU_2!O14*1*D_LU_2!O6 + 1*D_NE_1!O14*1*D_NE_1!O6 + 1*D_NE_2!O14*1*D_NE_2!O6 + D_SG_1!O14*D_SG_1!O6 + D_SG_2!O14*D_SG_2!O6 + D_SG_3!O14*D_SG_3!O6 + D_SO_1!O14*D_SO_1!O6 + D_TG_1!O14*D_TG_1!O6 + D_TI_1!O14*D_TI_1!O6 + D_VD_2!O14*D_VD_2!O6 + D_VS_1!O14*D_VS_1!O6 + D_VS_2!O14*D_VS_2!O6 + D_VS_3!O14*D_VS_3!O6 + D_ZH_1!O14*D_ZH_1!O6 + D_ZH_2!O14*D_ZH_2!O6 + D_ZH_3!O14*D_ZH_3!O6 + D_ZH_4!O14*D_ZH_4!O6 + D_ZH_5!O14*D_ZH_5!O6 + D_ZH_6!O14*D_ZH_6!O6 ) / O10</f>
        <v>11.816138333643069</v>
      </c>
      <c r="P19" s="84">
        <f>( 1*D_AG_1!P14*1*D_AG_1!P6 + 1*D_AG_2!P14*1*D_AG_2!P6 + 1*D_AG_3!P14*1*D_AG_3!P6 + 1*D_BE_1!P14*1*D_BE_1!P6 + 1*D_BE_2!P14*1*D_BE_2!P6 + 1*D_BE_3!P14*1*D_BE_3!P6 + 1*D_BS_1!P14*1*D_BS_1!P6 + 1*D_FR_1!P14*1*D_FR_1!P6 + 1*D_GE_1!P14*1*D_GE_1!P6 + 1*D_GL_1!P14*1*D_GL_1!P6 + 1*D_GR_1!P14*1*D_GR_1!P6 + 1*D_LU_1!P14*1*D_LU_1!P6 + 1*D_LU_2!P14*1*D_LU_2!P6 + 1*D_NE_1!P14*1*D_NE_1!P6 + 1*D_NE_2!P14*1*D_NE_2!P6 + D_SG_1!P14*D_SG_1!P6 + D_SG_2!P14*D_SG_2!P6 + D_SG_3!P14*D_SG_3!P6 + D_SO_1!P14*D_SO_1!P6 + D_TG_1!P14*D_TG_1!P6 + D_TI_1!P14*D_TI_1!P6 + D_VD_2!P14*D_VD_2!P6 + D_VS_1!P14*D_VS_1!P6 + D_VS_2!P14*D_VS_2!P6 + D_VS_3!P14*D_VS_3!P6 + D_ZH_1!P14*D_ZH_1!P6 + D_ZH_2!P14*D_ZH_2!P6 + D_ZH_3!P14*D_ZH_3!P6 + D_ZH_4!P14*D_ZH_4!P6 + D_ZH_5!P14*D_ZH_5!P6 + D_ZH_6!P14*D_ZH_6!P6 ) / P10</f>
        <v>11.859011332227388</v>
      </c>
      <c r="Q19" s="43"/>
      <c r="R19" s="43"/>
      <c r="S19" s="43"/>
    </row>
    <row r="20" spans="2:28" ht="278.39999999999998" customHeight="1" x14ac:dyDescent="0.3">
      <c r="B20" s="40"/>
      <c r="C20" s="41"/>
      <c r="D20" s="40"/>
      <c r="E20" s="40"/>
      <c r="F20" s="40"/>
      <c r="G20" s="40"/>
      <c r="H20" s="40"/>
      <c r="I20" s="84"/>
      <c r="J20" s="84"/>
      <c r="K20" s="84"/>
      <c r="L20" s="84"/>
      <c r="M20" s="84"/>
      <c r="N20" s="66"/>
      <c r="O20" s="84"/>
      <c r="P20" s="84"/>
      <c r="Q20" s="43"/>
      <c r="R20" s="43"/>
      <c r="S20" s="43"/>
    </row>
    <row r="21" spans="2:28" ht="22.2" customHeight="1" x14ac:dyDescent="0.3">
      <c r="B21" s="45" t="s">
        <v>273</v>
      </c>
      <c r="C21" s="46" t="s">
        <v>105</v>
      </c>
      <c r="D21" s="42">
        <f xml:space="preserve"> 1*D_AG_1!D15 + 1*D_AG_2!D15 + 1*D_AG_3!D15 + 1*D_BE_1!D15 + 1*D_BE_2!D15 + 1*D_BE_3!D15 + 1*D_BS_1!D15 + 1*D_FR_1!D15 + 1*D_GE_1!D15 + 1*D_GL_1!D15 + 1*D_GR_1!D15 + 1*D_LU_1!D15 + 1*D_LU_2!D15 + 1*D_NE_1!D15 + 1*D_NE_2!D15 + D_SG_1!D15 + D_SG_2!D15 + D_SG_3!D15 + D_SO_1!D15 + D_TG_1!D15 + D_TI_1!D15 + D_VD_2!D15 + D_VS_1!D15 + D_VS_2!D15 + D_VS_3!D15 + D_ZH_1!D15 + D_ZH_2!D15 + D_ZH_3!D15 + D_ZH_4!D15 + D_ZH_5!D15 + D_ZH_6!D15</f>
        <v>3041209</v>
      </c>
      <c r="E21" s="42">
        <f xml:space="preserve"> 1*D_AG_1!E15 + 1*D_AG_2!E15 + 1*D_AG_3!E15 + 1*D_BE_1!E15 + 1*D_BE_2!E15 + 1*D_BE_3!E15 + 1*D_BS_1!E15 + 1*D_FR_1!E15 + 1*D_GE_1!E15 + 1*D_GL_1!E15 + 1*D_GR_1!E15 + 1*D_LU_1!E15 + 1*D_LU_2!E15 + 1*D_NE_1!E15 + 1*D_NE_2!E15 + D_SG_1!E15 + D_SG_2!E15 + D_SG_3!E15 + D_SO_1!E15 + D_TG_1!E15 + D_TI_1!E15 + D_VD_2!E15 + D_VS_1!E15 + D_VS_2!E15 + D_VS_3!E15 + D_ZH_1!E15 + D_ZH_2!E15 + D_ZH_3!E15 + D_ZH_4!E15 + D_ZH_5!E15 + D_ZH_6!E15</f>
        <v>2909827</v>
      </c>
      <c r="F21" s="42">
        <f xml:space="preserve"> 1*D_AG_1!F15 + 1*D_AG_2!F15 + 1*D_AG_3!F15 + 1*D_BE_1!F15 + 1*D_BE_2!F15 + 1*D_BE_3!F15 + 1*D_BS_1!F15 + 1*D_FR_1!F15 + 1*D_GE_1!F15 + 1*D_GL_1!F15 + 1*D_GR_1!F15 + 1*D_LU_1!F15 + 1*D_LU_2!F15 + 1*D_NE_1!F15 + 1*D_NE_2!F15 + D_SG_1!F15 + D_SG_2!F15 + D_SG_3!F15 + D_SO_1!F15 + D_TG_1!F15 + D_TI_1!F15 + D_VD_2!F15 + D_VS_1!F15 + D_VS_2!F15 + D_VS_3!F15 + D_ZH_1!F15 + D_ZH_2!F15 + D_ZH_3!F15 + D_ZH_4!F15 + D_ZH_5!F15 + D_ZH_6!F15</f>
        <v>2971711</v>
      </c>
      <c r="G21" s="42">
        <f xml:space="preserve"> 1*D_AG_1!G15 + 1*D_AG_2!G15 + 1*D_AG_3!G15 + 1*D_BE_1!G15 + 1*D_BE_2!G15 + 1*D_BE_3!G15 + 1*D_BS_1!G15 + 1*D_FR_1!G15 + 1*D_GE_1!G15 + 1*D_GL_1!G15 + 1*D_GR_1!G15 + 1*D_LU_1!G15 + 1*D_LU_2!G15 + 1*D_NE_1!G15 + 1*D_NE_2!G15 + D_SG_1!G15 + D_SG_2!G15 + D_SG_3!G15 + D_SO_1!G15 + D_TG_1!G15 + D_TI_1!G15 + D_VD_2!G15 + D_VS_1!G15 + D_VS_2!G15 + D_VS_3!G15 + D_ZH_1!G15 + D_ZH_2!G15 + D_ZH_3!G15 + D_ZH_4!G15 + D_ZH_5!G15 + D_ZH_6!G15</f>
        <v>3105197</v>
      </c>
      <c r="H21" s="47">
        <f xml:space="preserve"> 1*D_AG_1!H15 + 1*D_AG_2!H15 + 1*D_AG_3!H15 + 1*D_BE_1!H15 + 1*D_BE_2!H15 + 1*D_BE_3!H15 + 1*D_BS_1!H15 + 1*D_FR_1!H15 + 1*D_GE_1!H15 + 1*D_GL_1!H15 + 1*D_GR_1!H15 + 1*D_LU_1!H15 + 1*D_LU_2!H15 + 1*D_NE_1!H15 + 1*D_NE_2!H15 + D_SG_1!H15 + D_SG_2!H15 + D_SG_3!H15 + D_SO_1!H15 + D_TG_1!H15 + D_TI_1!H15 + D_VD_2!H15 + D_VS_1!H15 + D_VS_2!H15 + D_VS_3!H15 + D_ZH_1!H15 + D_ZH_2!H15 + D_ZH_3!H15 + D_ZH_4!H15 + D_ZH_5!H15 + D_ZH_6!H15</f>
        <v>3055045</v>
      </c>
      <c r="I21" s="47">
        <f xml:space="preserve"> 1*D_AG_1!I15 + 1*D_AG_2!I15 + 1*D_AG_3!I15 + 1*D_BE_1!I15 + 1*D_BE_2!I15 + 1*D_BE_3!I15 + 1*D_BS_1!I15 + 1*D_FR_1!I15 + 1*D_GE_1!I15 + 1*D_GL_1!I15 + 1*D_GR_1!I15 + 1*D_LU_1!I15 + 1*D_LU_2!I15 + 1*D_NE_1!I15 + 1*D_NE_2!I15 + D_SG_1!I15 + D_SG_2!I15 + D_SG_3!I15 + D_SO_1!I15 + D_TG_1!I15 + D_TI_1!I15 + D_VD_2!I15 + D_VS_1!I15 + D_VS_2!I15 + D_VS_3!I15 + D_ZH_1!I15 + D_ZH_2!I15 + D_ZH_3!I15 + D_ZH_4!I15 + D_ZH_5!I15 + D_ZH_6!I15</f>
        <v>3395094</v>
      </c>
      <c r="J21" s="47">
        <f xml:space="preserve"> 1*D_AG_1!J15 + 1*D_AG_2!J15 + 1*D_AG_3!J15 + 1*D_BE_1!J15 + 1*D_BE_2!J15 + 1*D_BE_3!J15 + 1*D_BS_1!J15 + 1*D_FR_1!J15 + 1*D_GE_1!J15 + 1*D_GL_1!J15 + 1*D_GR_1!J15 + 1*D_LU_1!J15 + 1*D_LU_2!J15 + 1*D_NE_1!J15 + 1*D_NE_2!J15 + D_SG_1!J15 + D_SG_2!J15 + D_SG_3!J15 + D_SO_1!J15 + D_TG_1!J15 + D_TI_1!J15 + D_VD_2!J15 + D_VS_1!J15 + D_VS_2!J15 + D_VS_3!J15 + D_ZH_1!J15 + D_ZH_2!J15 + D_ZH_3!J15 + D_ZH_4!J15 + D_ZH_5!J15 + D_ZH_6!J15</f>
        <v>3600256</v>
      </c>
      <c r="K21" s="47">
        <f xml:space="preserve"> 1*D_AG_1!K15 + 1*D_AG_2!K15 + 1*D_AG_3!K15 + 1*D_BE_1!K15 + 1*D_BE_2!K15 + 1*D_BE_3!K15 + 1*D_BS_1!K15 + 1*D_FR_1!K15 + 1*D_GE_1!K15 + 1*D_GL_1!K15 + 1*D_GR_1!K15 + 1*D_LU_1!K15 + 1*D_LU_2!K15 + 1*D_NE_1!K15 + 1*D_NE_2!K15 + D_SG_1!K15 + D_SG_2!K15 + D_SG_3!K15 + D_SO_1!K15 + D_TG_1!K15 + D_TI_1!K15 + D_VD_2!K15 + D_VS_1!K15 + D_VS_2!K15 + D_VS_3!K15 + D_ZH_1!K15 + D_ZH_2!K15 + D_ZH_3!K15 + D_ZH_4!K15 + D_ZH_5!K15 + D_ZH_6!K15</f>
        <v>3696118</v>
      </c>
      <c r="L21" s="47">
        <f xml:space="preserve"> 1*D_AG_1!L15 + 1*D_AG_2!L15 + 1*D_AG_3!L15 + 1*D_BE_1!L15 + 1*D_BE_2!L15 + 1*D_BE_3!L15 + 1*D_BS_1!L15 + 1*D_FR_1!L15 + 1*D_GE_1!L15 + 1*D_GL_1!L15 + 1*D_GR_1!L15 + 1*D_LU_1!L15 + 1*D_LU_2!L15 + 1*D_NE_1!L15 + 1*D_NE_2!L15 + D_SG_1!L15 + D_SG_2!L15 + D_SG_3!L15 + D_SO_1!L15 + D_TG_1!L15 + D_TI_1!L15 + D_VD_2!L15 + D_VS_1!L15 + D_VS_2!L15 + D_VS_3!L15 + D_ZH_1!L15 + D_ZH_2!L15 + D_ZH_3!L15 + D_ZH_4!L15 + D_ZH_5!L15 + D_ZH_6!L15</f>
        <v>3731847</v>
      </c>
      <c r="M21" s="47">
        <f xml:space="preserve"> 1*D_AG_1!M15 + 1*D_AG_2!M15 + 1*D_AG_3!M15 + 1*D_BE_1!M15 + 1*D_BE_2!M15 + 1*D_BE_3!M15 + 1*D_BS_1!M15 + 1*D_FR_1!M15 + 1*D_GE_1!M15 + 1*D_GL_1!M15 + 1*D_GR_1!M15 + 1*D_LU_1!M15 + 1*D_LU_2!M15 + 1*D_NE_1!M15 + 1*D_NE_2!M15 + D_SG_1!M15 + D_SG_2!M15 + D_SG_3!M15 + D_SO_1!M15 + D_TG_1!M15 + D_TI_1!M15 + D_VD_2!M15 + D_VS_1!M15 + D_VS_2!M15 + D_VS_3!M15 + D_ZH_1!M15 + D_ZH_2!M15 + D_ZH_3!M15 + D_ZH_4!M15 + D_ZH_5!M15 + D_ZH_6!M15</f>
        <v>3996991</v>
      </c>
      <c r="N21" s="47">
        <f xml:space="preserve"> 1*D_AG_1!N15 + 1*D_AG_2!N15 + 1*D_AG_3!N15 + 1*D_BE_1!N15 + 1*D_BE_2!N15 + 1*D_BE_3!N15 + 1*D_BS_1!N15 + 1*D_FR_1!N15 + 1*D_GE_1!N15 + 1*D_GL_1!N15 + 1*D_GR_1!N15 + 1*D_LU_1!N15 + 1*D_LU_2!N15 + 1*D_NE_1!N15 + 1*D_NE_2!N15 + D_SG_1!N15 + D_SG_2!N15 + D_SG_3!N15 + D_SO_1!N15 + D_TG_1!N15 + D_TI_1!N15 + D_VD_2!N15 + D_VS_1!N15 + D_VS_2!N15 + D_VS_3!N15 + D_ZH_1!N15 + D_ZH_2!N15 + D_ZH_3!N15 + D_ZH_4!N15 + D_ZH_5!N15 + D_ZH_6!N15</f>
        <v>3929309</v>
      </c>
      <c r="O21" s="47">
        <f xml:space="preserve"> 1*D_AG_1!O15 + 1*D_AG_2!O15 + 1*D_AG_3!O15 + 1*D_BE_1!O15 + 1*D_BE_2!O15 + 1*D_BE_3!O15 + 1*D_BS_1!O15 + 1*D_FR_1!O15 + 1*D_GE_1!O15 + 1*D_GL_1!O15 + 1*D_GR_1!O15 + 1*D_LU_1!O15 + 1*D_LU_2!O15 + 1*D_NE_1!O15 + 1*D_NE_2!O15 + D_SG_1!O15 + D_SG_2!O15 + D_SG_3!O15 + D_SO_1!O15 + D_TG_1!O15 + D_TI_1!O15 + D_VD_2!O15 + D_VS_1!O15 + D_VS_2!O15 + D_VS_3!O15 + D_ZH_1!O15 + D_ZH_2!O15 + D_ZH_3!O15 + D_ZH_4!O15 + D_ZH_5!O15 + D_ZH_6!O15</f>
        <v>4175136.757571632</v>
      </c>
      <c r="P21" s="47">
        <f xml:space="preserve"> 1*D_AG_1!P15 + 1*D_AG_2!P15 + 1*D_AG_3!P15 + 1*D_BE_1!P15 + 1*D_BE_2!P15 + 1*D_BE_3!P15 + 1*D_BS_1!P15 + 1*D_FR_1!P15 + 1*D_GE_1!P15 + 1*D_GL_1!P15 + 1*D_GR_1!P15 + 1*D_LU_1!P15 + 1*D_LU_2!P15 + 1*D_NE_1!P15 + 1*D_NE_2!P15 + D_SG_1!P15 + D_SG_2!P15 + D_SG_3!P15 + D_SO_1!P15 + D_TG_1!P15 + D_TI_1!P15 + D_VD_2!P15 + D_VS_1!P15 + D_VS_2!P15 + D_VS_3!P15 + D_ZH_1!P15 + D_ZH_2!P15 + D_ZH_3!P15 + D_ZH_4!P15 + D_ZH_5!P15 + D_ZH_6!P15</f>
        <v>3892572</v>
      </c>
      <c r="Q21" s="47"/>
      <c r="R21" s="47"/>
      <c r="S21" s="47"/>
      <c r="T21" s="90"/>
      <c r="U21" s="90"/>
      <c r="V21" s="90"/>
      <c r="W21" s="90"/>
      <c r="X21" s="90"/>
      <c r="Y21" s="90"/>
      <c r="Z21" s="90"/>
      <c r="AA21" s="90"/>
      <c r="AB21" s="90"/>
    </row>
    <row r="22" spans="2:28" ht="18.600000000000001" customHeight="1" x14ac:dyDescent="0.3">
      <c r="B22" s="45" t="s">
        <v>274</v>
      </c>
      <c r="C22" s="46" t="s">
        <v>105</v>
      </c>
      <c r="D22" s="42">
        <f>(Pars!D90/Pars!D89+(1-Pars!D90))*D_CH!D21</f>
        <v>2918685.4719424457</v>
      </c>
      <c r="E22" s="42">
        <f>(Pars!E90/Pars!E89+(1-Pars!E90))*D_CH!E21</f>
        <v>3071557.7034168569</v>
      </c>
      <c r="F22" s="42">
        <f>(Pars!F90/Pars!F89+(1-Pars!F90))*D_CH!F21</f>
        <v>2972900.8742742743</v>
      </c>
      <c r="G22" s="42">
        <f>(Pars!G90/Pars!G89+(1-Pars!G90))*D_CH!G21</f>
        <v>2993308.1909008194</v>
      </c>
      <c r="H22" s="42">
        <f>(Pars!H90/Pars!H89+(1-Pars!H90))*D_CH!H21</f>
        <v>3301798.634615385</v>
      </c>
      <c r="I22" s="42">
        <f>(Pars!I90/Pars!I89+(1-Pars!I90))*D_CH!I21</f>
        <v>3497311.8838709677</v>
      </c>
      <c r="J22" s="42">
        <f>(Pars!J90/Pars!J89+(1-Pars!J90))*D_CH!J21</f>
        <v>3606039.5437751003</v>
      </c>
      <c r="K22" s="42">
        <f>(Pars!K90/Pars!K89+(1-Pars!K90))*D_CH!K21</f>
        <v>3746571.7307135467</v>
      </c>
      <c r="L22" s="42">
        <f>(Pars!L90/Pars!L89+(1-Pars!L90))*D_CH!L21</f>
        <v>3923914.9720090292</v>
      </c>
      <c r="M22" s="42">
        <f>(Pars!M90/Pars!M89+(1-Pars!M90))*D_CH!M21</f>
        <v>4157046.5251925192</v>
      </c>
      <c r="N22" s="42">
        <f>(Pars!N90/Pars!N89+(1-Pars!N90))*D_CH!N21</f>
        <v>4224240.5068883607</v>
      </c>
      <c r="O22" s="42">
        <f>(Pars!O90/Pars!O89+(1-Pars!O90))*D_CH!O21</f>
        <v>4180161.9974002037</v>
      </c>
      <c r="P22" s="42">
        <f>(Pars!P90/Pars!P89+(1-Pars!P90))*D_CH!P21</f>
        <v>4260177.0689740423</v>
      </c>
      <c r="Q22" s="47"/>
      <c r="R22" s="47"/>
      <c r="S22" s="47"/>
      <c r="T22" s="90"/>
      <c r="U22" s="90"/>
      <c r="V22" s="90"/>
      <c r="W22" s="90"/>
      <c r="X22" s="90"/>
      <c r="Y22" s="90"/>
      <c r="Z22" s="90"/>
      <c r="AA22" s="90"/>
      <c r="AB22" s="90"/>
    </row>
    <row r="23" spans="2:28" x14ac:dyDescent="0.3">
      <c r="B23" s="45" t="s">
        <v>53</v>
      </c>
      <c r="C23" s="46" t="s">
        <v>105</v>
      </c>
      <c r="D23" s="42">
        <f xml:space="preserve"> 1*D_AG_1!D16 + 1*D_AG_2!D16 + 1*D_AG_3!D16 + 1*D_BE_1!D16 + 1*D_BE_2!D16 + 1*D_BE_3!D16 + 1*D_BS_1!D16 + 1*D_FR_1!D16 + 1*D_GE_1!D16 + 1*D_GL_1!D16 + 1*D_GR_1!D16 + 1*D_LU_1!D16 + 1*D_LU_2!D16 + 1*D_NE_1!D16 + 1*D_NE_2!D16 + D_SG_1!D16 + D_SG_2!D16 + D_SG_3!D16 + D_SO_1!D16 + D_TG_1!D16 + D_TI_1!D16 + D_VD_2!D16 + D_VS_1!D16 + D_VS_2!D16 + D_VS_3!D16 + D_ZH_1!D16 + D_ZH_2!D16 + D_ZH_3!D16 + D_ZH_4!D16 + D_ZH_5!D16 + D_ZH_6!D16</f>
        <v>1408184</v>
      </c>
      <c r="E23" s="42">
        <f xml:space="preserve"> 1*D_AG_1!E16 + 1*D_AG_2!E16 + 1*D_AG_3!E16 + 1*D_BE_1!E16 + 1*D_BE_2!E16 + 1*D_BE_3!E16 + 1*D_BS_1!E16 + 1*D_FR_1!E16 + 1*D_GE_1!E16 + 1*D_GL_1!E16 + 1*D_GR_1!E16 + 1*D_LU_1!E16 + 1*D_LU_2!E16 + 1*D_NE_1!E16 + 1*D_NE_2!E16 + D_SG_1!E16 + D_SG_2!E16 + D_SG_3!E16 + D_SO_1!E16 + D_TG_1!E16 + D_TI_1!E16 + D_VD_2!E16 + D_VS_1!E16 + D_VS_2!E16 + D_VS_3!E16 + D_ZH_1!E16 + D_ZH_2!E16 + D_ZH_3!E16 + D_ZH_4!E16 + D_ZH_5!E16 + D_ZH_6!E16</f>
        <v>1442379</v>
      </c>
      <c r="F23" s="42">
        <f xml:space="preserve"> 1*D_AG_1!F16 + 1*D_AG_2!F16 + 1*D_AG_3!F16 + 1*D_BE_1!F16 + 1*D_BE_2!F16 + 1*D_BE_3!F16 + 1*D_BS_1!F16 + 1*D_FR_1!F16 + 1*D_GE_1!F16 + 1*D_GL_1!F16 + 1*D_GR_1!F16 + 1*D_LU_1!F16 + 1*D_LU_2!F16 + 1*D_NE_1!F16 + 1*D_NE_2!F16 + D_SG_1!F16 + D_SG_2!F16 + D_SG_3!F16 + D_SO_1!F16 + D_TG_1!F16 + D_TI_1!F16 + D_VD_2!F16 + D_VS_1!F16 + D_VS_2!F16 + D_VS_3!F16 + D_ZH_1!F16 + D_ZH_2!F16 + D_ZH_3!F16 + D_ZH_4!F16 + D_ZH_5!F16 + D_ZH_6!F16</f>
        <v>1516543</v>
      </c>
      <c r="G23" s="42">
        <f xml:space="preserve"> 1*D_AG_1!G16 + 1*D_AG_2!G16 + 1*D_AG_3!G16 + 1*D_BE_1!G16 + 1*D_BE_2!G16 + 1*D_BE_3!G16 + 1*D_BS_1!G16 + 1*D_FR_1!G16 + 1*D_GE_1!G16 + 1*D_GL_1!G16 + 1*D_GR_1!G16 + 1*D_LU_1!G16 + 1*D_LU_2!G16 + 1*D_NE_1!G16 + 1*D_NE_2!G16 + D_SG_1!G16 + D_SG_2!G16 + D_SG_3!G16 + D_SO_1!G16 + D_TG_1!G16 + D_TI_1!G16 + D_VD_2!G16 + D_VS_1!G16 + D_VS_2!G16 + D_VS_3!G16 + D_ZH_1!G16 + D_ZH_2!G16 + D_ZH_3!G16 + D_ZH_4!G16 + D_ZH_5!G16 + D_ZH_6!G16</f>
        <v>1596455</v>
      </c>
      <c r="H23" s="47">
        <f xml:space="preserve"> 1*D_AG_1!H16 + 1*D_AG_2!H16 + 1*D_AG_3!H16 + 1*D_BE_1!H16 + 1*D_BE_2!H16 + 1*D_BE_3!H16 + 1*D_BS_1!H16 + 1*D_FR_1!H16 + 1*D_GE_1!H16 + 1*D_GL_1!H16 + 1*D_GR_1!H16 + 1*D_LU_1!H16 + 1*D_LU_2!H16 + 1*D_NE_1!H16 + 1*D_NE_2!H16 + D_SG_1!H16 + D_SG_2!H16 + D_SG_3!H16 + D_SO_1!H16 + D_TG_1!H16 + D_TI_1!H16 + D_VD_2!H16 + D_VS_1!H16 + D_VS_2!H16 + D_VS_3!H16 + D_ZH_1!H16 + D_ZH_2!H16 + D_ZH_3!H16 + D_ZH_4!H16 + D_ZH_5!H16 + D_ZH_6!H16</f>
        <v>1702041</v>
      </c>
      <c r="I23" s="47">
        <f xml:space="preserve"> 1*D_AG_1!I16 + 1*D_AG_2!I16 + 1*D_AG_3!I16 + 1*D_BE_1!I16 + 1*D_BE_2!I16 + 1*D_BE_3!I16 + 1*D_BS_1!I16 + 1*D_FR_1!I16 + 1*D_GE_1!I16 + 1*D_GL_1!I16 + 1*D_GR_1!I16 + 1*D_LU_1!I16 + 1*D_LU_2!I16 + 1*D_NE_1!I16 + 1*D_NE_2!I16 + D_SG_1!I16 + D_SG_2!I16 + D_SG_3!I16 + D_SO_1!I16 + D_TG_1!I16 + D_TI_1!I16 + D_VD_2!I16 + D_VS_1!I16 + D_VS_2!I16 + D_VS_3!I16 + D_ZH_1!I16 + D_ZH_2!I16 + D_ZH_3!I16 + D_ZH_4!I16 + D_ZH_5!I16 + D_ZH_6!I16</f>
        <v>1715470</v>
      </c>
      <c r="J23" s="47">
        <f xml:space="preserve"> 1*D_AG_1!J16 + 1*D_AG_2!J16 + 1*D_AG_3!J16 + 1*D_BE_1!J16 + 1*D_BE_2!J16 + 1*D_BE_3!J16 + 1*D_BS_1!J16 + 1*D_FR_1!J16 + 1*D_GE_1!J16 + 1*D_GL_1!J16 + 1*D_GR_1!J16 + 1*D_LU_1!J16 + 1*D_LU_2!J16 + 1*D_NE_1!J16 + 1*D_NE_2!J16 + D_SG_1!J16 + D_SG_2!J16 + D_SG_3!J16 + D_SO_1!J16 + D_TG_1!J16 + D_TI_1!J16 + D_VD_2!J16 + D_VS_1!J16 + D_VS_2!J16 + D_VS_3!J16 + D_ZH_1!J16 + D_ZH_2!J16 + D_ZH_3!J16 + D_ZH_4!J16 + D_ZH_5!J16 + D_ZH_6!J16</f>
        <v>1845190</v>
      </c>
      <c r="K23" s="47">
        <f xml:space="preserve"> 1*D_AG_1!K16 + 1*D_AG_2!K16 + 1*D_AG_3!K16 + 1*D_BE_1!K16 + 1*D_BE_2!K16 + 1*D_BE_3!K16 + 1*D_BS_1!K16 + 1*D_FR_1!K16 + 1*D_GE_1!K16 + 1*D_GL_1!K16 + 1*D_GR_1!K16 + 1*D_LU_1!K16 + 1*D_LU_2!K16 + 1*D_NE_1!K16 + 1*D_NE_2!K16 + D_SG_1!K16 + D_SG_2!K16 + D_SG_3!K16 + D_SO_1!K16 + D_TG_1!K16 + D_TI_1!K16 + D_VD_2!K16 + D_VS_1!K16 + D_VS_2!K16 + D_VS_3!K16 + D_ZH_1!K16 + D_ZH_2!K16 + D_ZH_3!K16 + D_ZH_4!K16 + D_ZH_5!K16 + D_ZH_6!K16</f>
        <v>1852441</v>
      </c>
      <c r="L23" s="47">
        <f xml:space="preserve"> 1*D_AG_1!L16 + 1*D_AG_2!L16 + 1*D_AG_3!L16 + 1*D_BE_1!L16 + 1*D_BE_2!L16 + 1*D_BE_3!L16 + 1*D_BS_1!L16 + 1*D_FR_1!L16 + 1*D_GE_1!L16 + 1*D_GL_1!L16 + 1*D_GR_1!L16 + 1*D_LU_1!L16 + 1*D_LU_2!L16 + 1*D_NE_1!L16 + 1*D_NE_2!L16 + D_SG_1!L16 + D_SG_2!L16 + D_SG_3!L16 + D_SO_1!L16 + D_TG_1!L16 + D_TI_1!L16 + D_VD_2!L16 + D_VS_1!L16 + D_VS_2!L16 + D_VS_3!L16 + D_ZH_1!L16 + D_ZH_2!L16 + D_ZH_3!L16 + D_ZH_4!L16 + D_ZH_5!L16 + D_ZH_6!L16</f>
        <v>1830591</v>
      </c>
      <c r="M23" s="47">
        <f xml:space="preserve"> 1*D_AG_1!M16 + 1*D_AG_2!M16 + 1*D_AG_3!M16 + 1*D_BE_1!M16 + 1*D_BE_2!M16 + 1*D_BE_3!M16 + 1*D_BS_1!M16 + 1*D_FR_1!M16 + 1*D_GE_1!M16 + 1*D_GL_1!M16 + 1*D_GR_1!M16 + 1*D_LU_1!M16 + 1*D_LU_2!M16 + 1*D_NE_1!M16 + 1*D_NE_2!M16 + D_SG_1!M16 + D_SG_2!M16 + D_SG_3!M16 + D_SO_1!M16 + D_TG_1!M16 + D_TI_1!M16 + D_VD_2!M16 + D_VS_1!M16 + D_VS_2!M16 + D_VS_3!M16 + D_ZH_1!M16 + D_ZH_2!M16 + D_ZH_3!M16 + D_ZH_4!M16 + D_ZH_5!M16 + D_ZH_6!M16</f>
        <v>1854717</v>
      </c>
      <c r="N23" s="47">
        <f xml:space="preserve"> 1*D_AG_1!N16 + 1*D_AG_2!N16 + 1*D_AG_3!N16 + 1*D_BE_1!N16 + 1*D_BE_2!N16 + 1*D_BE_3!N16 + 1*D_BS_1!N16 + 1*D_FR_1!N16 + 1*D_GE_1!N16 + 1*D_GL_1!N16 + 1*D_GR_1!N16 + 1*D_LU_1!N16 + 1*D_LU_2!N16 + 1*D_NE_1!N16 + 1*D_NE_2!N16 + D_SG_1!N16 + D_SG_2!N16 + D_SG_3!N16 + D_SO_1!N16 + D_TG_1!N16 + D_TI_1!N16 + D_VD_2!N16 + D_VS_1!N16 + D_VS_2!N16 + D_VS_3!N16 + D_ZH_1!N16 + D_ZH_2!N16 + D_ZH_3!N16 + D_ZH_4!N16 + D_ZH_5!N16 + D_ZH_6!N16</f>
        <v>1855487</v>
      </c>
      <c r="O23" s="47">
        <f xml:space="preserve"> 1*D_AG_1!O16 + 1*D_AG_2!O16 + 1*D_AG_3!O16 + 1*D_BE_1!O16 + 1*D_BE_2!O16 + 1*D_BE_3!O16 + 1*D_BS_1!O16 + 1*D_FR_1!O16 + 1*D_GE_1!O16 + 1*D_GL_1!O16 + 1*D_GR_1!O16 + 1*D_LU_1!O16 + 1*D_LU_2!O16 + 1*D_NE_1!O16 + 1*D_NE_2!O16 + D_SG_1!O16 + D_SG_2!O16 + D_SG_3!O16 + D_SO_1!O16 + D_TG_1!O16 + D_TI_1!O16 + D_VD_2!O16 + D_VS_1!O16 + D_VS_2!O16 + D_VS_3!O16 + D_ZH_1!O16 + D_ZH_2!O16 + D_ZH_3!O16 + D_ZH_4!O16 + D_ZH_5!O16 + D_ZH_6!O16</f>
        <v>1752443.4448473868</v>
      </c>
      <c r="P23" s="47">
        <f xml:space="preserve"> 1*D_AG_1!P16 + 1*D_AG_2!P16 + 1*D_AG_3!P16 + 1*D_BE_1!P16 + 1*D_BE_2!P16 + 1*D_BE_3!P16 + 1*D_BS_1!P16 + 1*D_FR_1!P16 + 1*D_GE_1!P16 + 1*D_GL_1!P16 + 1*D_GR_1!P16 + 1*D_LU_1!P16 + 1*D_LU_2!P16 + 1*D_NE_1!P16 + 1*D_NE_2!P16 + D_SG_1!P16 + D_SG_2!P16 + D_SG_3!P16 + D_SO_1!P16 + D_TG_1!P16 + D_TI_1!P16 + D_VD_2!P16 + D_VS_1!P16 + D_VS_2!P16 + D_VS_3!P16 + D_ZH_1!P16 + D_ZH_2!P16 + D_ZH_3!P16 + D_ZH_4!P16 + D_ZH_5!P16 + D_ZH_6!P16</f>
        <v>1722783</v>
      </c>
      <c r="Q23" s="47"/>
      <c r="R23" s="47"/>
      <c r="S23" s="47"/>
      <c r="T23" s="90"/>
      <c r="U23" s="90"/>
      <c r="V23" s="90"/>
      <c r="W23" s="90"/>
      <c r="X23" s="90"/>
      <c r="Y23" s="90"/>
      <c r="Z23" s="90"/>
      <c r="AA23" s="90"/>
      <c r="AB23" s="90"/>
    </row>
    <row r="24" spans="2:28" x14ac:dyDescent="0.3">
      <c r="B24" s="105"/>
      <c r="C24" s="53"/>
      <c r="D24" s="46"/>
      <c r="E24" s="46"/>
      <c r="F24" s="46"/>
      <c r="G24" s="4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90"/>
      <c r="U24" s="90"/>
      <c r="V24" s="90"/>
      <c r="W24" s="90"/>
      <c r="X24" s="90"/>
      <c r="Y24" s="90"/>
      <c r="Z24" s="90"/>
      <c r="AA24" s="90"/>
      <c r="AB24" s="90"/>
    </row>
    <row r="25" spans="2:28" ht="340.8" customHeight="1" x14ac:dyDescent="0.3">
      <c r="B25" s="105"/>
      <c r="C25" s="53"/>
      <c r="D25" s="46"/>
      <c r="E25" s="46"/>
      <c r="F25" s="46"/>
      <c r="G25" s="4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90"/>
      <c r="U25" s="90"/>
      <c r="V25" s="90"/>
      <c r="W25" s="90"/>
      <c r="X25" s="90"/>
      <c r="Y25" s="90"/>
      <c r="Z25" s="90"/>
      <c r="AA25" s="90"/>
      <c r="AB25" s="90"/>
    </row>
    <row r="26" spans="2:28" x14ac:dyDescent="0.3">
      <c r="B26" s="108" t="s">
        <v>131</v>
      </c>
      <c r="C26" s="53"/>
      <c r="D26" s="54"/>
      <c r="E26" s="54"/>
      <c r="F26" s="54"/>
      <c r="G26" s="54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2:28" x14ac:dyDescent="0.3">
      <c r="B27" s="40" t="s">
        <v>106</v>
      </c>
      <c r="C27" s="41" t="s">
        <v>95</v>
      </c>
      <c r="D27" s="42">
        <f xml:space="preserve"> 1*D_AG_1!D18 + 1*D_AG_2!D18 + 1*D_AG_3!D18 + 1*D_BE_1!D18 + 1*D_BE_2!D18 + 1*D_BE_3!D18 + 1*D_BS_1!D18 + 1*D_FR_1!D18 + 1*D_GE_1!D18 + 1*D_GL_1!D18 + 1*D_GR_1!D18 + 1*D_LU_1!D18 + 1*D_LU_2!D18 + 1*D_NE_1!D18 + 1*D_NE_2!D18 + D_SG_1!D18 + D_SG_2!D18 + D_SG_3!D18 + D_SO_1!D18 + D_TG_1!D18 + D_TI_1!D18 + D_VD_2!D18 + D_VS_1!D18 + D_VS_2!D18 + D_VS_3!D18 + D_ZH_1!D18 + D_ZH_2!D18 + D_ZH_3!D18 + D_ZH_4!D18 + D_ZH_5!D18 + D_ZH_6!D18</f>
        <v>775768.85900000005</v>
      </c>
      <c r="E27" s="42">
        <f xml:space="preserve"> 1*D_AG_1!E18 + 1*D_AG_2!E18 + 1*D_AG_3!E18 + 1*D_BE_1!E18 + 1*D_BE_2!E18 + 1*D_BE_3!E18 + 1*D_BS_1!E18 + 1*D_FR_1!E18 + 1*D_GE_1!E18 + 1*D_GL_1!E18 + 1*D_GR_1!E18 + 1*D_LU_1!E18 + 1*D_LU_2!E18 + 1*D_NE_1!E18 + 1*D_NE_2!E18 + D_SG_1!E18 + D_SG_2!E18 + D_SG_3!E18 + D_SO_1!E18 + D_TG_1!E18 + D_TI_1!E18 + D_VD_2!E18 + D_VS_1!E18 + D_VS_2!E18 + D_VS_3!E18 + D_ZH_1!E18 + D_ZH_2!E18 + D_ZH_3!E18 + D_ZH_4!E18 + D_ZH_5!E18 + D_ZH_6!E18</f>
        <v>772665.13899999997</v>
      </c>
      <c r="F27" s="42">
        <f xml:space="preserve"> 1*D_AG_1!F18 + 1*D_AG_2!F18 + 1*D_AG_3!F18 + 1*D_BE_1!F18 + 1*D_BE_2!F18 + 1*D_BE_3!F18 + 1*D_BS_1!F18 + 1*D_FR_1!F18 + 1*D_GE_1!F18 + 1*D_GL_1!F18 + 1*D_GR_1!F18 + 1*D_LU_1!F18 + 1*D_LU_2!F18 + 1*D_NE_1!F18 + 1*D_NE_2!F18 + D_SG_1!F18 + D_SG_2!F18 + D_SG_3!F18 + D_SO_1!F18 + D_TG_1!F18 + D_TI_1!F18 + D_VD_2!F18 + D_VS_1!F18 + D_VS_2!F18 + D_VS_3!F18 + D_ZH_1!F18 + D_ZH_2!F18 + D_ZH_3!F18 + D_ZH_4!F18 + D_ZH_5!F18 + D_ZH_6!F18</f>
        <v>793336.12799999991</v>
      </c>
      <c r="G27" s="42">
        <f xml:space="preserve"> 1*D_AG_1!G18 + 1*D_AG_2!G18 + 1*D_AG_3!G18 + 1*D_BE_1!G18 + 1*D_BE_2!G18 + 1*D_BE_3!G18 + 1*D_BS_1!G18 + 1*D_FR_1!G18 + 1*D_GE_1!G18 + 1*D_GL_1!G18 + 1*D_GR_1!G18 + 1*D_LU_1!G18 + 1*D_LU_2!G18 + 1*D_NE_1!G18 + 1*D_NE_2!G18 + D_SG_1!G18 + D_SG_2!G18 + D_SG_3!G18 + D_SO_1!G18 + D_TG_1!G18 + D_TI_1!G18 + D_VD_2!G18 + D_VS_1!G18 + D_VS_2!G18 + D_VS_3!G18 + D_ZH_1!G18 + D_ZH_2!G18 + D_ZH_3!G18 + D_ZH_4!G18 + D_ZH_5!G18 + D_ZH_6!G18</f>
        <v>784057.99699999997</v>
      </c>
      <c r="H27" s="43">
        <f xml:space="preserve"> 1*D_AG_1!H18 + 1*D_AG_2!H18 + 1*D_AG_3!H18 + 1*D_BE_1!H18 + 1*D_BE_2!H18 + 1*D_BE_3!H18 + 1*D_BS_1!H18 + 1*D_FR_1!H18 + 1*D_GE_1!H18 + 1*D_GL_1!H18 + 1*D_GR_1!H18 + 1*D_LU_1!H18 + 1*D_LU_2!H18 + 1*D_NE_1!H18 + 1*D_NE_2!H18 + D_SG_1!H18 + D_SG_2!H18 + D_SG_3!H18 + D_SO_1!H18 + D_TG_1!H18 + D_TI_1!H18 + D_VD_2!H18 + D_VS_1!H18 + D_VS_2!H18 + D_VS_3!H18 + D_ZH_1!H18 + D_ZH_2!H18 + D_ZH_3!H18 + D_ZH_4!H18 + D_ZH_5!H18 + D_ZH_6!H18</f>
        <v>789487</v>
      </c>
      <c r="I27" s="43">
        <f xml:space="preserve"> 1*D_AG_1!I18 + 1*D_AG_2!I18 + 1*D_AG_3!I18 + 1*D_BE_1!I18 + 1*D_BE_2!I18 + 1*D_BE_3!I18 + 1*D_BS_1!I18 + 1*D_FR_1!I18 + 1*D_GE_1!I18 + 1*D_GL_1!I18 + 1*D_GR_1!I18 + 1*D_LU_1!I18 + 1*D_LU_2!I18 + 1*D_NE_1!I18 + 1*D_NE_2!I18 + D_SG_1!I18 + D_SG_2!I18 + D_SG_3!I18 + D_SO_1!I18 + D_TG_1!I18 + D_TI_1!I18 + D_VD_2!I18 + D_VS_1!I18 + D_VS_2!I18 + D_VS_3!I18 + D_ZH_1!I18 + D_ZH_2!I18 + D_ZH_3!I18 + D_ZH_4!I18 + D_ZH_5!I18 + D_ZH_6!I18</f>
        <v>808240</v>
      </c>
      <c r="J27" s="43">
        <f xml:space="preserve"> 1*D_AG_1!J18 + 1*D_AG_2!J18 + 1*D_AG_3!J18 + 1*D_BE_1!J18 + 1*D_BE_2!J18 + 1*D_BE_3!J18 + 1*D_BS_1!J18 + 1*D_FR_1!J18 + 1*D_GE_1!J18 + 1*D_GL_1!J18 + 1*D_GR_1!J18 + 1*D_LU_1!J18 + 1*D_LU_2!J18 + 1*D_NE_1!J18 + 1*D_NE_2!J18 + D_SG_1!J18 + D_SG_2!J18 + D_SG_3!J18 + D_SO_1!J18 + D_TG_1!J18 + D_TI_1!J18 + D_VD_2!J18 + D_VS_1!J18 + D_VS_2!J18 + D_VS_3!J18 + D_ZH_1!J18 + D_ZH_2!J18 + D_ZH_3!J18 + D_ZH_4!J18 + D_ZH_5!J18 + D_ZH_6!J18</f>
        <v>832496</v>
      </c>
      <c r="K27" s="43">
        <f xml:space="preserve"> 1*D_AG_1!K18 + 1*D_AG_2!K18 + 1*D_AG_3!K18 + 1*D_BE_1!K18 + 1*D_BE_2!K18 + 1*D_BE_3!K18 + 1*D_BS_1!K18 + 1*D_FR_1!K18 + 1*D_GE_1!K18 + 1*D_GL_1!K18 + 1*D_GR_1!K18 + 1*D_LU_1!K18 + 1*D_LU_2!K18 + 1*D_NE_1!K18 + 1*D_NE_2!K18 + D_SG_1!K18 + D_SG_2!K18 + D_SG_3!K18 + D_SO_1!K18 + D_TG_1!K18 + D_TI_1!K18 + D_VD_2!K18 + D_VS_1!K18 + D_VS_2!K18 + D_VS_3!K18 + D_ZH_1!K18 + D_ZH_2!K18 + D_ZH_3!K18 + D_ZH_4!K18 + D_ZH_5!K18 + D_ZH_6!K18</f>
        <v>817858.72200000007</v>
      </c>
      <c r="L27" s="43">
        <f xml:space="preserve"> 1*D_AG_1!L18 + 1*D_AG_2!L18 + 1*D_AG_3!L18 + 1*D_BE_1!L18 + 1*D_BE_2!L18 + 1*D_BE_3!L18 + 1*D_BS_1!L18 + 1*D_FR_1!L18 + 1*D_GE_1!L18 + 1*D_GL_1!L18 + 1*D_GR_1!L18 + 1*D_LU_1!L18 + 1*D_LU_2!L18 + 1*D_NE_1!L18 + 1*D_NE_2!L18 + D_SG_1!L18 + D_SG_2!L18 + D_SG_3!L18 + D_SO_1!L18 + D_TG_1!L18 + D_TI_1!L18 + D_VD_2!L18 + D_VS_1!L18 + D_VS_2!L18 + D_VS_3!L18 + D_ZH_1!L18 + D_ZH_2!L18 + D_ZH_3!L18 + D_ZH_4!L18 + D_ZH_5!L18 + D_ZH_6!L18</f>
        <v>824695</v>
      </c>
      <c r="M27" s="43">
        <f xml:space="preserve"> 1*D_AG_1!M18 + 1*D_AG_2!M18 + 1*D_AG_3!M18 + 1*D_BE_1!M18 + 1*D_BE_2!M18 + 1*D_BE_3!M18 + 1*D_BS_1!M18 + 1*D_FR_1!M18 + 1*D_GE_1!M18 + 1*D_GL_1!M18 + 1*D_GR_1!M18 + 1*D_LU_1!M18 + 1*D_LU_2!M18 + 1*D_NE_1!M18 + 1*D_NE_2!M18 + D_SG_1!M18 + D_SG_2!M18 + D_SG_3!M18 + D_SO_1!M18 + D_TG_1!M18 + D_TI_1!M18 + D_VD_2!M18 + D_VS_1!M18 + D_VS_2!M18 + D_VS_3!M18 + D_ZH_1!M18 + D_ZH_2!M18 + D_ZH_3!M18 + D_ZH_4!M18 + D_ZH_5!M18 + D_ZH_6!M18</f>
        <v>760692</v>
      </c>
      <c r="N27" s="43">
        <f xml:space="preserve"> 1*D_AG_1!N18 + 1*D_AG_2!N18 + 1*D_AG_3!N18 + 1*D_BE_1!N18 + 1*D_BE_2!N18 + 1*D_BE_3!N18 + 1*D_BS_1!N18 + 1*D_FR_1!N18 + 1*D_GE_1!N18 + 1*D_GL_1!N18 + 1*D_GR_1!N18 + 1*D_LU_1!N18 + 1*D_LU_2!N18 + 1*D_NE_1!N18 + 1*D_NE_2!N18 + D_SG_1!N18 + D_SG_2!N18 + D_SG_3!N18 + D_SO_1!N18 + D_TG_1!N18 + D_TI_1!N18 + D_VD_2!N18 + D_VS_1!N18 + D_VS_2!N18 + D_VS_3!N18 + D_ZH_1!N18 + D_ZH_2!N18 + D_ZH_3!N18 + D_ZH_4!N18 + D_ZH_5!N18 + D_ZH_6!N18</f>
        <v>852490</v>
      </c>
      <c r="O27" s="43">
        <f xml:space="preserve"> 1*D_AG_1!O18 + 1*D_AG_2!O18 + 1*D_AG_3!O18 + 1*D_BE_1!O18 + 1*D_BE_2!O18 + 1*D_BE_3!O18 + 1*D_BS_1!O18 + 1*D_FR_1!O18 + 1*D_GE_1!O18 + 1*D_GL_1!O18 + 1*D_GR_1!O18 + 1*D_LU_1!O18 + 1*D_LU_2!O18 + 1*D_NE_1!O18 + 1*D_NE_2!O18 + D_SG_1!O18 + D_SG_2!O18 + D_SG_3!O18 + D_SO_1!O18 + D_TG_1!O18 + D_TI_1!O18 + D_VD_2!O18 + D_VS_1!O18 + D_VS_2!O18 + D_VS_3!O18 + D_ZH_1!O18 + D_ZH_2!O18 + D_ZH_3!O18 + D_ZH_4!O18 + D_ZH_5!O18 + D_ZH_6!O18</f>
        <v>848026.80900000024</v>
      </c>
      <c r="P27" s="43">
        <f xml:space="preserve"> 1*D_AG_1!P18 + 1*D_AG_2!P18 + 1*D_AG_3!P18 + 1*D_BE_1!P18 + 1*D_BE_2!P18 + 1*D_BE_3!P18 + 1*D_BS_1!P18 + 1*D_FR_1!P18 + 1*D_GE_1!P18 + 1*D_GL_1!P18 + 1*D_GR_1!P18 + 1*D_LU_1!P18 + 1*D_LU_2!P18 + 1*D_NE_1!P18 + 1*D_NE_2!P18 + D_SG_1!P18 + D_SG_2!P18 + D_SG_3!P18 + D_SO_1!P18 + D_TG_1!P18 + D_TI_1!P18 + D_VD_2!P18 + D_VS_1!P18 + D_VS_2!P18 + D_VS_3!P18 + D_ZH_1!P18 + D_ZH_2!P18 + D_ZH_3!P18 + D_ZH_4!P18 + D_ZH_5!P18 + D_ZH_6!P18</f>
        <v>784256</v>
      </c>
      <c r="Q27" s="43"/>
      <c r="R27" s="43"/>
      <c r="S27" s="43"/>
      <c r="T27" s="90"/>
      <c r="U27" s="90"/>
      <c r="V27" s="90"/>
      <c r="W27" s="90"/>
      <c r="X27" s="90"/>
      <c r="Y27" s="90"/>
      <c r="Z27" s="90"/>
      <c r="AA27" s="90"/>
      <c r="AB27" s="90"/>
    </row>
    <row r="28" spans="2:28" x14ac:dyDescent="0.3">
      <c r="B28" s="55" t="s">
        <v>107</v>
      </c>
      <c r="C28" s="46" t="s">
        <v>95</v>
      </c>
      <c r="D28" s="42">
        <f xml:space="preserve"> 1*D_AG_1!D19 + 1*D_AG_2!D19 + 1*D_AG_3!D19 + 1*D_BE_1!D19 + 1*D_BE_2!D19 + 1*D_BE_3!D19 + 1*D_BS_1!D19 + 1*D_FR_1!D19 + 1*D_GE_1!D19 + 1*D_GL_1!D19 + 1*D_GR_1!D19 + 1*D_LU_1!D19 + 1*D_LU_2!D19 + 1*D_NE_1!D19 + 1*D_NE_2!D19 + D_SG_1!D19 + D_SG_2!D19 + D_SG_3!D19 + D_SO_1!D19 + D_TG_1!D19 + D_TI_1!D19 + D_VD_2!D19 + D_VS_1!D19 + D_VS_2!D19 + D_VS_3!D19 + D_ZH_1!D19 + D_ZH_2!D19 + D_ZH_3!D19 + D_ZH_4!D19 + D_ZH_5!D19 + D_ZH_6!D19</f>
        <v>77852.005999999994</v>
      </c>
      <c r="E28" s="42">
        <f xml:space="preserve"> 1*D_AG_1!E19 + 1*D_AG_2!E19 + 1*D_AG_3!E19 + 1*D_BE_1!E19 + 1*D_BE_2!E19 + 1*D_BE_3!E19 + 1*D_BS_1!E19 + 1*D_FR_1!E19 + 1*D_GE_1!E19 + 1*D_GL_1!E19 + 1*D_GR_1!E19 + 1*D_LU_1!E19 + 1*D_LU_2!E19 + 1*D_NE_1!E19 + 1*D_NE_2!E19 + D_SG_1!E19 + D_SG_2!E19 + D_SG_3!E19 + D_SO_1!E19 + D_TG_1!E19 + D_TI_1!E19 + D_VD_2!E19 + D_VS_1!E19 + D_VS_2!E19 + D_VS_3!E19 + D_ZH_1!E19 + D_ZH_2!E19 + D_ZH_3!E19 + D_ZH_4!E19 + D_ZH_5!E19 + D_ZH_6!E19</f>
        <v>76791.299000000014</v>
      </c>
      <c r="F28" s="42">
        <f xml:space="preserve"> 1*D_AG_1!F19 + 1*D_AG_2!F19 + 1*D_AG_3!F19 + 1*D_BE_1!F19 + 1*D_BE_2!F19 + 1*D_BE_3!F19 + 1*D_BS_1!F19 + 1*D_FR_1!F19 + 1*D_GE_1!F19 + 1*D_GL_1!F19 + 1*D_GR_1!F19 + 1*D_LU_1!F19 + 1*D_LU_2!F19 + 1*D_NE_1!F19 + 1*D_NE_2!F19 + D_SG_1!F19 + D_SG_2!F19 + D_SG_3!F19 + D_SO_1!F19 + D_TG_1!F19 + D_TI_1!F19 + D_VD_2!F19 + D_VS_1!F19 + D_VS_2!F19 + D_VS_3!F19 + D_ZH_1!F19 + D_ZH_2!F19 + D_ZH_3!F19 + D_ZH_4!F19 + D_ZH_5!F19 + D_ZH_6!F19</f>
        <v>81723.891000000003</v>
      </c>
      <c r="G28" s="42">
        <f xml:space="preserve"> 1*D_AG_1!G19 + 1*D_AG_2!G19 + 1*D_AG_3!G19 + 1*D_BE_1!G19 + 1*D_BE_2!G19 + 1*D_BE_3!G19 + 1*D_BS_1!G19 + 1*D_FR_1!G19 + 1*D_GE_1!G19 + 1*D_GL_1!G19 + 1*D_GR_1!G19 + 1*D_LU_1!G19 + 1*D_LU_2!G19 + 1*D_NE_1!G19 + 1*D_NE_2!G19 + D_SG_1!G19 + D_SG_2!G19 + D_SG_3!G19 + D_SO_1!G19 + D_TG_1!G19 + D_TI_1!G19 + D_VD_2!G19 + D_VS_1!G19 + D_VS_2!G19 + D_VS_3!G19 + D_ZH_1!G19 + D_ZH_2!G19 + D_ZH_3!G19 + D_ZH_4!G19 + D_ZH_5!G19 + D_ZH_6!G19</f>
        <v>81029.054000000004</v>
      </c>
      <c r="H28" s="47">
        <f xml:space="preserve"> 1*D_AG_1!H19 + 1*D_AG_2!H19 + 1*D_AG_3!H19 + 1*D_BE_1!H19 + 1*D_BE_2!H19 + 1*D_BE_3!H19 + 1*D_BS_1!H19 + 1*D_FR_1!H19 + 1*D_GE_1!H19 + 1*D_GL_1!H19 + 1*D_GR_1!H19 + 1*D_LU_1!H19 + 1*D_LU_2!H19 + 1*D_NE_1!H19 + 1*D_NE_2!H19 + D_SG_1!H19 + D_SG_2!H19 + D_SG_3!H19 + D_SO_1!H19 + D_TG_1!H19 + D_TI_1!H19 + D_VD_2!H19 + D_VS_1!H19 + D_VS_2!H19 + D_VS_3!H19 + D_ZH_1!H19 + D_ZH_2!H19 + D_ZH_3!H19 + D_ZH_4!H19 + D_ZH_5!H19 + D_ZH_6!H19</f>
        <v>78373</v>
      </c>
      <c r="I28" s="47">
        <f xml:space="preserve"> 1*D_AG_1!I19 + 1*D_AG_2!I19 + 1*D_AG_3!I19 + 1*D_BE_1!I19 + 1*D_BE_2!I19 + 1*D_BE_3!I19 + 1*D_BS_1!I19 + 1*D_FR_1!I19 + 1*D_GE_1!I19 + 1*D_GL_1!I19 + 1*D_GR_1!I19 + 1*D_LU_1!I19 + 1*D_LU_2!I19 + 1*D_NE_1!I19 + 1*D_NE_2!I19 + D_SG_1!I19 + D_SG_2!I19 + D_SG_3!I19 + D_SO_1!I19 + D_TG_1!I19 + D_TI_1!I19 + D_VD_2!I19 + D_VS_1!I19 + D_VS_2!I19 + D_VS_3!I19 + D_ZH_1!I19 + D_ZH_2!I19 + D_ZH_3!I19 + D_ZH_4!I19 + D_ZH_5!I19 + D_ZH_6!I19</f>
        <v>77054</v>
      </c>
      <c r="J28" s="47">
        <f xml:space="preserve"> 1*D_AG_1!J19 + 1*D_AG_2!J19 + 1*D_AG_3!J19 + 1*D_BE_1!J19 + 1*D_BE_2!J19 + 1*D_BE_3!J19 + 1*D_BS_1!J19 + 1*D_FR_1!J19 + 1*D_GE_1!J19 + 1*D_GL_1!J19 + 1*D_GR_1!J19 + 1*D_LU_1!J19 + 1*D_LU_2!J19 + 1*D_NE_1!J19 + 1*D_NE_2!J19 + D_SG_1!J19 + D_SG_2!J19 + D_SG_3!J19 + D_SO_1!J19 + D_TG_1!J19 + D_TI_1!J19 + D_VD_2!J19 + D_VS_1!J19 + D_VS_2!J19 + D_VS_3!J19 + D_ZH_1!J19 + D_ZH_2!J19 + D_ZH_3!J19 + D_ZH_4!J19 + D_ZH_5!J19 + D_ZH_6!J19</f>
        <v>79171</v>
      </c>
      <c r="K28" s="47">
        <f xml:space="preserve"> 1*D_AG_1!K19 + 1*D_AG_2!K19 + 1*D_AG_3!K19 + 1*D_BE_1!K19 + 1*D_BE_2!K19 + 1*D_BE_3!K19 + 1*D_BS_1!K19 + 1*D_FR_1!K19 + 1*D_GE_1!K19 + 1*D_GL_1!K19 + 1*D_GR_1!K19 + 1*D_LU_1!K19 + 1*D_LU_2!K19 + 1*D_NE_1!K19 + 1*D_NE_2!K19 + D_SG_1!K19 + D_SG_2!K19 + D_SG_3!K19 + D_SO_1!K19 + D_TG_1!K19 + D_TI_1!K19 + D_VD_2!K19 + D_VS_1!K19 + D_VS_2!K19 + D_VS_3!K19 + D_ZH_1!K19 + D_ZH_2!K19 + D_ZH_3!K19 + D_ZH_4!K19 + D_ZH_5!K19 + D_ZH_6!K19</f>
        <v>77633.754050999982</v>
      </c>
      <c r="L28" s="47">
        <f xml:space="preserve"> 1*D_AG_1!L19 + 1*D_AG_2!L19 + 1*D_AG_3!L19 + 1*D_BE_1!L19 + 1*D_BE_2!L19 + 1*D_BE_3!L19 + 1*D_BS_1!L19 + 1*D_FR_1!L19 + 1*D_GE_1!L19 + 1*D_GL_1!L19 + 1*D_GR_1!L19 + 1*D_LU_1!L19 + 1*D_LU_2!L19 + 1*D_NE_1!L19 + 1*D_NE_2!L19 + D_SG_1!L19 + D_SG_2!L19 + D_SG_3!L19 + D_SO_1!L19 + D_TG_1!L19 + D_TI_1!L19 + D_VD_2!L19 + D_VS_1!L19 + D_VS_2!L19 + D_VS_3!L19 + D_ZH_1!L19 + D_ZH_2!L19 + D_ZH_3!L19 + D_ZH_4!L19 + D_ZH_5!L19 + D_ZH_6!L19</f>
        <v>78053</v>
      </c>
      <c r="M28" s="47">
        <f xml:space="preserve"> 1*D_AG_1!M19 + 1*D_AG_2!M19 + 1*D_AG_3!M19 + 1*D_BE_1!M19 + 1*D_BE_2!M19 + 1*D_BE_3!M19 + 1*D_BS_1!M19 + 1*D_FR_1!M19 + 1*D_GE_1!M19 + 1*D_GL_1!M19 + 1*D_GR_1!M19 + 1*D_LU_1!M19 + 1*D_LU_2!M19 + 1*D_NE_1!M19 + 1*D_NE_2!M19 + D_SG_1!M19 + D_SG_2!M19 + D_SG_3!M19 + D_SO_1!M19 + D_TG_1!M19 + D_TI_1!M19 + D_VD_2!M19 + D_VS_1!M19 + D_VS_2!M19 + D_VS_3!M19 + D_ZH_1!M19 + D_ZH_2!M19 + D_ZH_3!M19 + D_ZH_4!M19 + D_ZH_5!M19 + D_ZH_6!M19</f>
        <v>77966</v>
      </c>
      <c r="N28" s="47">
        <f xml:space="preserve"> 1*D_AG_1!N19 + 1*D_AG_2!N19 + 1*D_AG_3!N19 + 1*D_BE_1!N19 + 1*D_BE_2!N19 + 1*D_BE_3!N19 + 1*D_BS_1!N19 + 1*D_FR_1!N19 + 1*D_GE_1!N19 + 1*D_GL_1!N19 + 1*D_GR_1!N19 + 1*D_LU_1!N19 + 1*D_LU_2!N19 + 1*D_NE_1!N19 + 1*D_NE_2!N19 + D_SG_1!N19 + D_SG_2!N19 + D_SG_3!N19 + D_SO_1!N19 + D_TG_1!N19 + D_TI_1!N19 + D_VD_2!N19 + D_VS_1!N19 + D_VS_2!N19 + D_VS_3!N19 + D_ZH_1!N19 + D_ZH_2!N19 + D_ZH_3!N19 + D_ZH_4!N19 + D_ZH_5!N19 + D_ZH_6!N19</f>
        <v>71959</v>
      </c>
      <c r="O28" s="47">
        <f xml:space="preserve"> 1*D_AG_1!O19 + 1*D_AG_2!O19 + 1*D_AG_3!O19 + 1*D_BE_1!O19 + 1*D_BE_2!O19 + 1*D_BE_3!O19 + 1*D_BS_1!O19 + 1*D_FR_1!O19 + 1*D_GE_1!O19 + 1*D_GL_1!O19 + 1*D_GR_1!O19 + 1*D_LU_1!O19 + 1*D_LU_2!O19 + 1*D_NE_1!O19 + 1*D_NE_2!O19 + D_SG_1!O19 + D_SG_2!O19 + D_SG_3!O19 + D_SO_1!O19 + D_TG_1!O19 + D_TI_1!O19 + D_VD_2!O19 + D_VS_1!O19 + D_VS_2!O19 + D_VS_3!O19 + D_ZH_1!O19 + D_ZH_2!O19 + D_ZH_3!O19 + D_ZH_4!O19 + D_ZH_5!O19 + D_ZH_6!O19</f>
        <v>76292.606199999966</v>
      </c>
      <c r="P28" s="47">
        <f xml:space="preserve"> 1*D_AG_1!P19 + 1*D_AG_2!P19 + 1*D_AG_3!P19 + 1*D_BE_1!P19 + 1*D_BE_2!P19 + 1*D_BE_3!P19 + 1*D_BS_1!P19 + 1*D_FR_1!P19 + 1*D_GE_1!P19 + 1*D_GL_1!P19 + 1*D_GR_1!P19 + 1*D_LU_1!P19 + 1*D_LU_2!P19 + 1*D_NE_1!P19 + 1*D_NE_2!P19 + D_SG_1!P19 + D_SG_2!P19 + D_SG_3!P19 + D_SO_1!P19 + D_TG_1!P19 + D_TI_1!P19 + D_VD_2!P19 + D_VS_1!P19 + D_VS_2!P19 + D_VS_3!P19 + D_ZH_1!P19 + D_ZH_2!P19 + D_ZH_3!P19 + D_ZH_4!P19 + D_ZH_5!P19 + D_ZH_6!P19</f>
        <v>73782</v>
      </c>
      <c r="Q28" s="47"/>
      <c r="R28" s="47"/>
      <c r="S28" s="47"/>
      <c r="T28" s="90"/>
      <c r="U28" s="90"/>
      <c r="V28" s="90"/>
      <c r="W28" s="90"/>
      <c r="X28" s="90"/>
      <c r="Y28" s="90"/>
      <c r="Z28" s="90"/>
      <c r="AA28" s="90"/>
      <c r="AB28" s="90"/>
    </row>
    <row r="29" spans="2:28" ht="26.4" customHeight="1" x14ac:dyDescent="0.3">
      <c r="B29" s="108" t="s">
        <v>277</v>
      </c>
      <c r="D29" s="56"/>
      <c r="E29" s="56"/>
      <c r="F29" s="56"/>
      <c r="G29" s="56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</row>
    <row r="30" spans="2:28" x14ac:dyDescent="0.3">
      <c r="B30" s="40" t="s">
        <v>55</v>
      </c>
      <c r="C30" s="41" t="s">
        <v>132</v>
      </c>
      <c r="D30" s="97">
        <f xml:space="preserve"> 1*D_AG_1!D33 + 1*D_AG_2!D33 + 1*D_AG_3!D33 + 1*D_BE_1!D33 + 1*D_BE_2!D33 + 1*D_BE_3!D33 + 1*D_BS_1!D33 + 1*D_FR_1!D33 + 1*D_GE_1!D33 + 1*D_GL_1!D33 + 1*D_GR_1!D33 + 1*D_LU_1!D33 + 1*D_LU_2!D33 + 1*D_NE_1!D33 + 1*D_NE_2!D33 + D_SG_1!D33 + D_SG_2!D33 + D_SG_3!D33 + D_SO_1!D33 + D_TG_1!D33 + D_TI_1!D33 + D_VD_2!D33 + D_VS_1!D33 + D_VS_2!D33 + D_VS_3!D33 + D_ZH_1!D33 + D_ZH_2!D33 + D_ZH_3!D33 + D_ZH_4!D33 + D_ZH_5!D33 + D_ZH_6!D33</f>
        <v>47230.748787635297</v>
      </c>
      <c r="E30" s="97">
        <f xml:space="preserve"> 1*D_AG_1!E33 + 1*D_AG_2!E33 + 1*D_AG_3!E33 + 1*D_BE_1!E33 + 1*D_BE_2!E33 + 1*D_BE_3!E33 + 1*D_BS_1!E33 + 1*D_FR_1!E33 + 1*D_GE_1!E33 + 1*D_GL_1!E33 + 1*D_GR_1!E33 + 1*D_LU_1!E33 + 1*D_LU_2!E33 + 1*D_NE_1!E33 + 1*D_NE_2!E33 + D_SG_1!E33 + D_SG_2!E33 + D_SG_3!E33 + D_SO_1!E33 + D_TG_1!E33 + D_TI_1!E33 + D_VD_2!E33 + D_VS_1!E33 + D_VS_2!E33 + D_VS_3!E33 + D_ZH_1!E33 + D_ZH_2!E33 + D_ZH_3!E33 + D_ZH_4!E33 + D_ZH_5!E33 + D_ZH_6!E33</f>
        <v>47101.966898068298</v>
      </c>
      <c r="F30" s="97">
        <f xml:space="preserve"> 1*D_AG_1!F33 + 1*D_AG_2!F33 + 1*D_AG_3!F33 + 1*D_BE_1!F33 + 1*D_BE_2!F33 + 1*D_BE_3!F33 + 1*D_BS_1!F33 + 1*D_FR_1!F33 + 1*D_GE_1!F33 + 1*D_GL_1!F33 + 1*D_GR_1!F33 + 1*D_LU_1!F33 + 1*D_LU_2!F33 + 1*D_NE_1!F33 + 1*D_NE_2!F33 + D_SG_1!F33 + D_SG_2!F33 + D_SG_3!F33 + D_SO_1!F33 + D_TG_1!F33 + D_TI_1!F33 + D_VD_2!F33 + D_VS_1!F33 + D_VS_2!F33 + D_VS_3!F33 + D_ZH_1!F33 + D_ZH_2!F33 + D_ZH_3!F33 + D_ZH_4!F33 + D_ZH_5!F33 + D_ZH_6!F33</f>
        <v>55572.134390220002</v>
      </c>
      <c r="G30" s="97">
        <f xml:space="preserve"> 1*D_AG_1!G33 + 1*D_AG_2!G33 + 1*D_AG_3!G33 + 1*D_BE_1!G33 + 1*D_BE_2!G33 + 1*D_BE_3!G33 + 1*D_BS_1!G33 + 1*D_FR_1!G33 + 1*D_GE_1!G33 + 1*D_GL_1!G33 + 1*D_GR_1!G33 + 1*D_LU_1!G33 + 1*D_LU_2!G33 + 1*D_NE_1!G33 + 1*D_NE_2!G33 + D_SG_1!G33 + D_SG_2!G33 + D_SG_3!G33 + D_SO_1!G33 + D_TG_1!G33 + D_TI_1!G33 + D_VD_2!G33 + D_VS_1!G33 + D_VS_2!G33 + D_VS_3!G33 + D_ZH_1!G33 + D_ZH_2!G33 + D_ZH_3!G33 + D_ZH_4!G33 + D_ZH_5!G33 + D_ZH_6!G33</f>
        <v>54199</v>
      </c>
      <c r="H30" s="98">
        <f xml:space="preserve"> 1*D_AG_1!H33 + 1*D_AG_2!H33 + 1*D_AG_3!H33 + 1*D_BE_1!H33 + 1*D_BE_2!H33 + 1*D_BE_3!H33 + 1*D_BS_1!H33 + 1*D_FR_1!H33 + 1*D_GE_1!H33 + 1*D_GL_1!H33 + 1*D_GR_1!H33 + 1*D_LU_1!H33 + 1*D_LU_2!H33 + 1*D_NE_1!H33 + 1*D_NE_2!H33 + D_SG_1!H33 + D_SG_2!H33 + D_SG_3!H33 + D_SO_1!H33 + D_TG_1!H33 + D_TI_1!H33 + D_VD_2!H33 + D_VS_1!H33 + D_VS_2!H33 + D_VS_3!H33 + D_ZH_1!H33 + D_ZH_2!H33 + D_ZH_3!H33 + D_ZH_4!H33 + D_ZH_5!H33 + D_ZH_6!H33</f>
        <v>54797</v>
      </c>
      <c r="I30" s="98">
        <f xml:space="preserve"> 1*D_AG_1!I33 + 1*D_AG_2!I33 + 1*D_AG_3!I33 + 1*D_BE_1!I33 + 1*D_BE_2!I33 + 1*D_BE_3!I33 + 1*D_BS_1!I33 + 1*D_FR_1!I33 + 1*D_GE_1!I33 + 1*D_GL_1!I33 + 1*D_GR_1!I33 + 1*D_LU_1!I33 + 1*D_LU_2!I33 + 1*D_NE_1!I33 + 1*D_NE_2!I33 + D_SG_1!I33 + D_SG_2!I33 + D_SG_3!I33 + D_SO_1!I33 + D_TG_1!I33 + D_TI_1!I33 + D_VD_2!I33 + D_VS_1!I33 + D_VS_2!I33 + D_VS_3!I33 + D_ZH_1!I33 + D_ZH_2!I33 + D_ZH_3!I33 + D_ZH_4!I33 + D_ZH_5!I33 + D_ZH_6!I33</f>
        <v>56471</v>
      </c>
      <c r="J30" s="98">
        <f xml:space="preserve"> 1*D_AG_1!J33 + 1*D_AG_2!J33 + 1*D_AG_3!J33 + 1*D_BE_1!J33 + 1*D_BE_2!J33 + 1*D_BE_3!J33 + 1*D_BS_1!J33 + 1*D_FR_1!J33 + 1*D_GE_1!J33 + 1*D_GL_1!J33 + 1*D_GR_1!J33 + 1*D_LU_1!J33 + 1*D_LU_2!J33 + 1*D_NE_1!J33 + 1*D_NE_2!J33 + D_SG_1!J33 + D_SG_2!J33 + D_SG_3!J33 + D_SO_1!J33 + D_TG_1!J33 + D_TI_1!J33 + D_VD_2!J33 + D_VS_1!J33 + D_VS_2!J33 + D_VS_3!J33 + D_ZH_1!J33 + D_ZH_2!J33 + D_ZH_3!J33 + D_ZH_4!J33 + D_ZH_5!J33 + D_ZH_6!J33</f>
        <v>60007</v>
      </c>
      <c r="K30" s="98">
        <f xml:space="preserve"> 1*D_AG_1!K33 + 1*D_AG_2!K33 + 1*D_AG_3!K33 + 1*D_BE_1!K33 + 1*D_BE_2!K33 + 1*D_BE_3!K33 + 1*D_BS_1!K33 + 1*D_FR_1!K33 + 1*D_GE_1!K33 + 1*D_GL_1!K33 + 1*D_GR_1!K33 + 1*D_LU_1!K33 + 1*D_LU_2!K33 + 1*D_NE_1!K33 + 1*D_NE_2!K33 + D_SG_1!K33 + D_SG_2!K33 + D_SG_3!K33 + D_SO_1!K33 + D_TG_1!K33 + D_TI_1!K33 + D_VD_2!K33 + D_VS_1!K33 + D_VS_2!K33 + D_VS_3!K33 + D_ZH_1!K33 + D_ZH_2!K33 + D_ZH_3!K33 + D_ZH_4!K33 + D_ZH_5!K33 + D_ZH_6!K33</f>
        <v>57249.097699796388</v>
      </c>
      <c r="L30" s="98">
        <f xml:space="preserve"> 1*D_AG_1!L33 + 1*D_AG_2!L33 + 1*D_AG_3!L33 + 1*D_BE_1!L33 + 1*D_BE_2!L33 + 1*D_BE_3!L33 + 1*D_BS_1!L33 + 1*D_FR_1!L33 + 1*D_GE_1!L33 + 1*D_GL_1!L33 + 1*D_GR_1!L33 + 1*D_LU_1!L33 + 1*D_LU_2!L33 + 1*D_NE_1!L33 + 1*D_NE_2!L33 + D_SG_1!L33 + D_SG_2!L33 + D_SG_3!L33 + D_SO_1!L33 + D_TG_1!L33 + D_TI_1!L33 + D_VD_2!L33 + D_VS_1!L33 + D_VS_2!L33 + D_VS_3!L33 + D_ZH_1!L33 + D_ZH_2!L33 + D_ZH_3!L33 + D_ZH_4!L33 + D_ZH_5!L33 + D_ZH_6!L33</f>
        <v>58034</v>
      </c>
      <c r="M30" s="98">
        <f xml:space="preserve"> 1*D_AG_1!M33 + 1*D_AG_2!M33 + 1*D_AG_3!M33 + 1*D_BE_1!M33 + 1*D_BE_2!M33 + 1*D_BE_3!M33 + 1*D_BS_1!M33 + 1*D_FR_1!M33 + 1*D_GE_1!M33 + 1*D_GL_1!M33 + 1*D_GR_1!M33 + 1*D_LU_1!M33 + 1*D_LU_2!M33 + 1*D_NE_1!M33 + 1*D_NE_2!M33 + D_SG_1!M33 + D_SG_2!M33 + D_SG_3!M33 + D_SO_1!M33 + D_TG_1!M33 + D_TI_1!M33 + D_VD_2!M33 + D_VS_1!M33 + D_VS_2!M33 + D_VS_3!M33 + D_ZH_1!M33 + D_ZH_2!M33 + D_ZH_3!M33 + D_ZH_4!M33 + D_ZH_5!M33 + D_ZH_6!M33</f>
        <v>59894.281200000005</v>
      </c>
      <c r="N30" s="98">
        <f xml:space="preserve"> 1*D_AG_1!N33 + 1*D_AG_2!N33 + 1*D_AG_3!N33 + 1*D_BE_1!N33 + 1*D_BE_2!N33 + 1*D_BE_3!N33 + 1*D_BS_1!N33 + 1*D_FR_1!N33 + 1*D_GE_1!N33 + 1*D_GL_1!N33 + 1*D_GR_1!N33 + 1*D_LU_1!N33 + 1*D_LU_2!N33 + 1*D_NE_1!N33 + 1*D_NE_2!N33 + D_SG_1!N33 + D_SG_2!N33 + D_SG_3!N33 + D_SO_1!N33 + D_TG_1!N33 + D_TI_1!N33 + D_VD_2!N33 + D_VS_1!N33 + D_VS_2!N33 + D_VS_3!N33 + D_ZH_1!N33 + D_ZH_2!N33 + D_ZH_3!N33 + D_ZH_4!N33 + D_ZH_5!N33 + D_ZH_6!N33</f>
        <v>62323</v>
      </c>
      <c r="O30" s="99">
        <f xml:space="preserve"> 1*D_AG_1!O33 + 1*D_AG_2!O33 + 1*D_AG_3!O33 + 1*D_BE_1!O33 + 1*D_BE_2!O33 + 1*D_BE_3!O33 + 1*D_BS_1!O33 + 1*D_FR_1!O33 + 1*D_GE_1!O33 + 1*D_GL_1!O33 + 1*D_GR_1!O33 + 1*D_LU_1!O33 + 1*D_LU_2!O33 + 1*D_NE_1!O33 + 1*D_NE_2!O33 + D_SG_1!O33 + D_SG_2!O33 + D_SG_3!O33 + D_SO_1!O33 + D_TG_1!O33 + D_TI_1!O33 + D_VD_2!O33 + D_VS_1!O33 + D_VS_2!O33 + D_VS_3!O33 + D_ZH_1!O33 + D_ZH_2!O33 + D_ZH_3!O33 + D_ZH_4!O33 + D_ZH_5!O33 + D_ZH_6!O33</f>
        <v>61867.004292645965</v>
      </c>
      <c r="P30" s="99">
        <f xml:space="preserve"> 1*D_AG_1!P33 + 1*D_AG_2!P33 + 1*D_AG_3!P33 + 1*D_BE_1!P33 + 1*D_BE_2!P33 + 1*D_BE_3!P33 + 1*D_BS_1!P33 + 1*D_FR_1!P33 + 1*D_GE_1!P33 + 1*D_GL_1!P33 + 1*D_GR_1!P33 + 1*D_LU_1!P33 + 1*D_LU_2!P33 + 1*D_NE_1!P33 + 1*D_NE_2!P33 + D_SG_1!P33 + D_SG_2!P33 + D_SG_3!P33 + D_SO_1!P33 + D_TG_1!P33 + D_TI_1!P33 + D_VD_2!P33 + D_VS_1!P33 + D_VS_2!P33 + D_VS_3!P33 + D_ZH_1!P33 + D_ZH_2!P33 + D_ZH_3!P33 + D_ZH_4!P33 + D_ZH_5!P33 + D_ZH_6!P33</f>
        <v>59292</v>
      </c>
      <c r="Q30" s="63"/>
      <c r="R30" s="63"/>
      <c r="S30" s="63"/>
    </row>
    <row r="31" spans="2:28" x14ac:dyDescent="0.3">
      <c r="B31" s="55" t="s">
        <v>57</v>
      </c>
      <c r="C31" s="46" t="s">
        <v>133</v>
      </c>
      <c r="D31" s="97">
        <f xml:space="preserve"> 1*D_AG_1!D34 + 1*D_AG_2!D34 + 1*D_AG_3!D34 + 1*D_BE_1!D34 + 1*D_BE_2!D34 + 1*D_BE_3!D34 + 1*D_BS_1!D34 + 1*D_FR_1!D34 + 1*D_GE_1!D34 + 1*D_GL_1!D34 + 1*D_GR_1!D34 + 1*D_LU_1!D34 + 1*D_LU_2!D34 + 1*D_NE_1!D34 + 1*D_NE_2!D34 + D_SG_1!D34 + D_SG_2!D34 + D_SG_3!D34 + D_SO_1!D34 + D_TG_1!D34 + D_TI_1!D34 + D_VD_2!D34 + D_VS_1!D34 + D_VS_2!D34 + D_VS_3!D34 + D_ZH_1!D34 + D_ZH_2!D34 + D_ZH_3!D34 + D_ZH_4!D34 + D_ZH_5!D34 + D_ZH_6!D34</f>
        <v>0</v>
      </c>
      <c r="E31" s="97">
        <f xml:space="preserve"> 1*D_AG_1!E34 + 1*D_AG_2!E34 + 1*D_AG_3!E34 + 1*D_BE_1!E34 + 1*D_BE_2!E34 + 1*D_BE_3!E34 + 1*D_BS_1!E34 + 1*D_FR_1!E34 + 1*D_GE_1!E34 + 1*D_GL_1!E34 + 1*D_GR_1!E34 + 1*D_LU_1!E34 + 1*D_LU_2!E34 + 1*D_NE_1!E34 + 1*D_NE_2!E34 + D_SG_1!E34 + D_SG_2!E34 + D_SG_3!E34 + D_SO_1!E34 + D_TG_1!E34 + D_TI_1!E34 + D_VD_2!E34 + D_VS_1!E34 + D_VS_2!E34 + D_VS_3!E34 + D_ZH_1!E34 + D_ZH_2!E34 + D_ZH_3!E34 + D_ZH_4!E34 + D_ZH_5!E34 + D_ZH_6!E34</f>
        <v>0</v>
      </c>
      <c r="F31" s="97">
        <f xml:space="preserve"> 1*D_AG_1!F34 + 1*D_AG_2!F34 + 1*D_AG_3!F34 + 1*D_BE_1!F34 + 1*D_BE_2!F34 + 1*D_BE_3!F34 + 1*D_BS_1!F34 + 1*D_FR_1!F34 + 1*D_GE_1!F34 + 1*D_GL_1!F34 + 1*D_GR_1!F34 + 1*D_LU_1!F34 + 1*D_LU_2!F34 + 1*D_NE_1!F34 + 1*D_NE_2!F34 + D_SG_1!F34 + D_SG_2!F34 + D_SG_3!F34 + D_SO_1!F34 + D_TG_1!F34 + D_TI_1!F34 + D_VD_2!F34 + D_VS_1!F34 + D_VS_2!F34 + D_VS_3!F34 + D_ZH_1!F34 + D_ZH_2!F34 + D_ZH_3!F34 + D_ZH_4!F34 + D_ZH_5!F34 + D_ZH_6!F34</f>
        <v>0</v>
      </c>
      <c r="G31" s="97">
        <f xml:space="preserve"> 1*D_AG_1!G34 + 1*D_AG_2!G34 + 1*D_AG_3!G34 + 1*D_BE_1!G34 + 1*D_BE_2!G34 + 1*D_BE_3!G34 + 1*D_BS_1!G34 + 1*D_FR_1!G34 + 1*D_GE_1!G34 + 1*D_GL_1!G34 + 1*D_GR_1!G34 + 1*D_LU_1!G34 + 1*D_LU_2!G34 + 1*D_NE_1!G34 + 1*D_NE_2!G34 + D_SG_1!G34 + D_SG_2!G34 + D_SG_3!G34 + D_SO_1!G34 + D_TG_1!G34 + D_TI_1!G34 + D_VD_2!G34 + D_VS_1!G34 + D_VS_2!G34 + D_VS_3!G34 + D_ZH_1!G34 + D_ZH_2!G34 + D_ZH_3!G34 + D_ZH_4!G34 + D_ZH_5!G34 + D_ZH_6!G34</f>
        <v>0</v>
      </c>
      <c r="H31" s="97">
        <f xml:space="preserve"> 1*D_AG_1!H34 + 1*D_AG_2!H34 + 1*D_AG_3!H34 + 1*D_BE_1!H34 + 1*D_BE_2!H34 + 1*D_BE_3!H34 + 1*D_BS_1!H34 + 1*D_FR_1!H34 + 1*D_GE_1!H34 + 1*D_GL_1!H34 + 1*D_GR_1!H34 + 1*D_LU_1!H34 + 1*D_LU_2!H34 + 1*D_NE_1!H34 + 1*D_NE_2!H34 + D_SG_1!H34 + D_SG_2!H34 + D_SG_3!H34 + D_SO_1!H34 + D_TG_1!H34 + D_TI_1!H34 + D_VD_2!H34 + D_VS_1!H34 + D_VS_2!H34 + D_VS_3!H34 + D_ZH_1!H34 + D_ZH_2!H34 + D_ZH_3!H34 + D_ZH_4!H34 + D_ZH_5!H34 + D_ZH_6!H34</f>
        <v>0</v>
      </c>
      <c r="I31" s="97">
        <f xml:space="preserve"> 1*D_AG_1!I34 + 1*D_AG_2!I34 + 1*D_AG_3!I34 + 1*D_BE_1!I34 + 1*D_BE_2!I34 + 1*D_BE_3!I34 + 1*D_BS_1!I34 + 1*D_FR_1!I34 + 1*D_GE_1!I34 + 1*D_GL_1!I34 + 1*D_GR_1!I34 + 1*D_LU_1!I34 + 1*D_LU_2!I34 + 1*D_NE_1!I34 + 1*D_NE_2!I34 + D_SG_1!I34 + D_SG_2!I34 + D_SG_3!I34 + D_SO_1!I34 + D_TG_1!I34 + D_TI_1!I34 + D_VD_2!I34 + D_VS_1!I34 + D_VS_2!I34 + D_VS_3!I34 + D_ZH_1!I34 + D_ZH_2!I34 + D_ZH_3!I34 + D_ZH_4!I34 + D_ZH_5!I34 + D_ZH_6!I34</f>
        <v>0</v>
      </c>
      <c r="J31" s="97">
        <f xml:space="preserve"> 1*D_AG_1!J34 + 1*D_AG_2!J34 + 1*D_AG_3!J34 + 1*D_BE_1!J34 + 1*D_BE_2!J34 + 1*D_BE_3!J34 + 1*D_BS_1!J34 + 1*D_FR_1!J34 + 1*D_GE_1!J34 + 1*D_GL_1!J34 + 1*D_GR_1!J34 + 1*D_LU_1!J34 + 1*D_LU_2!J34 + 1*D_NE_1!J34 + 1*D_NE_2!J34 + D_SG_1!J34 + D_SG_2!J34 + D_SG_3!J34 + D_SO_1!J34 + D_TG_1!J34 + D_TI_1!J34 + D_VD_2!J34 + D_VS_1!J34 + D_VS_2!J34 + D_VS_3!J34 + D_ZH_1!J34 + D_ZH_2!J34 + D_ZH_3!J34 + D_ZH_4!J34 + D_ZH_5!J34 + D_ZH_6!J34</f>
        <v>10090</v>
      </c>
      <c r="K31" s="97">
        <f xml:space="preserve"> 1*D_AG_1!K34 + 1*D_AG_2!K34 + 1*D_AG_3!K34 + 1*D_BE_1!K34 + 1*D_BE_2!K34 + 1*D_BE_3!K34 + 1*D_BS_1!K34 + 1*D_FR_1!K34 + 1*D_GE_1!K34 + 1*D_GL_1!K34 + 1*D_GR_1!K34 + 1*D_LU_1!K34 + 1*D_LU_2!K34 + 1*D_NE_1!K34 + 1*D_NE_2!K34 + D_SG_1!K34 + D_SG_2!K34 + D_SG_3!K34 + D_SO_1!K34 + D_TG_1!K34 + D_TI_1!K34 + D_VD_2!K34 + D_VS_1!K34 + D_VS_2!K34 + D_VS_3!K34 + D_ZH_1!K34 + D_ZH_2!K34 + D_ZH_3!K34 + D_ZH_4!K34 + D_ZH_5!K34 + D_ZH_6!K34</f>
        <v>9160.6011426036166</v>
      </c>
      <c r="L31" s="97">
        <f xml:space="preserve"> 1*D_AG_1!L34 + 1*D_AG_2!L34 + 1*D_AG_3!L34 + 1*D_BE_1!L34 + 1*D_BE_2!L34 + 1*D_BE_3!L34 + 1*D_BS_1!L34 + 1*D_FR_1!L34 + 1*D_GE_1!L34 + 1*D_GL_1!L34 + 1*D_GR_1!L34 + 1*D_LU_1!L34 + 1*D_LU_2!L34 + 1*D_NE_1!L34 + 1*D_NE_2!L34 + D_SG_1!L34 + D_SG_2!L34 + D_SG_3!L34 + D_SO_1!L34 + D_TG_1!L34 + D_TI_1!L34 + D_VD_2!L34 + D_VS_1!L34 + D_VS_2!L34 + D_VS_3!L34 + D_ZH_1!L34 + D_ZH_2!L34 + D_ZH_3!L34 + D_ZH_4!L34 + D_ZH_5!L34 + D_ZH_6!L34</f>
        <v>10618.876095118898</v>
      </c>
      <c r="M31" s="97">
        <f xml:space="preserve"> 1*D_AG_1!M34 + 1*D_AG_2!M34 + 1*D_AG_3!M34 + 1*D_BE_1!M34 + 1*D_BE_2!M34 + 1*D_BE_3!M34 + 1*D_BS_1!M34 + 1*D_FR_1!M34 + 1*D_GE_1!M34 + 1*D_GL_1!M34 + 1*D_GR_1!M34 + 1*D_LU_1!M34 + 1*D_LU_2!M34 + 1*D_NE_1!M34 + 1*D_NE_2!M34 + D_SG_1!M34 + D_SG_2!M34 + D_SG_3!M34 + D_SO_1!M34 + D_TG_1!M34 + D_TI_1!M34 + D_VD_2!M34 + D_VS_1!M34 + D_VS_2!M34 + D_VS_3!M34 + D_ZH_1!M34 + D_ZH_2!M34 + D_ZH_3!M34 + D_ZH_4!M34 + D_ZH_5!M34 + D_ZH_6!M34</f>
        <v>11381.2816</v>
      </c>
      <c r="N31" s="97">
        <f xml:space="preserve"> 1*D_AG_1!N34 + 1*D_AG_2!N34 + 1*D_AG_3!N34 + 1*D_BE_1!N34 + 1*D_BE_2!N34 + 1*D_BE_3!N34 + 1*D_BS_1!N34 + 1*D_FR_1!N34 + 1*D_GE_1!N34 + 1*D_GL_1!N34 + 1*D_GR_1!N34 + 1*D_LU_1!N34 + 1*D_LU_2!N34 + 1*D_NE_1!N34 + 1*D_NE_2!N34 + D_SG_1!N34 + D_SG_2!N34 + D_SG_3!N34 + D_SO_1!N34 + D_TG_1!N34 + D_TI_1!N34 + D_VD_2!N34 + D_VS_1!N34 + D_VS_2!N34 + D_VS_3!N34 + D_ZH_1!N34 + D_ZH_2!N34 + D_ZH_3!N34 + D_ZH_4!N34 + D_ZH_5!N34 + D_ZH_6!N34</f>
        <v>12847.145604395604</v>
      </c>
      <c r="O31" s="100">
        <f xml:space="preserve"> 1*D_AG_1!O34 + 1*D_AG_2!O34 + 1*D_AG_3!O34 + 1*D_BE_1!O34 + 1*D_BE_2!O34 + 1*D_BE_3!O34 + 1*D_BS_1!O34 + 1*D_FR_1!O34 + 1*D_GE_1!O34 + 1*D_GL_1!O34 + 1*D_GR_1!O34 + 1*D_LU_1!O34 + 1*D_LU_2!O34 + 1*D_NE_1!O34 + 1*D_NE_2!O34 + D_SG_1!O34 + D_SG_2!O34 + D_SG_3!O34 + D_SO_1!O34 + D_TG_1!O34 + D_TI_1!O34 + D_VD_2!O34 + D_VS_1!O34 + D_VS_2!O34 + D_VS_3!O34 + D_ZH_1!O34 + D_ZH_2!O34 + D_ZH_3!O34 + D_ZH_4!O34 + D_ZH_5!O34 + D_ZH_6!O34</f>
        <v>13979.718857758744</v>
      </c>
      <c r="P31" s="100">
        <f xml:space="preserve"> 1*D_AG_1!P34 + 1*D_AG_2!P34 + 1*D_AG_3!P34 + 1*D_BE_1!P34 + 1*D_BE_2!P34 + 1*D_BE_3!P34 + 1*D_BS_1!P34 + 1*D_FR_1!P34 + 1*D_GE_1!P34 + 1*D_GL_1!P34 + 1*D_GR_1!P34 + 1*D_LU_1!P34 + 1*D_LU_2!P34 + 1*D_NE_1!P34 + 1*D_NE_2!P34 + D_SG_1!P34 + D_SG_2!P34 + D_SG_3!P34 + D_SO_1!P34 + D_TG_1!P34 + D_TI_1!P34 + D_VD_2!P34 + D_VS_1!P34 + D_VS_2!P34 + D_VS_3!P34 + D_ZH_1!P34 + D_ZH_2!P34 + D_ZH_3!P34 + D_ZH_4!P34 + D_ZH_5!P34 + D_ZH_6!P34</f>
        <v>14003</v>
      </c>
      <c r="Q31" s="64"/>
      <c r="R31" s="64"/>
      <c r="S31" s="64"/>
    </row>
    <row r="32" spans="2:28" x14ac:dyDescent="0.3">
      <c r="B32" s="55" t="s">
        <v>59</v>
      </c>
      <c r="C32" s="46" t="s">
        <v>134</v>
      </c>
      <c r="D32" s="97">
        <f xml:space="preserve"> 1*D_AG_1!D35 + 1*D_AG_2!D35 + 1*D_AG_3!D35 + 1*D_BE_1!D35 + 1*D_BE_2!D35 + 1*D_BE_3!D35 + 1*D_BS_1!D35 + 1*D_FR_1!D35 + 1*D_GE_1!D35 + 1*D_GL_1!D35 + 1*D_GR_1!D35 + 1*D_LU_1!D35 + 1*D_LU_2!D35 + 1*D_NE_1!D35 + 1*D_NE_2!D35 + D_SG_1!D35 + D_SG_2!D35 + D_SG_3!D35 + D_SO_1!D35 + D_TG_1!D35 + D_TI_1!D35 + D_VD_2!D35 + D_VS_1!D35 + D_VS_2!D35 + D_VS_3!D35 + D_ZH_1!D35 + D_ZH_2!D35 + D_ZH_3!D35 + D_ZH_4!D35 + D_ZH_5!D35 + D_ZH_6!D35</f>
        <v>0</v>
      </c>
      <c r="E32" s="97">
        <f xml:space="preserve"> 1*D_AG_1!E35 + 1*D_AG_2!E35 + 1*D_AG_3!E35 + 1*D_BE_1!E35 + 1*D_BE_2!E35 + 1*D_BE_3!E35 + 1*D_BS_1!E35 + 1*D_FR_1!E35 + 1*D_GE_1!E35 + 1*D_GL_1!E35 + 1*D_GR_1!E35 + 1*D_LU_1!E35 + 1*D_LU_2!E35 + 1*D_NE_1!E35 + 1*D_NE_2!E35 + D_SG_1!E35 + D_SG_2!E35 + D_SG_3!E35 + D_SO_1!E35 + D_TG_1!E35 + D_TI_1!E35 + D_VD_2!E35 + D_VS_1!E35 + D_VS_2!E35 + D_VS_3!E35 + D_ZH_1!E35 + D_ZH_2!E35 + D_ZH_3!E35 + D_ZH_4!E35 + D_ZH_5!E35 + D_ZH_6!E35</f>
        <v>0</v>
      </c>
      <c r="F32" s="97">
        <f xml:space="preserve"> 1*D_AG_1!F35 + 1*D_AG_2!F35 + 1*D_AG_3!F35 + 1*D_BE_1!F35 + 1*D_BE_2!F35 + 1*D_BE_3!F35 + 1*D_BS_1!F35 + 1*D_FR_1!F35 + 1*D_GE_1!F35 + 1*D_GL_1!F35 + 1*D_GR_1!F35 + 1*D_LU_1!F35 + 1*D_LU_2!F35 + 1*D_NE_1!F35 + 1*D_NE_2!F35 + D_SG_1!F35 + D_SG_2!F35 + D_SG_3!F35 + D_SO_1!F35 + D_TG_1!F35 + D_TI_1!F35 + D_VD_2!F35 + D_VS_1!F35 + D_VS_2!F35 + D_VS_3!F35 + D_ZH_1!F35 + D_ZH_2!F35 + D_ZH_3!F35 + D_ZH_4!F35 + D_ZH_5!F35 + D_ZH_6!F35</f>
        <v>0</v>
      </c>
      <c r="G32" s="97">
        <f xml:space="preserve"> 1*D_AG_1!G35 + 1*D_AG_2!G35 + 1*D_AG_3!G35 + 1*D_BE_1!G35 + 1*D_BE_2!G35 + 1*D_BE_3!G35 + 1*D_BS_1!G35 + 1*D_FR_1!G35 + 1*D_GE_1!G35 + 1*D_GL_1!G35 + 1*D_GR_1!G35 + 1*D_LU_1!G35 + 1*D_LU_2!G35 + 1*D_NE_1!G35 + 1*D_NE_2!G35 + D_SG_1!G35 + D_SG_2!G35 + D_SG_3!G35 + D_SO_1!G35 + D_TG_1!G35 + D_TI_1!G35 + D_VD_2!G35 + D_VS_1!G35 + D_VS_2!G35 + D_VS_3!G35 + D_ZH_1!G35 + D_ZH_2!G35 + D_ZH_3!G35 + D_ZH_4!G35 + D_ZH_5!G35 + D_ZH_6!G35</f>
        <v>0</v>
      </c>
      <c r="H32" s="97">
        <f xml:space="preserve"> 1*D_AG_1!H35 + 1*D_AG_2!H35 + 1*D_AG_3!H35 + 1*D_BE_1!H35 + 1*D_BE_2!H35 + 1*D_BE_3!H35 + 1*D_BS_1!H35 + 1*D_FR_1!H35 + 1*D_GE_1!H35 + 1*D_GL_1!H35 + 1*D_GR_1!H35 + 1*D_LU_1!H35 + 1*D_LU_2!H35 + 1*D_NE_1!H35 + 1*D_NE_2!H35 + D_SG_1!H35 + D_SG_2!H35 + D_SG_3!H35 + D_SO_1!H35 + D_TG_1!H35 + D_TI_1!H35 + D_VD_2!H35 + D_VS_1!H35 + D_VS_2!H35 + D_VS_3!H35 + D_ZH_1!H35 + D_ZH_2!H35 + D_ZH_3!H35 + D_ZH_4!H35 + D_ZH_5!H35 + D_ZH_6!H35</f>
        <v>0</v>
      </c>
      <c r="I32" s="97">
        <f xml:space="preserve"> 1*D_AG_1!I35 + 1*D_AG_2!I35 + 1*D_AG_3!I35 + 1*D_BE_1!I35 + 1*D_BE_2!I35 + 1*D_BE_3!I35 + 1*D_BS_1!I35 + 1*D_FR_1!I35 + 1*D_GE_1!I35 + 1*D_GL_1!I35 + 1*D_GR_1!I35 + 1*D_LU_1!I35 + 1*D_LU_2!I35 + 1*D_NE_1!I35 + 1*D_NE_2!I35 + D_SG_1!I35 + D_SG_2!I35 + D_SG_3!I35 + D_SO_1!I35 + D_TG_1!I35 + D_TI_1!I35 + D_VD_2!I35 + D_VS_1!I35 + D_VS_2!I35 + D_VS_3!I35 + D_ZH_1!I35 + D_ZH_2!I35 + D_ZH_3!I35 + D_ZH_4!I35 + D_ZH_5!I35 + D_ZH_6!I35</f>
        <v>0</v>
      </c>
      <c r="J32" s="97">
        <f xml:space="preserve"> 1*D_AG_1!J35 + 1*D_AG_2!J35 + 1*D_AG_3!J35 + 1*D_BE_1!J35 + 1*D_BE_2!J35 + 1*D_BE_3!J35 + 1*D_BS_1!J35 + 1*D_FR_1!J35 + 1*D_GE_1!J35 + 1*D_GL_1!J35 + 1*D_GR_1!J35 + 1*D_LU_1!J35 + 1*D_LU_2!J35 + 1*D_NE_1!J35 + 1*D_NE_2!J35 + D_SG_1!J35 + D_SG_2!J35 + D_SG_3!J35 + D_SO_1!J35 + D_TG_1!J35 + D_TI_1!J35 + D_VD_2!J35 + D_VS_1!J35 + D_VS_2!J35 + D_VS_3!J35 + D_ZH_1!J35 + D_ZH_2!J35 + D_ZH_3!J35 + D_ZH_4!J35 + D_ZH_5!J35 + D_ZH_6!J35</f>
        <v>0</v>
      </c>
      <c r="K32" s="97">
        <f xml:space="preserve"> 1*D_AG_1!K35 + 1*D_AG_2!K35 + 1*D_AG_3!K35 + 1*D_BE_1!K35 + 1*D_BE_2!K35 + 1*D_BE_3!K35 + 1*D_BS_1!K35 + 1*D_FR_1!K35 + 1*D_GE_1!K35 + 1*D_GL_1!K35 + 1*D_GR_1!K35 + 1*D_LU_1!K35 + 1*D_LU_2!K35 + 1*D_NE_1!K35 + 1*D_NE_2!K35 + D_SG_1!K35 + D_SG_2!K35 + D_SG_3!K35 + D_SO_1!K35 + D_TG_1!K35 + D_TI_1!K35 + D_VD_2!K35 + D_VS_1!K35 + D_VS_2!K35 + D_VS_3!K35 + D_ZH_1!K35 + D_ZH_2!K35 + D_ZH_3!K35 + D_ZH_4!K35 + D_ZH_5!K35 + D_ZH_6!K35</f>
        <v>0</v>
      </c>
      <c r="L32" s="97">
        <f xml:space="preserve"> 1*D_AG_1!L35 + 1*D_AG_2!L35 + 1*D_AG_3!L35 + 1*D_BE_1!L35 + 1*D_BE_2!L35 + 1*D_BE_3!L35 + 1*D_BS_1!L35 + 1*D_FR_1!L35 + 1*D_GE_1!L35 + 1*D_GL_1!L35 + 1*D_GR_1!L35 + 1*D_LU_1!L35 + 1*D_LU_2!L35 + 1*D_NE_1!L35 + 1*D_NE_2!L35 + D_SG_1!L35 + D_SG_2!L35 + D_SG_3!L35 + D_SO_1!L35 + D_TG_1!L35 + D_TI_1!L35 + D_VD_2!L35 + D_VS_1!L35 + D_VS_2!L35 + D_VS_3!L35 + D_ZH_1!L35 + D_ZH_2!L35 + D_ZH_3!L35 + D_ZH_4!L35 + D_ZH_5!L35 + D_ZH_6!L35</f>
        <v>529.8075719649562</v>
      </c>
      <c r="M32" s="97">
        <f xml:space="preserve"> 1*D_AG_1!M35 + 1*D_AG_2!M35 + 1*D_AG_3!M35 + 1*D_BE_1!M35 + 1*D_BE_2!M35 + 1*D_BE_3!M35 + 1*D_BS_1!M35 + 1*D_FR_1!M35 + 1*D_GE_1!M35 + 1*D_GL_1!M35 + 1*D_GR_1!M35 + 1*D_LU_1!M35 + 1*D_LU_2!M35 + 1*D_NE_1!M35 + 1*D_NE_2!M35 + D_SG_1!M35 + D_SG_2!M35 + D_SG_3!M35 + D_SO_1!M35 + D_TG_1!M35 + D_TI_1!M35 + D_VD_2!M35 + D_VS_1!M35 + D_VS_2!M35 + D_VS_3!M35 + D_ZH_1!M35 + D_ZH_2!M35 + D_ZH_3!M35 + D_ZH_4!M35 + D_ZH_5!M35 + D_ZH_6!M35</f>
        <v>0</v>
      </c>
      <c r="N32" s="97">
        <f xml:space="preserve"> 1*D_AG_1!N35 + 1*D_AG_2!N35 + 1*D_AG_3!N35 + 1*D_BE_1!N35 + 1*D_BE_2!N35 + 1*D_BE_3!N35 + 1*D_BS_1!N35 + 1*D_FR_1!N35 + 1*D_GE_1!N35 + 1*D_GL_1!N35 + 1*D_GR_1!N35 + 1*D_LU_1!N35 + 1*D_LU_2!N35 + 1*D_NE_1!N35 + 1*D_NE_2!N35 + D_SG_1!N35 + D_SG_2!N35 + D_SG_3!N35 + D_SO_1!N35 + D_TG_1!N35 + D_TI_1!N35 + D_VD_2!N35 + D_VS_1!N35 + D_VS_2!N35 + D_VS_3!N35 + D_ZH_1!N35 + D_ZH_2!N35 + D_ZH_3!N35 + D_ZH_4!N35 + D_ZH_5!N35 + D_ZH_6!N35</f>
        <v>0</v>
      </c>
      <c r="O32" s="100">
        <f xml:space="preserve"> 1*D_AG_1!O35 + 1*D_AG_2!O35 + 1*D_AG_3!O35 + 1*D_BE_1!O35 + 1*D_BE_2!O35 + 1*D_BE_3!O35 + 1*D_BS_1!O35 + 1*D_FR_1!O35 + 1*D_GE_1!O35 + 1*D_GL_1!O35 + 1*D_GR_1!O35 + 1*D_LU_1!O35 + 1*D_LU_2!O35 + 1*D_NE_1!O35 + 1*D_NE_2!O35 + D_SG_1!O35 + D_SG_2!O35 + D_SG_3!O35 + D_SO_1!O35 + D_TG_1!O35 + D_TI_1!O35 + D_VD_2!O35 + D_VS_1!O35 + D_VS_2!O35 + D_VS_3!O35 + D_ZH_1!O35 + D_ZH_2!O35 + D_ZH_3!O35 + D_ZH_4!O35 + D_ZH_5!O35 + D_ZH_6!O35</f>
        <v>0</v>
      </c>
      <c r="P32" s="100">
        <f xml:space="preserve"> 1*D_AG_1!P35 + 1*D_AG_2!P35 + 1*D_AG_3!P35 + 1*D_BE_1!P35 + 1*D_BE_2!P35 + 1*D_BE_3!P35 + 1*D_BS_1!P35 + 1*D_FR_1!P35 + 1*D_GE_1!P35 + 1*D_GL_1!P35 + 1*D_GR_1!P35 + 1*D_LU_1!P35 + 1*D_LU_2!P35 + 1*D_NE_1!P35 + 1*D_NE_2!P35 + D_SG_1!P35 + D_SG_2!P35 + D_SG_3!P35 + D_SO_1!P35 + D_TG_1!P35 + D_TI_1!P35 + D_VD_2!P35 + D_VS_1!P35 + D_VS_2!P35 + D_VS_3!P35 + D_ZH_1!P35 + D_ZH_2!P35 + D_ZH_3!P35 + D_ZH_4!P35 + D_ZH_5!P35 + D_ZH_6!P35</f>
        <v>0</v>
      </c>
      <c r="Q32" s="64"/>
      <c r="R32" s="64"/>
      <c r="S32" s="64"/>
    </row>
    <row r="33" spans="2:28" x14ac:dyDescent="0.3">
      <c r="B33" s="55" t="s">
        <v>61</v>
      </c>
      <c r="C33" s="46" t="s">
        <v>135</v>
      </c>
      <c r="D33" s="97">
        <f xml:space="preserve"> 1*D_AG_1!D36 + 1*D_AG_2!D36 + 1*D_AG_3!D36 + 1*D_BE_1!D36 + 1*D_BE_2!D36 + 1*D_BE_3!D36 + 1*D_BS_1!D36 + 1*D_FR_1!D36 + 1*D_GE_1!D36 + 1*D_GL_1!D36 + 1*D_GR_1!D36 + 1*D_LU_1!D36 + 1*D_LU_2!D36 + 1*D_NE_1!D36 + 1*D_NE_2!D36 + D_SG_1!D36 + D_SG_2!D36 + D_SG_3!D36 + D_SO_1!D36 + D_TG_1!D36 + D_TI_1!D36 + D_VD_2!D36 + D_VS_1!D36 + D_VS_2!D36 + D_VS_3!D36 + D_ZH_1!D36 + D_ZH_2!D36 + D_ZH_3!D36 + D_ZH_4!D36 + D_ZH_5!D36 + D_ZH_6!D36</f>
        <v>0</v>
      </c>
      <c r="E33" s="97">
        <f xml:space="preserve"> 1*D_AG_1!E36 + 1*D_AG_2!E36 + 1*D_AG_3!E36 + 1*D_BE_1!E36 + 1*D_BE_2!E36 + 1*D_BE_3!E36 + 1*D_BS_1!E36 + 1*D_FR_1!E36 + 1*D_GE_1!E36 + 1*D_GL_1!E36 + 1*D_GR_1!E36 + 1*D_LU_1!E36 + 1*D_LU_2!E36 + 1*D_NE_1!E36 + 1*D_NE_2!E36 + D_SG_1!E36 + D_SG_2!E36 + D_SG_3!E36 + D_SO_1!E36 + D_TG_1!E36 + D_TI_1!E36 + D_VD_2!E36 + D_VS_1!E36 + D_VS_2!E36 + D_VS_3!E36 + D_ZH_1!E36 + D_ZH_2!E36 + D_ZH_3!E36 + D_ZH_4!E36 + D_ZH_5!E36 + D_ZH_6!E36</f>
        <v>0</v>
      </c>
      <c r="F33" s="97">
        <f xml:space="preserve"> 1*D_AG_1!F36 + 1*D_AG_2!F36 + 1*D_AG_3!F36 + 1*D_BE_1!F36 + 1*D_BE_2!F36 + 1*D_BE_3!F36 + 1*D_BS_1!F36 + 1*D_FR_1!F36 + 1*D_GE_1!F36 + 1*D_GL_1!F36 + 1*D_GR_1!F36 + 1*D_LU_1!F36 + 1*D_LU_2!F36 + 1*D_NE_1!F36 + 1*D_NE_2!F36 + D_SG_1!F36 + D_SG_2!F36 + D_SG_3!F36 + D_SO_1!F36 + D_TG_1!F36 + D_TI_1!F36 + D_VD_2!F36 + D_VS_1!F36 + D_VS_2!F36 + D_VS_3!F36 + D_ZH_1!F36 + D_ZH_2!F36 + D_ZH_3!F36 + D_ZH_4!F36 + D_ZH_5!F36 + D_ZH_6!F36</f>
        <v>0</v>
      </c>
      <c r="G33" s="97">
        <f xml:space="preserve"> 1*D_AG_1!G36 + 1*D_AG_2!G36 + 1*D_AG_3!G36 + 1*D_BE_1!G36 + 1*D_BE_2!G36 + 1*D_BE_3!G36 + 1*D_BS_1!G36 + 1*D_FR_1!G36 + 1*D_GE_1!G36 + 1*D_GL_1!G36 + 1*D_GR_1!G36 + 1*D_LU_1!G36 + 1*D_LU_2!G36 + 1*D_NE_1!G36 + 1*D_NE_2!G36 + D_SG_1!G36 + D_SG_2!G36 + D_SG_3!G36 + D_SO_1!G36 + D_TG_1!G36 + D_TI_1!G36 + D_VD_2!G36 + D_VS_1!G36 + D_VS_2!G36 + D_VS_3!G36 + D_ZH_1!G36 + D_ZH_2!G36 + D_ZH_3!G36 + D_ZH_4!G36 + D_ZH_5!G36 + D_ZH_6!G36</f>
        <v>0</v>
      </c>
      <c r="H33" s="97">
        <f xml:space="preserve"> 1*D_AG_1!H36 + 1*D_AG_2!H36 + 1*D_AG_3!H36 + 1*D_BE_1!H36 + 1*D_BE_2!H36 + 1*D_BE_3!H36 + 1*D_BS_1!H36 + 1*D_FR_1!H36 + 1*D_GE_1!H36 + 1*D_GL_1!H36 + 1*D_GR_1!H36 + 1*D_LU_1!H36 + 1*D_LU_2!H36 + 1*D_NE_1!H36 + 1*D_NE_2!H36 + D_SG_1!H36 + D_SG_2!H36 + D_SG_3!H36 + D_SO_1!H36 + D_TG_1!H36 + D_TI_1!H36 + D_VD_2!H36 + D_VS_1!H36 + D_VS_2!H36 + D_VS_3!H36 + D_ZH_1!H36 + D_ZH_2!H36 + D_ZH_3!H36 + D_ZH_4!H36 + D_ZH_5!H36 + D_ZH_6!H36</f>
        <v>0</v>
      </c>
      <c r="I33" s="97">
        <f xml:space="preserve"> 1*D_AG_1!I36 + 1*D_AG_2!I36 + 1*D_AG_3!I36 + 1*D_BE_1!I36 + 1*D_BE_2!I36 + 1*D_BE_3!I36 + 1*D_BS_1!I36 + 1*D_FR_1!I36 + 1*D_GE_1!I36 + 1*D_GL_1!I36 + 1*D_GR_1!I36 + 1*D_LU_1!I36 + 1*D_LU_2!I36 + 1*D_NE_1!I36 + 1*D_NE_2!I36 + D_SG_1!I36 + D_SG_2!I36 + D_SG_3!I36 + D_SO_1!I36 + D_TG_1!I36 + D_TI_1!I36 + D_VD_2!I36 + D_VS_1!I36 + D_VS_2!I36 + D_VS_3!I36 + D_ZH_1!I36 + D_ZH_2!I36 + D_ZH_3!I36 + D_ZH_4!I36 + D_ZH_5!I36 + D_ZH_6!I36</f>
        <v>0</v>
      </c>
      <c r="J33" s="97">
        <f xml:space="preserve"> 1*D_AG_1!J36 + 1*D_AG_2!J36 + 1*D_AG_3!J36 + 1*D_BE_1!J36 + 1*D_BE_2!J36 + 1*D_BE_3!J36 + 1*D_BS_1!J36 + 1*D_FR_1!J36 + 1*D_GE_1!J36 + 1*D_GL_1!J36 + 1*D_GR_1!J36 + 1*D_LU_1!J36 + 1*D_LU_2!J36 + 1*D_NE_1!J36 + 1*D_NE_2!J36 + D_SG_1!J36 + D_SG_2!J36 + D_SG_3!J36 + D_SO_1!J36 + D_TG_1!J36 + D_TI_1!J36 + D_VD_2!J36 + D_VS_1!J36 + D_VS_2!J36 + D_VS_3!J36 + D_ZH_1!J36 + D_ZH_2!J36 + D_ZH_3!J36 + D_ZH_4!J36 + D_ZH_5!J36 + D_ZH_6!J36</f>
        <v>0</v>
      </c>
      <c r="K33" s="97">
        <f xml:space="preserve"> 1*D_AG_1!K36 + 1*D_AG_2!K36 + 1*D_AG_3!K36 + 1*D_BE_1!K36 + 1*D_BE_2!K36 + 1*D_BE_3!K36 + 1*D_BS_1!K36 + 1*D_FR_1!K36 + 1*D_GE_1!K36 + 1*D_GL_1!K36 + 1*D_GR_1!K36 + 1*D_LU_1!K36 + 1*D_LU_2!K36 + 1*D_NE_1!K36 + 1*D_NE_2!K36 + D_SG_1!K36 + D_SG_2!K36 + D_SG_3!K36 + D_SO_1!K36 + D_TG_1!K36 + D_TI_1!K36 + D_VD_2!K36 + D_VS_1!K36 + D_VS_2!K36 + D_VS_3!K36 + D_ZH_1!K36 + D_ZH_2!K36 + D_ZH_3!K36 + D_ZH_4!K36 + D_ZH_5!K36 + D_ZH_6!K36</f>
        <v>0</v>
      </c>
      <c r="L33" s="97">
        <f xml:space="preserve"> 1*D_AG_1!L36 + 1*D_AG_2!L36 + 1*D_AG_3!L36 + 1*D_BE_1!L36 + 1*D_BE_2!L36 + 1*D_BE_3!L36 + 1*D_BS_1!L36 + 1*D_FR_1!L36 + 1*D_GE_1!L36 + 1*D_GL_1!L36 + 1*D_GR_1!L36 + 1*D_LU_1!L36 + 1*D_LU_2!L36 + 1*D_NE_1!L36 + 1*D_NE_2!L36 + D_SG_1!L36 + D_SG_2!L36 + D_SG_3!L36 + D_SO_1!L36 + D_TG_1!L36 + D_TI_1!L36 + D_VD_2!L36 + D_VS_1!L36 + D_VS_2!L36 + D_VS_3!L36 + D_ZH_1!L36 + D_ZH_2!L36 + D_ZH_3!L36 + D_ZH_4!L36 + D_ZH_5!L36 + D_ZH_6!L36</f>
        <v>2.5011102587912308</v>
      </c>
      <c r="M33" s="97">
        <f xml:space="preserve"> 1*D_AG_1!M36 + 1*D_AG_2!M36 + 1*D_AG_3!M36 + 1*D_BE_1!M36 + 1*D_BE_2!M36 + 1*D_BE_3!M36 + 1*D_BS_1!M36 + 1*D_FR_1!M36 + 1*D_GE_1!M36 + 1*D_GL_1!M36 + 1*D_GR_1!M36 + 1*D_LU_1!M36 + 1*D_LU_2!M36 + 1*D_NE_1!M36 + 1*D_NE_2!M36 + D_SG_1!M36 + D_SG_2!M36 + D_SG_3!M36 + D_SO_1!M36 + D_TG_1!M36 + D_TI_1!M36 + D_VD_2!M36 + D_VS_1!M36 + D_VS_2!M36 + D_VS_3!M36 + D_ZH_1!M36 + D_ZH_2!M36 + D_ZH_3!M36 + D_ZH_4!M36 + D_ZH_5!M36 + D_ZH_6!M36</f>
        <v>0</v>
      </c>
      <c r="N33" s="97">
        <f xml:space="preserve"> 1*D_AG_1!N36 + 1*D_AG_2!N36 + 1*D_AG_3!N36 + 1*D_BE_1!N36 + 1*D_BE_2!N36 + 1*D_BE_3!N36 + 1*D_BS_1!N36 + 1*D_FR_1!N36 + 1*D_GE_1!N36 + 1*D_GL_1!N36 + 1*D_GR_1!N36 + 1*D_LU_1!N36 + 1*D_LU_2!N36 + 1*D_NE_1!N36 + 1*D_NE_2!N36 + D_SG_1!N36 + D_SG_2!N36 + D_SG_3!N36 + D_SO_1!N36 + D_TG_1!N36 + D_TI_1!N36 + D_VD_2!N36 + D_VS_1!N36 + D_VS_2!N36 + D_VS_3!N36 + D_ZH_1!N36 + D_ZH_2!N36 + D_ZH_3!N36 + D_ZH_4!N36 + D_ZH_5!N36 + D_ZH_6!N36</f>
        <v>0</v>
      </c>
      <c r="O33" s="100">
        <f xml:space="preserve"> 1*D_AG_1!O36 + 1*D_AG_2!O36 + 1*D_AG_3!O36 + 1*D_BE_1!O36 + 1*D_BE_2!O36 + 1*D_BE_3!O36 + 1*D_BS_1!O36 + 1*D_FR_1!O36 + 1*D_GE_1!O36 + 1*D_GL_1!O36 + 1*D_GR_1!O36 + 1*D_LU_1!O36 + 1*D_LU_2!O36 + 1*D_NE_1!O36 + 1*D_NE_2!O36 + D_SG_1!O36 + D_SG_2!O36 + D_SG_3!O36 + D_SO_1!O36 + D_TG_1!O36 + D_TI_1!O36 + D_VD_2!O36 + D_VS_1!O36 + D_VS_2!O36 + D_VS_3!O36 + D_ZH_1!O36 + D_ZH_2!O36 + D_ZH_3!O36 + D_ZH_4!O36 + D_ZH_5!O36 + D_ZH_6!O36</f>
        <v>0</v>
      </c>
      <c r="P33" s="100">
        <f xml:space="preserve"> 1*D_AG_1!P36 + 1*D_AG_2!P36 + 1*D_AG_3!P36 + 1*D_BE_1!P36 + 1*D_BE_2!P36 + 1*D_BE_3!P36 + 1*D_BS_1!P36 + 1*D_FR_1!P36 + 1*D_GE_1!P36 + 1*D_GL_1!P36 + 1*D_GR_1!P36 + 1*D_LU_1!P36 + 1*D_LU_2!P36 + 1*D_NE_1!P36 + 1*D_NE_2!P36 + D_SG_1!P36 + D_SG_2!P36 + D_SG_3!P36 + D_SO_1!P36 + D_TG_1!P36 + D_TI_1!P36 + D_VD_2!P36 + D_VS_1!P36 + D_VS_2!P36 + D_VS_3!P36 + D_ZH_1!P36 + D_ZH_2!P36 + D_ZH_3!P36 + D_ZH_4!P36 + D_ZH_5!P36 + D_ZH_6!P36</f>
        <v>0</v>
      </c>
      <c r="Q33" s="64"/>
      <c r="R33" s="64"/>
      <c r="S33" s="64"/>
    </row>
    <row r="34" spans="2:28" x14ac:dyDescent="0.3">
      <c r="B34" s="55" t="s">
        <v>63</v>
      </c>
      <c r="C34" s="46" t="s">
        <v>136</v>
      </c>
      <c r="D34" s="97">
        <f xml:space="preserve"> 1*D_AG_1!D37 + 1*D_AG_2!D37 + 1*D_AG_3!D37 + 1*D_BE_1!D37 + 1*D_BE_2!D37 + 1*D_BE_3!D37 + 1*D_BS_1!D37 + 1*D_FR_1!D37 + 1*D_GE_1!D37 + 1*D_GL_1!D37 + 1*D_GR_1!D37 + 1*D_LU_1!D37 + 1*D_LU_2!D37 + 1*D_NE_1!D37 + 1*D_NE_2!D37 + D_SG_1!D37 + D_SG_2!D37 + D_SG_3!D37 + D_SO_1!D37 + D_TG_1!D37 + D_TI_1!D37 + D_VD_2!D37 + D_VS_1!D37 + D_VS_2!D37 + D_VS_3!D37 + D_ZH_1!D37 + D_ZH_2!D37 + D_ZH_3!D37 + D_ZH_4!D37 + D_ZH_5!D37 + D_ZH_6!D37</f>
        <v>193.68212499999998</v>
      </c>
      <c r="E34" s="97">
        <f xml:space="preserve"> 1*D_AG_1!E37 + 1*D_AG_2!E37 + 1*D_AG_3!E37 + 1*D_BE_1!E37 + 1*D_BE_2!E37 + 1*D_BE_3!E37 + 1*D_BS_1!E37 + 1*D_FR_1!E37 + 1*D_GE_1!E37 + 1*D_GL_1!E37 + 1*D_GR_1!E37 + 1*D_LU_1!E37 + 1*D_LU_2!E37 + 1*D_NE_1!E37 + 1*D_NE_2!E37 + D_SG_1!E37 + D_SG_2!E37 + D_SG_3!E37 + D_SO_1!E37 + D_TG_1!E37 + D_TI_1!E37 + D_VD_2!E37 + D_VS_1!E37 + D_VS_2!E37 + D_VS_3!E37 + D_ZH_1!E37 + D_ZH_2!E37 + D_ZH_3!E37 + D_ZH_4!E37 + D_ZH_5!E37 + D_ZH_6!E37</f>
        <v>288.33648507500004</v>
      </c>
      <c r="F34" s="97">
        <f xml:space="preserve"> 1*D_AG_1!F37 + 1*D_AG_2!F37 + 1*D_AG_3!F37 + 1*D_BE_1!F37 + 1*D_BE_2!F37 + 1*D_BE_3!F37 + 1*D_BS_1!F37 + 1*D_FR_1!F37 + 1*D_GE_1!F37 + 1*D_GL_1!F37 + 1*D_GR_1!F37 + 1*D_LU_1!F37 + 1*D_LU_2!F37 + 1*D_NE_1!F37 + 1*D_NE_2!F37 + D_SG_1!F37 + D_SG_2!F37 + D_SG_3!F37 + D_SO_1!F37 + D_TG_1!F37 + D_TI_1!F37 + D_VD_2!F37 + D_VS_1!F37 + D_VS_2!F37 + D_VS_3!F37 + D_ZH_1!F37 + D_ZH_2!F37 + D_ZH_3!F37 + D_ZH_4!F37 + D_ZH_5!F37 + D_ZH_6!F37</f>
        <v>333.222095325</v>
      </c>
      <c r="G34" s="97">
        <f xml:space="preserve"> 1*D_AG_1!G37 + 1*D_AG_2!G37 + 1*D_AG_3!G37 + 1*D_BE_1!G37 + 1*D_BE_2!G37 + 1*D_BE_3!G37 + 1*D_BS_1!G37 + 1*D_FR_1!G37 + 1*D_GE_1!G37 + 1*D_GL_1!G37 + 1*D_GR_1!G37 + 1*D_LU_1!G37 + 1*D_LU_2!G37 + 1*D_NE_1!G37 + 1*D_NE_2!G37 + D_SG_1!G37 + D_SG_2!G37 + D_SG_3!G37 + D_SO_1!G37 + D_TG_1!G37 + D_TI_1!G37 + D_VD_2!G37 + D_VS_1!G37 + D_VS_2!G37 + D_VS_3!G37 + D_ZH_1!G37 + D_ZH_2!G37 + D_ZH_3!G37 + D_ZH_4!G37 + D_ZH_5!G37 + D_ZH_6!G37</f>
        <v>402.75373304999999</v>
      </c>
      <c r="H34" s="97">
        <f xml:space="preserve"> 1*D_AG_1!H37 + 1*D_AG_2!H37 + 1*D_AG_3!H37 + 1*D_BE_1!H37 + 1*D_BE_2!H37 + 1*D_BE_3!H37 + 1*D_BS_1!H37 + 1*D_FR_1!H37 + 1*D_GE_1!H37 + 1*D_GL_1!H37 + 1*D_GR_1!H37 + 1*D_LU_1!H37 + 1*D_LU_2!H37 + 1*D_NE_1!H37 + 1*D_NE_2!H37 + D_SG_1!H37 + D_SG_2!H37 + D_SG_3!H37 + D_SO_1!H37 + D_TG_1!H37 + D_TI_1!H37 + D_VD_2!H37 + D_VS_1!H37 + D_VS_2!H37 + D_VS_3!H37 + D_ZH_1!H37 + D_ZH_2!H37 + D_ZH_3!H37 + D_ZH_4!H37 + D_ZH_5!H37 + D_ZH_6!H37</f>
        <v>590.12787500000002</v>
      </c>
      <c r="I34" s="97">
        <f xml:space="preserve"> 1*D_AG_1!I37 + 1*D_AG_2!I37 + 1*D_AG_3!I37 + 1*D_BE_1!I37 + 1*D_BE_2!I37 + 1*D_BE_3!I37 + 1*D_BS_1!I37 + 1*D_FR_1!I37 + 1*D_GE_1!I37 + 1*D_GL_1!I37 + 1*D_GR_1!I37 + 1*D_LU_1!I37 + 1*D_LU_2!I37 + 1*D_NE_1!I37 + 1*D_NE_2!I37 + D_SG_1!I37 + D_SG_2!I37 + D_SG_3!I37 + D_SO_1!I37 + D_TG_1!I37 + D_TI_1!I37 + D_VD_2!I37 + D_VS_1!I37 + D_VS_2!I37 + D_VS_3!I37 + D_ZH_1!I37 + D_ZH_2!I37 + D_ZH_3!I37 + D_ZH_4!I37 + D_ZH_5!I37 + D_ZH_6!I37</f>
        <v>753</v>
      </c>
      <c r="J34" s="97">
        <f xml:space="preserve"> 1*D_AG_1!J37 + 1*D_AG_2!J37 + 1*D_AG_3!J37 + 1*D_BE_1!J37 + 1*D_BE_2!J37 + 1*D_BE_3!J37 + 1*D_BS_1!J37 + 1*D_FR_1!J37 + 1*D_GE_1!J37 + 1*D_GL_1!J37 + 1*D_GR_1!J37 + 1*D_LU_1!J37 + 1*D_LU_2!J37 + 1*D_NE_1!J37 + 1*D_NE_2!J37 + D_SG_1!J37 + D_SG_2!J37 + D_SG_3!J37 + D_SO_1!J37 + D_TG_1!J37 + D_TI_1!J37 + D_VD_2!J37 + D_VS_1!J37 + D_VS_2!J37 + D_VS_3!J37 + D_ZH_1!J37 + D_ZH_2!J37 + D_ZH_3!J37 + D_ZH_4!J37 + D_ZH_5!J37 + D_ZH_6!J37</f>
        <v>814</v>
      </c>
      <c r="K34" s="97">
        <f xml:space="preserve"> 1*D_AG_1!K37 + 1*D_AG_2!K37 + 1*D_AG_3!K37 + 1*D_BE_1!K37 + 1*D_BE_2!K37 + 1*D_BE_3!K37 + 1*D_BS_1!K37 + 1*D_FR_1!K37 + 1*D_GE_1!K37 + 1*D_GL_1!K37 + 1*D_GR_1!K37 + 1*D_LU_1!K37 + 1*D_LU_2!K37 + 1*D_NE_1!K37 + 1*D_NE_2!K37 + D_SG_1!K37 + D_SG_2!K37 + D_SG_3!K37 + D_SO_1!K37 + D_TG_1!K37 + D_TI_1!K37 + D_VD_2!K37 + D_VS_1!K37 + D_VS_2!K37 + D_VS_3!K37 + D_ZH_1!K37 + D_ZH_2!K37 + D_ZH_3!K37 + D_ZH_4!K37 + D_ZH_5!K37 + D_ZH_6!K37</f>
        <v>959.34025711033462</v>
      </c>
      <c r="L34" s="97">
        <f xml:space="preserve"> 1*D_AG_1!L37 + 1*D_AG_2!L37 + 1*D_AG_3!L37 + 1*D_BE_1!L37 + 1*D_BE_2!L37 + 1*D_BE_3!L37 + 1*D_BS_1!L37 + 1*D_FR_1!L37 + 1*D_GE_1!L37 + 1*D_GL_1!L37 + 1*D_GR_1!L37 + 1*D_LU_1!L37 + 1*D_LU_2!L37 + 1*D_NE_1!L37 + 1*D_NE_2!L37 + D_SG_1!L37 + D_SG_2!L37 + D_SG_3!L37 + D_SO_1!L37 + D_TG_1!L37 + D_TI_1!L37 + D_VD_2!L37 + D_VS_1!L37 + D_VS_2!L37 + D_VS_3!L37 + D_ZH_1!L37 + D_ZH_2!L37 + D_ZH_3!L37 + D_ZH_4!L37 + D_ZH_5!L37 + D_ZH_6!L37</f>
        <v>919</v>
      </c>
      <c r="M34" s="97">
        <f xml:space="preserve"> 1*D_AG_1!M37 + 1*D_AG_2!M37 + 1*D_AG_3!M37 + 1*D_BE_1!M37 + 1*D_BE_2!M37 + 1*D_BE_3!M37 + 1*D_BS_1!M37 + 1*D_FR_1!M37 + 1*D_GE_1!M37 + 1*D_GL_1!M37 + 1*D_GR_1!M37 + 1*D_LU_1!M37 + 1*D_LU_2!M37 + 1*D_NE_1!M37 + 1*D_NE_2!M37 + D_SG_1!M37 + D_SG_2!M37 + D_SG_3!M37 + D_SO_1!M37 + D_TG_1!M37 + D_TI_1!M37 + D_VD_2!M37 + D_VS_1!M37 + D_VS_2!M37 + D_VS_3!M37 + D_ZH_1!M37 + D_ZH_2!M37 + D_ZH_3!M37 + D_ZH_4!M37 + D_ZH_5!M37 + D_ZH_6!M37</f>
        <v>875</v>
      </c>
      <c r="N34" s="97">
        <f xml:space="preserve"> 1*D_AG_1!N37 + 1*D_AG_2!N37 + 1*D_AG_3!N37 + 1*D_BE_1!N37 + 1*D_BE_2!N37 + 1*D_BE_3!N37 + 1*D_BS_1!N37 + 1*D_FR_1!N37 + 1*D_GE_1!N37 + 1*D_GL_1!N37 + 1*D_GR_1!N37 + 1*D_LU_1!N37 + 1*D_LU_2!N37 + 1*D_NE_1!N37 + 1*D_NE_2!N37 + D_SG_1!N37 + D_SG_2!N37 + D_SG_3!N37 + D_SO_1!N37 + D_TG_1!N37 + D_TI_1!N37 + D_VD_2!N37 + D_VS_1!N37 + D_VS_2!N37 + D_VS_3!N37 + D_ZH_1!N37 + D_ZH_2!N37 + D_ZH_3!N37 + D_ZH_4!N37 + D_ZH_5!N37 + D_ZH_6!N37</f>
        <v>794</v>
      </c>
      <c r="O34" s="100">
        <f xml:space="preserve"> 1*D_AG_1!O37 + 1*D_AG_2!O37 + 1*D_AG_3!O37 + 1*D_BE_1!O37 + 1*D_BE_2!O37 + 1*D_BE_3!O37 + 1*D_BS_1!O37 + 1*D_FR_1!O37 + 1*D_GE_1!O37 + 1*D_GL_1!O37 + 1*D_GR_1!O37 + 1*D_LU_1!O37 + 1*D_LU_2!O37 + 1*D_NE_1!O37 + 1*D_NE_2!O37 + D_SG_1!O37 + D_SG_2!O37 + D_SG_3!O37 + D_SO_1!O37 + D_TG_1!O37 + D_TI_1!O37 + D_VD_2!O37 + D_VS_1!O37 + D_VS_2!O37 + D_VS_3!O37 + D_ZH_1!O37 + D_ZH_2!O37 + D_ZH_3!O37 + D_ZH_4!O37 + D_ZH_5!O37 + D_ZH_6!O37</f>
        <v>973.13717286732083</v>
      </c>
      <c r="P34" s="100">
        <f xml:space="preserve"> 1*D_AG_1!P37 + 1*D_AG_2!P37 + 1*D_AG_3!P37 + 1*D_BE_1!P37 + 1*D_BE_2!P37 + 1*D_BE_3!P37 + 1*D_BS_1!P37 + 1*D_FR_1!P37 + 1*D_GE_1!P37 + 1*D_GL_1!P37 + 1*D_GR_1!P37 + 1*D_LU_1!P37 + 1*D_LU_2!P37 + 1*D_NE_1!P37 + 1*D_NE_2!P37 + D_SG_1!P37 + D_SG_2!P37 + D_SG_3!P37 + D_SO_1!P37 + D_TG_1!P37 + D_TI_1!P37 + D_VD_2!P37 + D_VS_1!P37 + D_VS_2!P37 + D_VS_3!P37 + D_ZH_1!P37 + D_ZH_2!P37 + D_ZH_3!P37 + D_ZH_4!P37 + D_ZH_5!P37 + D_ZH_6!P37</f>
        <v>978.72347098797695</v>
      </c>
      <c r="Q34" s="47"/>
      <c r="R34" s="47"/>
      <c r="S34" s="47"/>
    </row>
    <row r="35" spans="2:28" x14ac:dyDescent="0.3">
      <c r="B35" s="55" t="s">
        <v>65</v>
      </c>
      <c r="C35" s="46" t="s">
        <v>137</v>
      </c>
      <c r="D35" s="97">
        <f xml:space="preserve"> 1*D_AG_1!D38 + 1*D_AG_2!D38 + 1*D_AG_3!D38 + 1*D_BE_1!D38 + 1*D_BE_2!D38 + 1*D_BE_3!D38 + 1*D_BS_1!D38 + 1*D_FR_1!D38 + 1*D_GE_1!D38 + 1*D_GL_1!D38 + 1*D_GR_1!D38 + 1*D_LU_1!D38 + 1*D_LU_2!D38 + 1*D_NE_1!D38 + 1*D_NE_2!D38 + D_SG_1!D38 + D_SG_2!D38 + D_SG_3!D38 + D_SO_1!D38 + D_TG_1!D38 + D_TI_1!D38 + D_VD_2!D38 + D_VS_1!D38 + D_VS_2!D38 + D_VS_3!D38 + D_ZH_1!D38 + D_ZH_2!D38 + D_ZH_3!D38 + D_ZH_4!D38 + D_ZH_5!D38 + D_ZH_6!D38</f>
        <v>0</v>
      </c>
      <c r="E35" s="97">
        <f xml:space="preserve"> 1*D_AG_1!E38 + 1*D_AG_2!E38 + 1*D_AG_3!E38 + 1*D_BE_1!E38 + 1*D_BE_2!E38 + 1*D_BE_3!E38 + 1*D_BS_1!E38 + 1*D_FR_1!E38 + 1*D_GE_1!E38 + 1*D_GL_1!E38 + 1*D_GR_1!E38 + 1*D_LU_1!E38 + 1*D_LU_2!E38 + 1*D_NE_1!E38 + 1*D_NE_2!E38 + D_SG_1!E38 + D_SG_2!E38 + D_SG_3!E38 + D_SO_1!E38 + D_TG_1!E38 + D_TI_1!E38 + D_VD_2!E38 + D_VS_1!E38 + D_VS_2!E38 + D_VS_3!E38 + D_ZH_1!E38 + D_ZH_2!E38 + D_ZH_3!E38 + D_ZH_4!E38 + D_ZH_5!E38 + D_ZH_6!E38</f>
        <v>0</v>
      </c>
      <c r="F35" s="97">
        <f xml:space="preserve"> 1*D_AG_1!F38 + 1*D_AG_2!F38 + 1*D_AG_3!F38 + 1*D_BE_1!F38 + 1*D_BE_2!F38 + 1*D_BE_3!F38 + 1*D_BS_1!F38 + 1*D_FR_1!F38 + 1*D_GE_1!F38 + 1*D_GL_1!F38 + 1*D_GR_1!F38 + 1*D_LU_1!F38 + 1*D_LU_2!F38 + 1*D_NE_1!F38 + 1*D_NE_2!F38 + D_SG_1!F38 + D_SG_2!F38 + D_SG_3!F38 + D_SO_1!F38 + D_TG_1!F38 + D_TI_1!F38 + D_VD_2!F38 + D_VS_1!F38 + D_VS_2!F38 + D_VS_3!F38 + D_ZH_1!F38 + D_ZH_2!F38 + D_ZH_3!F38 + D_ZH_4!F38 + D_ZH_5!F38 + D_ZH_6!F38</f>
        <v>0</v>
      </c>
      <c r="G35" s="97">
        <f xml:space="preserve"> 1*D_AG_1!G38 + 1*D_AG_2!G38 + 1*D_AG_3!G38 + 1*D_BE_1!G38 + 1*D_BE_2!G38 + 1*D_BE_3!G38 + 1*D_BS_1!G38 + 1*D_FR_1!G38 + 1*D_GE_1!G38 + 1*D_GL_1!G38 + 1*D_GR_1!G38 + 1*D_LU_1!G38 + 1*D_LU_2!G38 + 1*D_NE_1!G38 + 1*D_NE_2!G38 + D_SG_1!G38 + D_SG_2!G38 + D_SG_3!G38 + D_SO_1!G38 + D_TG_1!G38 + D_TI_1!G38 + D_VD_2!G38 + D_VS_1!G38 + D_VS_2!G38 + D_VS_3!G38 + D_ZH_1!G38 + D_ZH_2!G38 + D_ZH_3!G38 + D_ZH_4!G38 + D_ZH_5!G38 + D_ZH_6!G38</f>
        <v>0</v>
      </c>
      <c r="H35" s="97">
        <f xml:space="preserve"> 1*D_AG_1!H38 + 1*D_AG_2!H38 + 1*D_AG_3!H38 + 1*D_BE_1!H38 + 1*D_BE_2!H38 + 1*D_BE_3!H38 + 1*D_BS_1!H38 + 1*D_FR_1!H38 + 1*D_GE_1!H38 + 1*D_GL_1!H38 + 1*D_GR_1!H38 + 1*D_LU_1!H38 + 1*D_LU_2!H38 + 1*D_NE_1!H38 + 1*D_NE_2!H38 + D_SG_1!H38 + D_SG_2!H38 + D_SG_3!H38 + D_SO_1!H38 + D_TG_1!H38 + D_TI_1!H38 + D_VD_2!H38 + D_VS_1!H38 + D_VS_2!H38 + D_VS_3!H38 + D_ZH_1!H38 + D_ZH_2!H38 + D_ZH_3!H38 + D_ZH_4!H38 + D_ZH_5!H38 + D_ZH_6!H38</f>
        <v>0</v>
      </c>
      <c r="I35" s="97">
        <f xml:space="preserve"> 1*D_AG_1!I38 + 1*D_AG_2!I38 + 1*D_AG_3!I38 + 1*D_BE_1!I38 + 1*D_BE_2!I38 + 1*D_BE_3!I38 + 1*D_BS_1!I38 + 1*D_FR_1!I38 + 1*D_GE_1!I38 + 1*D_GL_1!I38 + 1*D_GR_1!I38 + 1*D_LU_1!I38 + 1*D_LU_2!I38 + 1*D_NE_1!I38 + 1*D_NE_2!I38 + D_SG_1!I38 + D_SG_2!I38 + D_SG_3!I38 + D_SO_1!I38 + D_TG_1!I38 + D_TI_1!I38 + D_VD_2!I38 + D_VS_1!I38 + D_VS_2!I38 + D_VS_3!I38 + D_ZH_1!I38 + D_ZH_2!I38 + D_ZH_3!I38 + D_ZH_4!I38 + D_ZH_5!I38 + D_ZH_6!I38</f>
        <v>0</v>
      </c>
      <c r="J35" s="97">
        <f xml:space="preserve"> 1*D_AG_1!J38 + 1*D_AG_2!J38 + 1*D_AG_3!J38 + 1*D_BE_1!J38 + 1*D_BE_2!J38 + 1*D_BE_3!J38 + 1*D_BS_1!J38 + 1*D_FR_1!J38 + 1*D_GE_1!J38 + 1*D_GL_1!J38 + 1*D_GR_1!J38 + 1*D_LU_1!J38 + 1*D_LU_2!J38 + 1*D_NE_1!J38 + 1*D_NE_2!J38 + D_SG_1!J38 + D_SG_2!J38 + D_SG_3!J38 + D_SO_1!J38 + D_TG_1!J38 + D_TI_1!J38 + D_VD_2!J38 + D_VS_1!J38 + D_VS_2!J38 + D_VS_3!J38 + D_ZH_1!J38 + D_ZH_2!J38 + D_ZH_3!J38 + D_ZH_4!J38 + D_ZH_5!J38 + D_ZH_6!J38</f>
        <v>0</v>
      </c>
      <c r="K35" s="97">
        <f xml:space="preserve"> 1*D_AG_1!K38 + 1*D_AG_2!K38 + 1*D_AG_3!K38 + 1*D_BE_1!K38 + 1*D_BE_2!K38 + 1*D_BE_3!K38 + 1*D_BS_1!K38 + 1*D_FR_1!K38 + 1*D_GE_1!K38 + 1*D_GL_1!K38 + 1*D_GR_1!K38 + 1*D_LU_1!K38 + 1*D_LU_2!K38 + 1*D_NE_1!K38 + 1*D_NE_2!K38 + D_SG_1!K38 + D_SG_2!K38 + D_SG_3!K38 + D_SO_1!K38 + D_TG_1!K38 + D_TI_1!K38 + D_VD_2!K38 + D_VS_1!K38 + D_VS_2!K38 + D_VS_3!K38 + D_ZH_1!K38 + D_ZH_2!K38 + D_ZH_3!K38 + D_ZH_4!K38 + D_ZH_5!K38 + D_ZH_6!K38</f>
        <v>0</v>
      </c>
      <c r="L35" s="97">
        <f xml:space="preserve"> 1*D_AG_1!L38 + 1*D_AG_2!L38 + 1*D_AG_3!L38 + 1*D_BE_1!L38 + 1*D_BE_2!L38 + 1*D_BE_3!L38 + 1*D_BS_1!L38 + 1*D_FR_1!L38 + 1*D_GE_1!L38 + 1*D_GL_1!L38 + 1*D_GR_1!L38 + 1*D_LU_1!L38 + 1*D_LU_2!L38 + 1*D_NE_1!L38 + 1*D_NE_2!L38 + D_SG_1!L38 + D_SG_2!L38 + D_SG_3!L38 + D_SO_1!L38 + D_TG_1!L38 + D_TI_1!L38 + D_VD_2!L38 + D_VS_1!L38 + D_VS_2!L38 + D_VS_3!L38 + D_ZH_1!L38 + D_ZH_2!L38 + D_ZH_3!L38 + D_ZH_4!L38 + D_ZH_5!L38 + D_ZH_6!L38</f>
        <v>5.8016551939924915E-2</v>
      </c>
      <c r="M35" s="97">
        <f xml:space="preserve"> 1*D_AG_1!M38 + 1*D_AG_2!M38 + 1*D_AG_3!M38 + 1*D_BE_1!M38 + 1*D_BE_2!M38 + 1*D_BE_3!M38 + 1*D_BS_1!M38 + 1*D_FR_1!M38 + 1*D_GE_1!M38 + 1*D_GL_1!M38 + 1*D_GR_1!M38 + 1*D_LU_1!M38 + 1*D_LU_2!M38 + 1*D_NE_1!M38 + 1*D_NE_2!M38 + D_SG_1!M38 + D_SG_2!M38 + D_SG_3!M38 + D_SO_1!M38 + D_TG_1!M38 + D_TI_1!M38 + D_VD_2!M38 + D_VS_1!M38 + D_VS_2!M38 + D_VS_3!M38 + D_ZH_1!M38 + D_ZH_2!M38 + D_ZH_3!M38 + D_ZH_4!M38 + D_ZH_5!M38 + D_ZH_6!M38</f>
        <v>0</v>
      </c>
      <c r="N35" s="97">
        <f xml:space="preserve"> 1*D_AG_1!N38 + 1*D_AG_2!N38 + 1*D_AG_3!N38 + 1*D_BE_1!N38 + 1*D_BE_2!N38 + 1*D_BE_3!N38 + 1*D_BS_1!N38 + 1*D_FR_1!N38 + 1*D_GE_1!N38 + 1*D_GL_1!N38 + 1*D_GR_1!N38 + 1*D_LU_1!N38 + 1*D_LU_2!N38 + 1*D_NE_1!N38 + 1*D_NE_2!N38 + D_SG_1!N38 + D_SG_2!N38 + D_SG_3!N38 + D_SO_1!N38 + D_TG_1!N38 + D_TI_1!N38 + D_VD_2!N38 + D_VS_1!N38 + D_VS_2!N38 + D_VS_3!N38 + D_ZH_1!N38 + D_ZH_2!N38 + D_ZH_3!N38 + D_ZH_4!N38 + D_ZH_5!N38 + D_ZH_6!N38</f>
        <v>0</v>
      </c>
      <c r="O35" s="100">
        <f xml:space="preserve"> 1*D_AG_1!O38 + 1*D_AG_2!O38 + 1*D_AG_3!O38 + 1*D_BE_1!O38 + 1*D_BE_2!O38 + 1*D_BE_3!O38 + 1*D_BS_1!O38 + 1*D_FR_1!O38 + 1*D_GE_1!O38 + 1*D_GL_1!O38 + 1*D_GR_1!O38 + 1*D_LU_1!O38 + 1*D_LU_2!O38 + 1*D_NE_1!O38 + 1*D_NE_2!O38 + D_SG_1!O38 + D_SG_2!O38 + D_SG_3!O38 + D_SO_1!O38 + D_TG_1!O38 + D_TI_1!O38 + D_VD_2!O38 + D_VS_1!O38 + D_VS_2!O38 + D_VS_3!O38 + D_ZH_1!O38 + D_ZH_2!O38 + D_ZH_3!O38 + D_ZH_4!O38 + D_ZH_5!O38 + D_ZH_6!O38</f>
        <v>0</v>
      </c>
      <c r="P35" s="100">
        <f xml:space="preserve"> 1*D_AG_1!P38 + 1*D_AG_2!P38 + 1*D_AG_3!P38 + 1*D_BE_1!P38 + 1*D_BE_2!P38 + 1*D_BE_3!P38 + 1*D_BS_1!P38 + 1*D_FR_1!P38 + 1*D_GE_1!P38 + 1*D_GL_1!P38 + 1*D_GR_1!P38 + 1*D_LU_1!P38 + 1*D_LU_2!P38 + 1*D_NE_1!P38 + 1*D_NE_2!P38 + D_SG_1!P38 + D_SG_2!P38 + D_SG_3!P38 + D_SO_1!P38 + D_TG_1!P38 + D_TI_1!P38 + D_VD_2!P38 + D_VS_1!P38 + D_VS_2!P38 + D_VS_3!P38 + D_ZH_1!P38 + D_ZH_2!P38 + D_ZH_3!P38 + D_ZH_4!P38 + D_ZH_5!P38 + D_ZH_6!P38</f>
        <v>0</v>
      </c>
      <c r="Q35" s="64"/>
      <c r="R35" s="64"/>
      <c r="S35" s="64"/>
    </row>
    <row r="36" spans="2:28" x14ac:dyDescent="0.3">
      <c r="B36" s="55" t="s">
        <v>67</v>
      </c>
      <c r="C36" s="46" t="s">
        <v>138</v>
      </c>
      <c r="D36" s="97">
        <f xml:space="preserve"> 1*D_AG_1!D39 + 1*D_AG_2!D39 + 1*D_AG_3!D39 + 1*D_BE_1!D39 + 1*D_BE_2!D39 + 1*D_BE_3!D39 + 1*D_BS_1!D39 + 1*D_FR_1!D39 + 1*D_GE_1!D39 + 1*D_GL_1!D39 + 1*D_GR_1!D39 + 1*D_LU_1!D39 + 1*D_LU_2!D39 + 1*D_NE_1!D39 + 1*D_NE_2!D39 + D_SG_1!D39 + D_SG_2!D39 + D_SG_3!D39 + D_SO_1!D39 + D_TG_1!D39 + D_TI_1!D39 + D_VD_2!D39 + D_VS_1!D39 + D_VS_2!D39 + D_VS_3!D39 + D_ZH_1!D39 + D_ZH_2!D39 + D_ZH_3!D39 + D_ZH_4!D39 + D_ZH_5!D39 + D_ZH_6!D39</f>
        <v>0</v>
      </c>
      <c r="E36" s="97">
        <f xml:space="preserve"> 1*D_AG_1!E39 + 1*D_AG_2!E39 + 1*D_AG_3!E39 + 1*D_BE_1!E39 + 1*D_BE_2!E39 + 1*D_BE_3!E39 + 1*D_BS_1!E39 + 1*D_FR_1!E39 + 1*D_GE_1!E39 + 1*D_GL_1!E39 + 1*D_GR_1!E39 + 1*D_LU_1!E39 + 1*D_LU_2!E39 + 1*D_NE_1!E39 + 1*D_NE_2!E39 + D_SG_1!E39 + D_SG_2!E39 + D_SG_3!E39 + D_SO_1!E39 + D_TG_1!E39 + D_TI_1!E39 + D_VD_2!E39 + D_VS_1!E39 + D_VS_2!E39 + D_VS_3!E39 + D_ZH_1!E39 + D_ZH_2!E39 + D_ZH_3!E39 + D_ZH_4!E39 + D_ZH_5!E39 + D_ZH_6!E39</f>
        <v>0</v>
      </c>
      <c r="F36" s="97">
        <f xml:space="preserve"> 1*D_AG_1!F39 + 1*D_AG_2!F39 + 1*D_AG_3!F39 + 1*D_BE_1!F39 + 1*D_BE_2!F39 + 1*D_BE_3!F39 + 1*D_BS_1!F39 + 1*D_FR_1!F39 + 1*D_GE_1!F39 + 1*D_GL_1!F39 + 1*D_GR_1!F39 + 1*D_LU_1!F39 + 1*D_LU_2!F39 + 1*D_NE_1!F39 + 1*D_NE_2!F39 + D_SG_1!F39 + D_SG_2!F39 + D_SG_3!F39 + D_SO_1!F39 + D_TG_1!F39 + D_TI_1!F39 + D_VD_2!F39 + D_VS_1!F39 + D_VS_2!F39 + D_VS_3!F39 + D_ZH_1!F39 + D_ZH_2!F39 + D_ZH_3!F39 + D_ZH_4!F39 + D_ZH_5!F39 + D_ZH_6!F39</f>
        <v>0</v>
      </c>
      <c r="G36" s="97">
        <f xml:space="preserve"> 1*D_AG_1!G39 + 1*D_AG_2!G39 + 1*D_AG_3!G39 + 1*D_BE_1!G39 + 1*D_BE_2!G39 + 1*D_BE_3!G39 + 1*D_BS_1!G39 + 1*D_FR_1!G39 + 1*D_GE_1!G39 + 1*D_GL_1!G39 + 1*D_GR_1!G39 + 1*D_LU_1!G39 + 1*D_LU_2!G39 + 1*D_NE_1!G39 + 1*D_NE_2!G39 + D_SG_1!G39 + D_SG_2!G39 + D_SG_3!G39 + D_SO_1!G39 + D_TG_1!G39 + D_TI_1!G39 + D_VD_2!G39 + D_VS_1!G39 + D_VS_2!G39 + D_VS_3!G39 + D_ZH_1!G39 + D_ZH_2!G39 + D_ZH_3!G39 + D_ZH_4!G39 + D_ZH_5!G39 + D_ZH_6!G39</f>
        <v>0</v>
      </c>
      <c r="H36" s="97">
        <f xml:space="preserve"> 1*D_AG_1!H39 + 1*D_AG_2!H39 + 1*D_AG_3!H39 + 1*D_BE_1!H39 + 1*D_BE_2!H39 + 1*D_BE_3!H39 + 1*D_BS_1!H39 + 1*D_FR_1!H39 + 1*D_GE_1!H39 + 1*D_GL_1!H39 + 1*D_GR_1!H39 + 1*D_LU_1!H39 + 1*D_LU_2!H39 + 1*D_NE_1!H39 + 1*D_NE_2!H39 + D_SG_1!H39 + D_SG_2!H39 + D_SG_3!H39 + D_SO_1!H39 + D_TG_1!H39 + D_TI_1!H39 + D_VD_2!H39 + D_VS_1!H39 + D_VS_2!H39 + D_VS_3!H39 + D_ZH_1!H39 + D_ZH_2!H39 + D_ZH_3!H39 + D_ZH_4!H39 + D_ZH_5!H39 + D_ZH_6!H39</f>
        <v>0</v>
      </c>
      <c r="I36" s="97">
        <f xml:space="preserve"> 1*D_AG_1!I39 + 1*D_AG_2!I39 + 1*D_AG_3!I39 + 1*D_BE_1!I39 + 1*D_BE_2!I39 + 1*D_BE_3!I39 + 1*D_BS_1!I39 + 1*D_FR_1!I39 + 1*D_GE_1!I39 + 1*D_GL_1!I39 + 1*D_GR_1!I39 + 1*D_LU_1!I39 + 1*D_LU_2!I39 + 1*D_NE_1!I39 + 1*D_NE_2!I39 + D_SG_1!I39 + D_SG_2!I39 + D_SG_3!I39 + D_SO_1!I39 + D_TG_1!I39 + D_TI_1!I39 + D_VD_2!I39 + D_VS_1!I39 + D_VS_2!I39 + D_VS_3!I39 + D_ZH_1!I39 + D_ZH_2!I39 + D_ZH_3!I39 + D_ZH_4!I39 + D_ZH_5!I39 + D_ZH_6!I39</f>
        <v>0</v>
      </c>
      <c r="J36" s="97">
        <f xml:space="preserve"> 1*D_AG_1!J39 + 1*D_AG_2!J39 + 1*D_AG_3!J39 + 1*D_BE_1!J39 + 1*D_BE_2!J39 + 1*D_BE_3!J39 + 1*D_BS_1!J39 + 1*D_FR_1!J39 + 1*D_GE_1!J39 + 1*D_GL_1!J39 + 1*D_GR_1!J39 + 1*D_LU_1!J39 + 1*D_LU_2!J39 + 1*D_NE_1!J39 + 1*D_NE_2!J39 + D_SG_1!J39 + D_SG_2!J39 + D_SG_3!J39 + D_SO_1!J39 + D_TG_1!J39 + D_TI_1!J39 + D_VD_2!J39 + D_VS_1!J39 + D_VS_2!J39 + D_VS_3!J39 + D_ZH_1!J39 + D_ZH_2!J39 + D_ZH_3!J39 + D_ZH_4!J39 + D_ZH_5!J39 + D_ZH_6!J39</f>
        <v>0</v>
      </c>
      <c r="K36" s="97">
        <f xml:space="preserve"> 1*D_AG_1!K39 + 1*D_AG_2!K39 + 1*D_AG_3!K39 + 1*D_BE_1!K39 + 1*D_BE_2!K39 + 1*D_BE_3!K39 + 1*D_BS_1!K39 + 1*D_FR_1!K39 + 1*D_GE_1!K39 + 1*D_GL_1!K39 + 1*D_GR_1!K39 + 1*D_LU_1!K39 + 1*D_LU_2!K39 + 1*D_NE_1!K39 + 1*D_NE_2!K39 + D_SG_1!K39 + D_SG_2!K39 + D_SG_3!K39 + D_SO_1!K39 + D_TG_1!K39 + D_TI_1!K39 + D_VD_2!K39 + D_VS_1!K39 + D_VS_2!K39 + D_VS_3!K39 + D_ZH_1!K39 + D_ZH_2!K39 + D_ZH_3!K39 + D_ZH_4!K39 + D_ZH_5!K39 + D_ZH_6!K39</f>
        <v>0</v>
      </c>
      <c r="L36" s="97">
        <f xml:space="preserve"> 1*D_AG_1!L39 + 1*D_AG_2!L39 + 1*D_AG_3!L39 + 1*D_BE_1!L39 + 1*D_BE_2!L39 + 1*D_BE_3!L39 + 1*D_BS_1!L39 + 1*D_FR_1!L39 + 1*D_GE_1!L39 + 1*D_GL_1!L39 + 1*D_GR_1!L39 + 1*D_LU_1!L39 + 1*D_LU_2!L39 + 1*D_NE_1!L39 + 1*D_NE_2!L39 + D_SG_1!L39 + D_SG_2!L39 + D_SG_3!L39 + D_SO_1!L39 + D_TG_1!L39 + D_TI_1!L39 + D_VD_2!L39 + D_VS_1!L39 + D_VS_2!L39 + D_VS_3!L39 + D_ZH_1!L39 + D_ZH_2!L39 + D_ZH_3!L39 + D_ZH_4!L39 + D_ZH_5!L39 + D_ZH_6!L39</f>
        <v>1.6920270337922405</v>
      </c>
      <c r="M36" s="97">
        <f xml:space="preserve"> 1*D_AG_1!M39 + 1*D_AG_2!M39 + 1*D_AG_3!M39 + 1*D_BE_1!M39 + 1*D_BE_2!M39 + 1*D_BE_3!M39 + 1*D_BS_1!M39 + 1*D_FR_1!M39 + 1*D_GE_1!M39 + 1*D_GL_1!M39 + 1*D_GR_1!M39 + 1*D_LU_1!M39 + 1*D_LU_2!M39 + 1*D_NE_1!M39 + 1*D_NE_2!M39 + D_SG_1!M39 + D_SG_2!M39 + D_SG_3!M39 + D_SO_1!M39 + D_TG_1!M39 + D_TI_1!M39 + D_VD_2!M39 + D_VS_1!M39 + D_VS_2!M39 + D_VS_3!M39 + D_ZH_1!M39 + D_ZH_2!M39 + D_ZH_3!M39 + D_ZH_4!M39 + D_ZH_5!M39 + D_ZH_6!M39</f>
        <v>0</v>
      </c>
      <c r="N36" s="97">
        <f xml:space="preserve"> 1*D_AG_1!N39 + 1*D_AG_2!N39 + 1*D_AG_3!N39 + 1*D_BE_1!N39 + 1*D_BE_2!N39 + 1*D_BE_3!N39 + 1*D_BS_1!N39 + 1*D_FR_1!N39 + 1*D_GE_1!N39 + 1*D_GL_1!N39 + 1*D_GR_1!N39 + 1*D_LU_1!N39 + 1*D_LU_2!N39 + 1*D_NE_1!N39 + 1*D_NE_2!N39 + D_SG_1!N39 + D_SG_2!N39 + D_SG_3!N39 + D_SO_1!N39 + D_TG_1!N39 + D_TI_1!N39 + D_VD_2!N39 + D_VS_1!N39 + D_VS_2!N39 + D_VS_3!N39 + D_ZH_1!N39 + D_ZH_2!N39 + D_ZH_3!N39 + D_ZH_4!N39 + D_ZH_5!N39 + D_ZH_6!N39</f>
        <v>0</v>
      </c>
      <c r="O36" s="100">
        <f xml:space="preserve"> 1*D_AG_1!O39 + 1*D_AG_2!O39 + 1*D_AG_3!O39 + 1*D_BE_1!O39 + 1*D_BE_2!O39 + 1*D_BE_3!O39 + 1*D_BS_1!O39 + 1*D_FR_1!O39 + 1*D_GE_1!O39 + 1*D_GL_1!O39 + 1*D_GR_1!O39 + 1*D_LU_1!O39 + 1*D_LU_2!O39 + 1*D_NE_1!O39 + 1*D_NE_2!O39 + D_SG_1!O39 + D_SG_2!O39 + D_SG_3!O39 + D_SO_1!O39 + D_TG_1!O39 + D_TI_1!O39 + D_VD_2!O39 + D_VS_1!O39 + D_VS_2!O39 + D_VS_3!O39 + D_ZH_1!O39 + D_ZH_2!O39 + D_ZH_3!O39 + D_ZH_4!O39 + D_ZH_5!O39 + D_ZH_6!O39</f>
        <v>0</v>
      </c>
      <c r="P36" s="100">
        <f xml:space="preserve"> 1*D_AG_1!P39 + 1*D_AG_2!P39 + 1*D_AG_3!P39 + 1*D_BE_1!P39 + 1*D_BE_2!P39 + 1*D_BE_3!P39 + 1*D_BS_1!P39 + 1*D_FR_1!P39 + 1*D_GE_1!P39 + 1*D_GL_1!P39 + 1*D_GR_1!P39 + 1*D_LU_1!P39 + 1*D_LU_2!P39 + 1*D_NE_1!P39 + 1*D_NE_2!P39 + D_SG_1!P39 + D_SG_2!P39 + D_SG_3!P39 + D_SO_1!P39 + D_TG_1!P39 + D_TI_1!P39 + D_VD_2!P39 + D_VS_1!P39 + D_VS_2!P39 + D_VS_3!P39 + D_ZH_1!P39 + D_ZH_2!P39 + D_ZH_3!P39 + D_ZH_4!P39 + D_ZH_5!P39 + D_ZH_6!P39</f>
        <v>0</v>
      </c>
      <c r="Q36" s="64"/>
      <c r="R36" s="64"/>
      <c r="S36" s="64"/>
    </row>
    <row r="37" spans="2:28" x14ac:dyDescent="0.3">
      <c r="B37" s="55" t="s">
        <v>139</v>
      </c>
      <c r="C37" s="46" t="s">
        <v>140</v>
      </c>
      <c r="D37" s="97">
        <f xml:space="preserve"> 1*D_AG_1!D40 + 1*D_AG_2!D40 + 1*D_AG_3!D40 + 1*D_BE_1!D40 + 1*D_BE_2!D40 + 1*D_BE_3!D40 + 1*D_BS_1!D40 + 1*D_FR_1!D40 + 1*D_GE_1!D40 + 1*D_GL_1!D40 + 1*D_GR_1!D40 + 1*D_LU_1!D40 + 1*D_LU_2!D40 + 1*D_NE_1!D40 + 1*D_NE_2!D40 + D_SG_1!D40 + D_SG_2!D40 + D_SG_3!D40 + D_SO_1!D40 + D_TG_1!D40 + D_TI_1!D40 + D_VD_2!D40 + D_VS_1!D40 + D_VS_2!D40 + D_VS_3!D40 + D_ZH_1!D40 + D_ZH_2!D40 + D_ZH_3!D40 + D_ZH_4!D40 + D_ZH_5!D40 + D_ZH_6!D40</f>
        <v>0</v>
      </c>
      <c r="E37" s="97">
        <f xml:space="preserve"> 1*D_AG_1!E40 + 1*D_AG_2!E40 + 1*D_AG_3!E40 + 1*D_BE_1!E40 + 1*D_BE_2!E40 + 1*D_BE_3!E40 + 1*D_BS_1!E40 + 1*D_FR_1!E40 + 1*D_GE_1!E40 + 1*D_GL_1!E40 + 1*D_GR_1!E40 + 1*D_LU_1!E40 + 1*D_LU_2!E40 + 1*D_NE_1!E40 + 1*D_NE_2!E40 + D_SG_1!E40 + D_SG_2!E40 + D_SG_3!E40 + D_SO_1!E40 + D_TG_1!E40 + D_TI_1!E40 + D_VD_2!E40 + D_VS_1!E40 + D_VS_2!E40 + D_VS_3!E40 + D_ZH_1!E40 + D_ZH_2!E40 + D_ZH_3!E40 + D_ZH_4!E40 + D_ZH_5!E40 + D_ZH_6!E40</f>
        <v>0</v>
      </c>
      <c r="F37" s="97">
        <f xml:space="preserve"> 1*D_AG_1!F40 + 1*D_AG_2!F40 + 1*D_AG_3!F40 + 1*D_BE_1!F40 + 1*D_BE_2!F40 + 1*D_BE_3!F40 + 1*D_BS_1!F40 + 1*D_FR_1!F40 + 1*D_GE_1!F40 + 1*D_GL_1!F40 + 1*D_GR_1!F40 + 1*D_LU_1!F40 + 1*D_LU_2!F40 + 1*D_NE_1!F40 + 1*D_NE_2!F40 + D_SG_1!F40 + D_SG_2!F40 + D_SG_3!F40 + D_SO_1!F40 + D_TG_1!F40 + D_TI_1!F40 + D_VD_2!F40 + D_VS_1!F40 + D_VS_2!F40 + D_VS_3!F40 + D_ZH_1!F40 + D_ZH_2!F40 + D_ZH_3!F40 + D_ZH_4!F40 + D_ZH_5!F40 + D_ZH_6!F40</f>
        <v>0</v>
      </c>
      <c r="G37" s="97">
        <f xml:space="preserve"> 1*D_AG_1!G40 + 1*D_AG_2!G40 + 1*D_AG_3!G40 + 1*D_BE_1!G40 + 1*D_BE_2!G40 + 1*D_BE_3!G40 + 1*D_BS_1!G40 + 1*D_FR_1!G40 + 1*D_GE_1!G40 + 1*D_GL_1!G40 + 1*D_GR_1!G40 + 1*D_LU_1!G40 + 1*D_LU_2!G40 + 1*D_NE_1!G40 + 1*D_NE_2!G40 + D_SG_1!G40 + D_SG_2!G40 + D_SG_3!G40 + D_SO_1!G40 + D_TG_1!G40 + D_TI_1!G40 + D_VD_2!G40 + D_VS_1!G40 + D_VS_2!G40 + D_VS_3!G40 + D_ZH_1!G40 + D_ZH_2!G40 + D_ZH_3!G40 + D_ZH_4!G40 + D_ZH_5!G40 + D_ZH_6!G40</f>
        <v>0</v>
      </c>
      <c r="H37" s="97">
        <f xml:space="preserve"> 1*D_AG_1!H40 + 1*D_AG_2!H40 + 1*D_AG_3!H40 + 1*D_BE_1!H40 + 1*D_BE_2!H40 + 1*D_BE_3!H40 + 1*D_BS_1!H40 + 1*D_FR_1!H40 + 1*D_GE_1!H40 + 1*D_GL_1!H40 + 1*D_GR_1!H40 + 1*D_LU_1!H40 + 1*D_LU_2!H40 + 1*D_NE_1!H40 + 1*D_NE_2!H40 + D_SG_1!H40 + D_SG_2!H40 + D_SG_3!H40 + D_SO_1!H40 + D_TG_1!H40 + D_TI_1!H40 + D_VD_2!H40 + D_VS_1!H40 + D_VS_2!H40 + D_VS_3!H40 + D_ZH_1!H40 + D_ZH_2!H40 + D_ZH_3!H40 + D_ZH_4!H40 + D_ZH_5!H40 + D_ZH_6!H40</f>
        <v>0</v>
      </c>
      <c r="I37" s="97">
        <f xml:space="preserve"> 1*D_AG_1!I40 + 1*D_AG_2!I40 + 1*D_AG_3!I40 + 1*D_BE_1!I40 + 1*D_BE_2!I40 + 1*D_BE_3!I40 + 1*D_BS_1!I40 + 1*D_FR_1!I40 + 1*D_GE_1!I40 + 1*D_GL_1!I40 + 1*D_GR_1!I40 + 1*D_LU_1!I40 + 1*D_LU_2!I40 + 1*D_NE_1!I40 + 1*D_NE_2!I40 + D_SG_1!I40 + D_SG_2!I40 + D_SG_3!I40 + D_SO_1!I40 + D_TG_1!I40 + D_TI_1!I40 + D_VD_2!I40 + D_VS_1!I40 + D_VS_2!I40 + D_VS_3!I40 + D_ZH_1!I40 + D_ZH_2!I40 + D_ZH_3!I40 + D_ZH_4!I40 + D_ZH_5!I40 + D_ZH_6!I40</f>
        <v>0</v>
      </c>
      <c r="J37" s="97">
        <f xml:space="preserve"> 1*D_AG_1!J40 + 1*D_AG_2!J40 + 1*D_AG_3!J40 + 1*D_BE_1!J40 + 1*D_BE_2!J40 + 1*D_BE_3!J40 + 1*D_BS_1!J40 + 1*D_FR_1!J40 + 1*D_GE_1!J40 + 1*D_GL_1!J40 + 1*D_GR_1!J40 + 1*D_LU_1!J40 + 1*D_LU_2!J40 + 1*D_NE_1!J40 + 1*D_NE_2!J40 + D_SG_1!J40 + D_SG_2!J40 + D_SG_3!J40 + D_SO_1!J40 + D_TG_1!J40 + D_TI_1!J40 + D_VD_2!J40 + D_VS_1!J40 + D_VS_2!J40 + D_VS_3!J40 + D_ZH_1!J40 + D_ZH_2!J40 + D_ZH_3!J40 + D_ZH_4!J40 + D_ZH_5!J40 + D_ZH_6!J40</f>
        <v>0</v>
      </c>
      <c r="K37" s="97">
        <f xml:space="preserve"> 1*D_AG_1!K40 + 1*D_AG_2!K40 + 1*D_AG_3!K40 + 1*D_BE_1!K40 + 1*D_BE_2!K40 + 1*D_BE_3!K40 + 1*D_BS_1!K40 + 1*D_FR_1!K40 + 1*D_GE_1!K40 + 1*D_GL_1!K40 + 1*D_GR_1!K40 + 1*D_LU_1!K40 + 1*D_LU_2!K40 + 1*D_NE_1!K40 + 1*D_NE_2!K40 + D_SG_1!K40 + D_SG_2!K40 + D_SG_3!K40 + D_SO_1!K40 + D_TG_1!K40 + D_TI_1!K40 + D_VD_2!K40 + D_VS_1!K40 + D_VS_2!K40 + D_VS_3!K40 + D_ZH_1!K40 + D_ZH_2!K40 + D_ZH_3!K40 + D_ZH_4!K40 + D_ZH_5!K40 + D_ZH_6!K40</f>
        <v>0</v>
      </c>
      <c r="L37" s="97">
        <f xml:space="preserve"> 1*D_AG_1!L40 + 1*D_AG_2!L40 + 1*D_AG_3!L40 + 1*D_BE_1!L40 + 1*D_BE_2!L40 + 1*D_BE_3!L40 + 1*D_BS_1!L40 + 1*D_FR_1!L40 + 1*D_GE_1!L40 + 1*D_GL_1!L40 + 1*D_GR_1!L40 + 1*D_LU_1!L40 + 1*D_LU_2!L40 + 1*D_NE_1!L40 + 1*D_NE_2!L40 + D_SG_1!L40 + D_SG_2!L40 + D_SG_3!L40 + D_SO_1!L40 + D_TG_1!L40 + D_TI_1!L40 + D_VD_2!L40 + D_VS_1!L40 + D_VS_2!L40 + D_VS_3!L40 + D_ZH_1!L40 + D_ZH_2!L40 + D_ZH_3!L40 + D_ZH_4!L40 + D_ZH_5!L40 + D_ZH_6!L40</f>
        <v>390.06517907162186</v>
      </c>
      <c r="M37" s="97">
        <f xml:space="preserve"> 1*D_AG_1!M40 + 1*D_AG_2!M40 + 1*D_AG_3!M40 + 1*D_BE_1!M40 + 1*D_BE_2!M40 + 1*D_BE_3!M40 + 1*D_BS_1!M40 + 1*D_FR_1!M40 + 1*D_GE_1!M40 + 1*D_GL_1!M40 + 1*D_GR_1!M40 + 1*D_LU_1!M40 + 1*D_LU_2!M40 + 1*D_NE_1!M40 + 1*D_NE_2!M40 + D_SG_1!M40 + D_SG_2!M40 + D_SG_3!M40 + D_SO_1!M40 + D_TG_1!M40 + D_TI_1!M40 + D_VD_2!M40 + D_VS_1!M40 + D_VS_2!M40 + D_VS_3!M40 + D_ZH_1!M40 + D_ZH_2!M40 + D_ZH_3!M40 + D_ZH_4!M40 + D_ZH_5!M40 + D_ZH_6!M40</f>
        <v>0</v>
      </c>
      <c r="N37" s="97">
        <f xml:space="preserve"> 1*D_AG_1!N40 + 1*D_AG_2!N40 + 1*D_AG_3!N40 + 1*D_BE_1!N40 + 1*D_BE_2!N40 + 1*D_BE_3!N40 + 1*D_BS_1!N40 + 1*D_FR_1!N40 + 1*D_GE_1!N40 + 1*D_GL_1!N40 + 1*D_GR_1!N40 + 1*D_LU_1!N40 + 1*D_LU_2!N40 + 1*D_NE_1!N40 + 1*D_NE_2!N40 + D_SG_1!N40 + D_SG_2!N40 + D_SG_3!N40 + D_SO_1!N40 + D_TG_1!N40 + D_TI_1!N40 + D_VD_2!N40 + D_VS_1!N40 + D_VS_2!N40 + D_VS_3!N40 + D_ZH_1!N40 + D_ZH_2!N40 + D_ZH_3!N40 + D_ZH_4!N40 + D_ZH_5!N40 + D_ZH_6!N40</f>
        <v>0</v>
      </c>
      <c r="O37" s="100">
        <f xml:space="preserve"> 1*D_AG_1!O40 + 1*D_AG_2!O40 + 1*D_AG_3!O40 + 1*D_BE_1!O40 + 1*D_BE_2!O40 + 1*D_BE_3!O40 + 1*D_BS_1!O40 + 1*D_FR_1!O40 + 1*D_GE_1!O40 + 1*D_GL_1!O40 + 1*D_GR_1!O40 + 1*D_LU_1!O40 + 1*D_LU_2!O40 + 1*D_NE_1!O40 + 1*D_NE_2!O40 + D_SG_1!O40 + D_SG_2!O40 + D_SG_3!O40 + D_SO_1!O40 + D_TG_1!O40 + D_TI_1!O40 + D_VD_2!O40 + D_VS_1!O40 + D_VS_2!O40 + D_VS_3!O40 + D_ZH_1!O40 + D_ZH_2!O40 + D_ZH_3!O40 + D_ZH_4!O40 + D_ZH_5!O40 + D_ZH_6!O40</f>
        <v>0</v>
      </c>
      <c r="P37" s="100">
        <f xml:space="preserve"> 1*D_AG_1!P40 + 1*D_AG_2!P40 + 1*D_AG_3!P40 + 1*D_BE_1!P40 + 1*D_BE_2!P40 + 1*D_BE_3!P40 + 1*D_BS_1!P40 + 1*D_FR_1!P40 + 1*D_GE_1!P40 + 1*D_GL_1!P40 + 1*D_GR_1!P40 + 1*D_LU_1!P40 + 1*D_LU_2!P40 + 1*D_NE_1!P40 + 1*D_NE_2!P40 + D_SG_1!P40 + D_SG_2!P40 + D_SG_3!P40 + D_SO_1!P40 + D_TG_1!P40 + D_TI_1!P40 + D_VD_2!P40 + D_VS_1!P40 + D_VS_2!P40 + D_VS_3!P40 + D_ZH_1!P40 + D_ZH_2!P40 + D_ZH_3!P40 + D_ZH_4!P40 + D_ZH_5!P40 + D_ZH_6!P40</f>
        <v>0</v>
      </c>
      <c r="Q37" s="64"/>
      <c r="R37" s="64"/>
      <c r="S37" s="64"/>
    </row>
    <row r="38" spans="2:28" x14ac:dyDescent="0.3">
      <c r="B38" s="55" t="s">
        <v>141</v>
      </c>
      <c r="C38" s="46" t="s">
        <v>142</v>
      </c>
      <c r="D38" s="97">
        <f xml:space="preserve"> 1*D_AG_1!D41 + 1*D_AG_2!D41 + 1*D_AG_3!D41 + 1*D_BE_1!D41 + 1*D_BE_2!D41 + 1*D_BE_3!D41 + 1*D_BS_1!D41 + 1*D_FR_1!D41 + 1*D_GE_1!D41 + 1*D_GL_1!D41 + 1*D_GR_1!D41 + 1*D_LU_1!D41 + 1*D_LU_2!D41 + 1*D_NE_1!D41 + 1*D_NE_2!D41 + D_SG_1!D41 + D_SG_2!D41 + D_SG_3!D41 + D_SO_1!D41 + D_TG_1!D41 + D_TI_1!D41 + D_VD_2!D41 + D_VS_1!D41 + D_VS_2!D41 + D_VS_3!D41 + D_ZH_1!D41 + D_ZH_2!D41 + D_ZH_3!D41 + D_ZH_4!D41 + D_ZH_5!D41 + D_ZH_6!D41</f>
        <v>5266.0473835977509</v>
      </c>
      <c r="E38" s="97">
        <f xml:space="preserve"> 1*D_AG_1!E41 + 1*D_AG_2!E41 + 1*D_AG_3!E41 + 1*D_BE_1!E41 + 1*D_BE_2!E41 + 1*D_BE_3!E41 + 1*D_BS_1!E41 + 1*D_FR_1!E41 + 1*D_GE_1!E41 + 1*D_GL_1!E41 + 1*D_GR_1!E41 + 1*D_LU_1!E41 + 1*D_LU_2!E41 + 1*D_NE_1!E41 + 1*D_NE_2!E41 + D_SG_1!E41 + D_SG_2!E41 + D_SG_3!E41 + D_SO_1!E41 + D_TG_1!E41 + D_TI_1!E41 + D_VD_2!E41 + D_VS_1!E41 + D_VS_2!E41 + D_VS_3!E41 + D_ZH_1!E41 + D_ZH_2!E41 + D_ZH_3!E41 + D_ZH_4!E41 + D_ZH_5!E41 + D_ZH_6!E41</f>
        <v>9039.0042020480741</v>
      </c>
      <c r="F38" s="97">
        <f xml:space="preserve"> 1*D_AG_1!F41 + 1*D_AG_2!F41 + 1*D_AG_3!F41 + 1*D_BE_1!F41 + 1*D_BE_2!F41 + 1*D_BE_3!F41 + 1*D_BS_1!F41 + 1*D_FR_1!F41 + 1*D_GE_1!F41 + 1*D_GL_1!F41 + 1*D_GR_1!F41 + 1*D_LU_1!F41 + 1*D_LU_2!F41 + 1*D_NE_1!F41 + 1*D_NE_2!F41 + D_SG_1!F41 + D_SG_2!F41 + D_SG_3!F41 + D_SO_1!F41 + D_TG_1!F41 + D_TI_1!F41 + D_VD_2!F41 + D_VS_1!F41 + D_VS_2!F41 + D_VS_3!F41 + D_ZH_1!F41 + D_ZH_2!F41 + D_ZH_3!F41 + D_ZH_4!F41 + D_ZH_5!F41 + D_ZH_6!F41</f>
        <v>11222.676908150001</v>
      </c>
      <c r="G38" s="97">
        <f xml:space="preserve"> 1*D_AG_1!G41 + 1*D_AG_2!G41 + 1*D_AG_3!G41 + 1*D_BE_1!G41 + 1*D_BE_2!G41 + 1*D_BE_3!G41 + 1*D_BS_1!G41 + 1*D_FR_1!G41 + 1*D_GE_1!G41 + 1*D_GL_1!G41 + 1*D_GR_1!G41 + 1*D_LU_1!G41 + 1*D_LU_2!G41 + 1*D_NE_1!G41 + 1*D_NE_2!G41 + D_SG_1!G41 + D_SG_2!G41 + D_SG_3!G41 + D_SO_1!G41 + D_TG_1!G41 + D_TI_1!G41 + D_VD_2!G41 + D_VS_1!G41 + D_VS_2!G41 + D_VS_3!G41 + D_ZH_1!G41 + D_ZH_2!G41 + D_ZH_3!G41 + D_ZH_4!G41 + D_ZH_5!G41 + D_ZH_6!G41</f>
        <v>12582.396527006249</v>
      </c>
      <c r="H38" s="97">
        <f xml:space="preserve"> 1*D_AG_1!H41 + 1*D_AG_2!H41 + 1*D_AG_3!H41 + 1*D_BE_1!H41 + 1*D_BE_2!H41 + 1*D_BE_3!H41 + 1*D_BS_1!H41 + 1*D_FR_1!H41 + 1*D_GE_1!H41 + 1*D_GL_1!H41 + 1*D_GR_1!H41 + 1*D_LU_1!H41 + 1*D_LU_2!H41 + 1*D_NE_1!H41 + 1*D_NE_2!H41 + D_SG_1!H41 + D_SG_2!H41 + D_SG_3!H41 + D_SO_1!H41 + D_TG_1!H41 + D_TI_1!H41 + D_VD_2!H41 + D_VS_1!H41 + D_VS_2!H41 + D_VS_3!H41 + D_ZH_1!H41 + D_ZH_2!H41 + D_ZH_3!H41 + D_ZH_4!H41 + D_ZH_5!H41 + D_ZH_6!H41</f>
        <v>13185.95955625</v>
      </c>
      <c r="I38" s="97">
        <f xml:space="preserve"> 1*D_AG_1!I41 + 1*D_AG_2!I41 + 1*D_AG_3!I41 + 1*D_BE_1!I41 + 1*D_BE_2!I41 + 1*D_BE_3!I41 + 1*D_BS_1!I41 + 1*D_FR_1!I41 + 1*D_GE_1!I41 + 1*D_GL_1!I41 + 1*D_GR_1!I41 + 1*D_LU_1!I41 + 1*D_LU_2!I41 + 1*D_NE_1!I41 + 1*D_NE_2!I41 + D_SG_1!I41 + D_SG_2!I41 + D_SG_3!I41 + D_SO_1!I41 + D_TG_1!I41 + D_TI_1!I41 + D_VD_2!I41 + D_VS_1!I41 + D_VS_2!I41 + D_VS_3!I41 + D_ZH_1!I41 + D_ZH_2!I41 + D_ZH_3!I41 + D_ZH_4!I41 + D_ZH_5!I41 + D_ZH_6!I41</f>
        <v>15969</v>
      </c>
      <c r="J38" s="97">
        <f xml:space="preserve"> 1*D_AG_1!J41 + 1*D_AG_2!J41 + 1*D_AG_3!J41 + 1*D_BE_1!J41 + 1*D_BE_2!J41 + 1*D_BE_3!J41 + 1*D_BS_1!J41 + 1*D_FR_1!J41 + 1*D_GE_1!J41 + 1*D_GL_1!J41 + 1*D_GR_1!J41 + 1*D_LU_1!J41 + 1*D_LU_2!J41 + 1*D_NE_1!J41 + 1*D_NE_2!J41 + D_SG_1!J41 + D_SG_2!J41 + D_SG_3!J41 + D_SO_1!J41 + D_TG_1!J41 + D_TI_1!J41 + D_VD_2!J41 + D_VS_1!J41 + D_VS_2!J41 + D_VS_3!J41 + D_ZH_1!J41 + D_ZH_2!J41 + D_ZH_3!J41 + D_ZH_4!J41 + D_ZH_5!J41 + D_ZH_6!J41</f>
        <v>6832</v>
      </c>
      <c r="K38" s="97">
        <f xml:space="preserve"> 1*D_AG_1!K41 + 1*D_AG_2!K41 + 1*D_AG_3!K41 + 1*D_BE_1!K41 + 1*D_BE_2!K41 + 1*D_BE_3!K41 + 1*D_BS_1!K41 + 1*D_FR_1!K41 + 1*D_GE_1!K41 + 1*D_GL_1!K41 + 1*D_GR_1!K41 + 1*D_LU_1!K41 + 1*D_LU_2!K41 + 1*D_NE_1!K41 + 1*D_NE_2!K41 + D_SG_1!K41 + D_SG_2!K41 + D_SG_3!K41 + D_SO_1!K41 + D_TG_1!K41 + D_TI_1!K41 + D_VD_2!K41 + D_VS_1!K41 + D_VS_2!K41 + D_VS_3!K41 + D_ZH_1!K41 + D_ZH_2!K41 + D_ZH_3!K41 + D_ZH_4!K41 + D_ZH_5!K41 + D_ZH_6!K41</f>
        <v>9617.0186615800703</v>
      </c>
      <c r="L38" s="97">
        <f xml:space="preserve"> 1*D_AG_1!L41 + 1*D_AG_2!L41 + 1*D_AG_3!L41 + 1*D_BE_1!L41 + 1*D_BE_2!L41 + 1*D_BE_3!L41 + 1*D_BS_1!L41 + 1*D_FR_1!L41 + 1*D_GE_1!L41 + 1*D_GL_1!L41 + 1*D_GR_1!L41 + 1*D_LU_1!L41 + 1*D_LU_2!L41 + 1*D_NE_1!L41 + 1*D_NE_2!L41 + D_SG_1!L41 + D_SG_2!L41 + D_SG_3!L41 + D_SO_1!L41 + D_TG_1!L41 + D_TI_1!L41 + D_VD_2!L41 + D_VS_1!L41 + D_VS_2!L41 + D_VS_3!L41 + D_ZH_1!L41 + D_ZH_2!L41 + D_ZH_3!L41 + D_ZH_4!L41 + D_ZH_5!L41 + D_ZH_6!L41</f>
        <v>8900</v>
      </c>
      <c r="M38" s="97">
        <f xml:space="preserve"> 1*D_AG_1!M41 + 1*D_AG_2!M41 + 1*D_AG_3!M41 + 1*D_BE_1!M41 + 1*D_BE_2!M41 + 1*D_BE_3!M41 + 1*D_BS_1!M41 + 1*D_FR_1!M41 + 1*D_GE_1!M41 + 1*D_GL_1!M41 + 1*D_GR_1!M41 + 1*D_LU_1!M41 + 1*D_LU_2!M41 + 1*D_NE_1!M41 + 1*D_NE_2!M41 + D_SG_1!M41 + D_SG_2!M41 + D_SG_3!M41 + D_SO_1!M41 + D_TG_1!M41 + D_TI_1!M41 + D_VD_2!M41 + D_VS_1!M41 + D_VS_2!M41 + D_VS_3!M41 + D_ZH_1!M41 + D_ZH_2!M41 + D_ZH_3!M41 + D_ZH_4!M41 + D_ZH_5!M41 + D_ZH_6!M41</f>
        <v>8868.366399999999</v>
      </c>
      <c r="N38" s="97">
        <f xml:space="preserve"> 1*D_AG_1!N41 + 1*D_AG_2!N41 + 1*D_AG_3!N41 + 1*D_BE_1!N41 + 1*D_BE_2!N41 + 1*D_BE_3!N41 + 1*D_BS_1!N41 + 1*D_FR_1!N41 + 1*D_GE_1!N41 + 1*D_GL_1!N41 + 1*D_GR_1!N41 + 1*D_LU_1!N41 + 1*D_LU_2!N41 + 1*D_NE_1!N41 + 1*D_NE_2!N41 + D_SG_1!N41 + D_SG_2!N41 + D_SG_3!N41 + D_SO_1!N41 + D_TG_1!N41 + D_TI_1!N41 + D_VD_2!N41 + D_VS_1!N41 + D_VS_2!N41 + D_VS_3!N41 + D_ZH_1!N41 + D_ZH_2!N41 + D_ZH_3!N41 + D_ZH_4!N41 + D_ZH_5!N41 + D_ZH_6!N41</f>
        <v>9336.8543956043959</v>
      </c>
      <c r="O38" s="100">
        <f xml:space="preserve"> 1*D_AG_1!O41 + 1*D_AG_2!O41 + 1*D_AG_3!O41 + 1*D_BE_1!O41 + 1*D_BE_2!O41 + 1*D_BE_3!O41 + 1*D_BS_1!O41 + 1*D_FR_1!O41 + 1*D_GE_1!O41 + 1*D_GL_1!O41 + 1*D_GR_1!O41 + 1*D_LU_1!O41 + 1*D_LU_2!O41 + 1*D_NE_1!O41 + 1*D_NE_2!O41 + D_SG_1!O41 + D_SG_2!O41 + D_SG_3!O41 + D_SO_1!O41 + D_TG_1!O41 + D_TI_1!O41 + D_VD_2!O41 + D_VS_1!O41 + D_VS_2!O41 + D_VS_3!O41 + D_ZH_1!O41 + D_ZH_2!O41 + D_ZH_3!O41 + D_ZH_4!O41 + D_ZH_5!O41 + D_ZH_6!O41</f>
        <v>11323.314782340249</v>
      </c>
      <c r="P38" s="100">
        <f xml:space="preserve"> 1*D_AG_1!P41 + 1*D_AG_2!P41 + 1*D_AG_3!P41 + 1*D_BE_1!P41 + 1*D_BE_2!P41 + 1*D_BE_3!P41 + 1*D_BS_1!P41 + 1*D_FR_1!P41 + 1*D_GE_1!P41 + 1*D_GL_1!P41 + 1*D_GR_1!P41 + 1*D_LU_1!P41 + 1*D_LU_2!P41 + 1*D_NE_1!P41 + 1*D_NE_2!P41 + D_SG_1!P41 + D_SG_2!P41 + D_SG_3!P41 + D_SO_1!P41 + D_TG_1!P41 + D_TI_1!P41 + D_VD_2!P41 + D_VS_1!P41 + D_VS_2!P41 + D_VS_3!P41 + D_ZH_1!P41 + D_ZH_2!P41 + D_ZH_3!P41 + D_ZH_4!P41 + D_ZH_5!P41 + D_ZH_6!P41</f>
        <v>9991</v>
      </c>
      <c r="Q38" s="64"/>
      <c r="R38" s="64"/>
      <c r="S38" s="64"/>
    </row>
    <row r="39" spans="2:28" ht="30.75" customHeight="1" x14ac:dyDescent="0.3">
      <c r="D39" s="65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</row>
    <row r="40" spans="2:28" x14ac:dyDescent="0.3">
      <c r="B40" s="109" t="s">
        <v>278</v>
      </c>
      <c r="C40" s="41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</row>
    <row r="41" spans="2:28" ht="22.5" customHeight="1" x14ac:dyDescent="0.3">
      <c r="B41" s="40" t="s">
        <v>146</v>
      </c>
      <c r="C41" s="41" t="s">
        <v>95</v>
      </c>
      <c r="D41" s="101">
        <f xml:space="preserve"> 1*D_AG_1!D44 + 1*D_AG_2!D44 + 1*D_AG_3!D44 + 1*D_BE_1!D44 + 1*D_BE_2!D44 + 1*D_BE_3!D44 + 1*D_BS_1!D44 + 1*D_FR_1!D44 + 1*D_GE_1!D44 + 1*D_GL_1!D44 + 1*D_GR_1!D44 + 1*D_LU_1!D44 + 1*D_LU_2!D44 + 1*D_NE_1!D44 + 1*D_NE_2!D44 + D_SG_1!D44 + D_SG_2!D44 + D_SG_3!D44 + D_SO_1!D44 + D_TG_1!D44 + D_TI_1!D44 + D_VD_2!D44 + D_VS_1!D44 + D_VS_2!D44 + D_VS_3!D44 + D_ZH_1!D44 + D_ZH_2!D44 + D_ZH_3!D44 + D_ZH_4!D44 + D_ZH_5!D44 + D_ZH_6!D44</f>
        <v>4067253.780145599</v>
      </c>
      <c r="E41" s="101">
        <f xml:space="preserve"> 1*D_AG_1!E44 + 1*D_AG_2!E44 + 1*D_AG_3!E44 + 1*D_BE_1!E44 + 1*D_BE_2!E44 + 1*D_BE_3!E44 + 1*D_BS_1!E44 + 1*D_FR_1!E44 + 1*D_GE_1!E44 + 1*D_GL_1!E44 + 1*D_GR_1!E44 + 1*D_LU_1!E44 + 1*D_LU_2!E44 + 1*D_NE_1!E44 + 1*D_NE_2!E44 + D_SG_1!E44 + D_SG_2!E44 + D_SG_3!E44 + D_SO_1!E44 + D_TG_1!E44 + D_TI_1!E44 + D_VD_2!E44 + D_VS_1!E44 + D_VS_2!E44 + D_VS_3!E44 + D_ZH_1!E44 + D_ZH_2!E44 + D_ZH_3!E44 + D_ZH_4!E44 + D_ZH_5!E44 + D_ZH_6!E44</f>
        <v>4099886.1618969049</v>
      </c>
      <c r="F41" s="101">
        <f xml:space="preserve"> 1*D_AG_1!F44 + 1*D_AG_2!F44 + 1*D_AG_3!F44 + 1*D_BE_1!F44 + 1*D_BE_2!F44 + 1*D_BE_3!F44 + 1*D_BS_1!F44 + 1*D_FR_1!F44 + 1*D_GE_1!F44 + 1*D_GL_1!F44 + 1*D_GR_1!F44 + 1*D_LU_1!F44 + 1*D_LU_2!F44 + 1*D_NE_1!F44 + 1*D_NE_2!F44 + D_SG_1!F44 + D_SG_2!F44 + D_SG_3!F44 + D_SO_1!F44 + D_TG_1!F44 + D_TI_1!F44 + D_VD_2!F44 + D_VS_1!F44 + D_VS_2!F44 + D_VS_3!F44 + D_ZH_1!F44 + D_ZH_2!F44 + D_ZH_3!F44 + D_ZH_4!F44 + D_ZH_5!F44 + D_ZH_6!F44</f>
        <v>4188520.1667005988</v>
      </c>
      <c r="G41" s="101">
        <f xml:space="preserve"> 1*D_AG_1!G44 + 1*D_AG_2!G44 + 1*D_AG_3!G44 + 1*D_BE_1!G44 + 1*D_BE_2!G44 + 1*D_BE_3!G44 + 1*D_BS_1!G44 + 1*D_FR_1!G44 + 1*D_GE_1!G44 + 1*D_GL_1!G44 + 1*D_GR_1!G44 + 1*D_LU_1!G44 + 1*D_LU_2!G44 + 1*D_NE_1!G44 + 1*D_NE_2!G44 + D_SG_1!G44 + D_SG_2!G44 + D_SG_3!G44 + D_SO_1!G44 + D_TG_1!G44 + D_TI_1!G44 + D_VD_2!G44 + D_VS_1!G44 + D_VS_2!G44 + D_VS_3!G44 + D_ZH_1!G44 + D_ZH_2!G44 + D_ZH_3!G44 + D_ZH_4!G44 + D_ZH_5!G44 + D_ZH_6!G44</f>
        <v>4073511.7223928333</v>
      </c>
      <c r="H41" s="101">
        <f xml:space="preserve"> 1*D_AG_1!H44 + 1*D_AG_2!H44 + 1*D_AG_3!H44 + 1*D_BE_1!H44 + 1*D_BE_2!H44 + 1*D_BE_3!H44 + 1*D_BS_1!H44 + 1*D_FR_1!H44 + 1*D_GE_1!H44 + 1*D_GL_1!H44 + 1*D_GR_1!H44 + 1*D_LU_1!H44 + 1*D_LU_2!H44 + 1*D_NE_1!H44 + 1*D_NE_2!H44 + D_SG_1!H44 + D_SG_2!H44 + D_SG_3!H44 + D_SO_1!H44 + D_TG_1!H44 + D_TI_1!H44 + D_VD_2!H44 + D_VS_1!H44 + D_VS_2!H44 + D_VS_3!H44 + D_ZH_1!H44 + D_ZH_2!H44 + D_ZH_3!H44 + D_ZH_4!H44 + D_ZH_5!H44 + D_ZH_6!H44</f>
        <v>4133758.3489452703</v>
      </c>
      <c r="I41" s="101">
        <f xml:space="preserve"> 1*D_AG_1!I44 + 1*D_AG_2!I44 + 1*D_AG_3!I44 + 1*D_BE_1!I44 + 1*D_BE_2!I44 + 1*D_BE_3!I44 + 1*D_BS_1!I44 + 1*D_FR_1!I44 + 1*D_GE_1!I44 + 1*D_GL_1!I44 + 1*D_GR_1!I44 + 1*D_LU_1!I44 + 1*D_LU_2!I44 + 1*D_NE_1!I44 + 1*D_NE_2!I44 + D_SG_1!I44 + D_SG_2!I44 + D_SG_3!I44 + D_SO_1!I44 + D_TG_1!I44 + D_TI_1!I44 + D_VD_2!I44 + D_VS_1!I44 + D_VS_2!I44 + D_VS_3!I44 + D_ZH_1!I44 + D_ZH_2!I44 + D_ZH_3!I44 + D_ZH_4!I44 + D_ZH_5!I44 + D_ZH_6!I44</f>
        <v>4256323.1005938295</v>
      </c>
      <c r="J41" s="101">
        <f xml:space="preserve"> 1*D_AG_1!J44 + 1*D_AG_2!J44 + 1*D_AG_3!J44 + 1*D_BE_1!J44 + 1*D_BE_2!J44 + 1*D_BE_3!J44 + 1*D_BS_1!J44 + 1*D_FR_1!J44 + 1*D_GE_1!J44 + 1*D_GL_1!J44 + 1*D_GR_1!J44 + 1*D_LU_1!J44 + 1*D_LU_2!J44 + 1*D_NE_1!J44 + 1*D_NE_2!J44 + D_SG_1!J44 + D_SG_2!J44 + D_SG_3!J44 + D_SO_1!J44 + D_TG_1!J44 + D_TI_1!J44 + D_VD_2!J44 + D_VS_1!J44 + D_VS_2!J44 + D_VS_3!J44 + D_ZH_1!J44 + D_ZH_2!J44 + D_ZH_3!J44 + D_ZH_4!J44 + D_ZH_5!J44 + D_ZH_6!J44</f>
        <v>4409309.4796604542</v>
      </c>
      <c r="K41" s="101">
        <f xml:space="preserve"> 1*D_AG_1!K44 + 1*D_AG_2!K44 + 1*D_AG_3!K44 + 1*D_BE_1!K44 + 1*D_BE_2!K44 + 1*D_BE_3!K44 + 1*D_BS_1!K44 + 1*D_FR_1!K44 + 1*D_GE_1!K44 + 1*D_GL_1!K44 + 1*D_GR_1!K44 + 1*D_LU_1!K44 + 1*D_LU_2!K44 + 1*D_NE_1!K44 + 1*D_NE_2!K44 + D_SG_1!K44 + D_SG_2!K44 + D_SG_3!K44 + D_SO_1!K44 + D_TG_1!K44 + D_TI_1!K44 + D_VD_2!K44 + D_VS_1!K44 + D_VS_2!K44 + D_VS_3!K44 + D_ZH_1!K44 + D_ZH_2!K44 + D_ZH_3!K44 + D_ZH_4!K44 + D_ZH_5!K44 + D_ZH_6!K44</f>
        <v>4426036.8375967862</v>
      </c>
      <c r="L41" s="101">
        <f xml:space="preserve"> 1*D_AG_1!L44 + 1*D_AG_2!L44 + 1*D_AG_3!L44 + 1*D_BE_1!L44 + 1*D_BE_2!L44 + 1*D_BE_3!L44 + 1*D_BS_1!L44 + 1*D_FR_1!L44 + 1*D_GE_1!L44 + 1*D_GL_1!L44 + 1*D_GR_1!L44 + 1*D_LU_1!L44 + 1*D_LU_2!L44 + 1*D_NE_1!L44 + 1*D_NE_2!L44 + D_SG_1!L44 + D_SG_2!L44 + D_SG_3!L44 + D_SO_1!L44 + D_TG_1!L44 + D_TI_1!L44 + D_VD_2!L44 + D_VS_1!L44 + D_VS_2!L44 + D_VS_3!L44 + D_ZH_1!L44 + D_ZH_2!L44 + D_ZH_3!L44 + D_ZH_4!L44 + D_ZH_5!L44 + D_ZH_6!L44</f>
        <v>4463370.9876800999</v>
      </c>
      <c r="M41" s="101">
        <f xml:space="preserve"> 1*D_AG_1!M44 + 1*D_AG_2!M44 + 1*D_AG_3!M44 + 1*D_BE_1!M44 + 1*D_BE_2!M44 + 1*D_BE_3!M44 + 1*D_BS_1!M44 + 1*D_FR_1!M44 + 1*D_GE_1!M44 + 1*D_GL_1!M44 + 1*D_GR_1!M44 + 1*D_LU_1!M44 + 1*D_LU_2!M44 + 1*D_NE_1!M44 + 1*D_NE_2!M44 + D_SG_1!M44 + D_SG_2!M44 + D_SG_3!M44 + D_SO_1!M44 + D_TG_1!M44 + D_TI_1!M44 + D_VD_2!M44 + D_VS_1!M44 + D_VS_2!M44 + D_VS_3!M44 + D_ZH_1!M44 + D_ZH_2!M44 + D_ZH_3!M44 + D_ZH_4!M44 + D_ZH_5!M44 + D_ZH_6!M44</f>
        <v>4490947.8812597347</v>
      </c>
      <c r="N41" s="101">
        <f xml:space="preserve"> 1*D_AG_1!N44 + 1*D_AG_2!N44 + 1*D_AG_3!N44 + 1*D_BE_1!N44 + 1*D_BE_2!N44 + 1*D_BE_3!N44 + 1*D_BS_1!N44 + 1*D_FR_1!N44 + 1*D_GE_1!N44 + 1*D_GL_1!N44 + 1*D_GR_1!N44 + 1*D_LU_1!N44 + 1*D_LU_2!N44 + 1*D_NE_1!N44 + 1*D_NE_2!N44 + D_SG_1!N44 + D_SG_2!N44 + D_SG_3!N44 + D_SO_1!N44 + D_TG_1!N44 + D_TI_1!N44 + D_VD_2!N44 + D_VS_1!N44 + D_VS_2!N44 + D_VS_3!N44 + D_ZH_1!N44 + D_ZH_2!N44 + D_ZH_3!N44 + D_ZH_4!N44 + D_ZH_5!N44 + D_ZH_6!N44</f>
        <v>4502530.0475327251</v>
      </c>
      <c r="O41" s="101">
        <f xml:space="preserve"> 1*D_AG_1!O44 + 1*D_AG_2!O44 + 1*D_AG_3!O44 + 1*D_BE_1!O44 + 1*D_BE_2!O44 + 1*D_BE_3!O44 + 1*D_BS_1!O44 + 1*D_FR_1!O44 + 1*D_GE_1!O44 + 1*D_GL_1!O44 + 1*D_GR_1!O44 + 1*D_LU_1!O44 + 1*D_LU_2!O44 + 1*D_NE_1!O44 + 1*D_NE_2!O44 + D_SG_1!O44 + D_SG_2!O44 + D_SG_3!O44 + D_SO_1!O44 + D_TG_1!O44 + D_TI_1!O44 + D_VD_2!O44 + D_VS_1!O44 + D_VS_2!O44 + D_VS_3!O44 + D_ZH_1!O44 + D_ZH_2!O44 + D_ZH_3!O44 + D_ZH_4!O44 + D_ZH_5!O44 + D_ZH_6!O44</f>
        <v>4423322.6575595634</v>
      </c>
      <c r="P41" s="101">
        <f xml:space="preserve"> 1*D_AG_1!P44 + 1*D_AG_2!P44 + 1*D_AG_3!P44 + 1*D_BE_1!P44 + 1*D_BE_2!P44 + 1*D_BE_3!P44 + 1*D_BS_1!P44 + 1*D_FR_1!P44 + 1*D_GE_1!P44 + 1*D_GL_1!P44 + 1*D_GR_1!P44 + 1*D_LU_1!P44 + 1*D_LU_2!P44 + 1*D_NE_1!P44 + 1*D_NE_2!P44 + D_SG_1!P44 + D_SG_2!P44 + D_SG_3!P44 + D_SO_1!P44 + D_TG_1!P44 + D_TI_1!P44 + D_VD_2!P44 + D_VS_1!P44 + D_VS_2!P44 + D_VS_3!P44 + D_ZH_1!P44 + D_ZH_2!P44 + D_ZH_3!P44 + D_ZH_4!P44 + D_ZH_5!P44 + D_ZH_6!P44</f>
        <v>4246549.090897575</v>
      </c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</row>
    <row r="42" spans="2:28" x14ac:dyDescent="0.3">
      <c r="B42" s="40" t="s">
        <v>147</v>
      </c>
      <c r="C42" s="41" t="s">
        <v>95</v>
      </c>
      <c r="D42" s="101">
        <f xml:space="preserve"> 1*D_AG_1!D45 + 1*D_AG_2!D45 + 1*D_AG_3!D45 + 1*D_BE_1!D45 + 1*D_BE_2!D45 + 1*D_BE_3!D45 + 1*D_BS_1!D45 + 1*D_FR_1!D45 + 1*D_GE_1!D45 + 1*D_GL_1!D45 + 1*D_GR_1!D45 + 1*D_LU_1!D45 + 1*D_LU_2!D45 + 1*D_NE_1!D45 + 1*D_NE_2!D45 + D_SG_1!D45 + D_SG_2!D45 + D_SG_3!D45 + D_SO_1!D45 + D_TG_1!D45 + D_TI_1!D45 + D_VD_2!D45 + D_VS_1!D45 + D_VS_2!D45 + D_VS_3!D45 + D_ZH_1!D45 + D_ZH_2!D45 + D_ZH_3!D45 + D_ZH_4!D45 + D_ZH_5!D45 + D_ZH_6!D45</f>
        <v>1952281.8144698879</v>
      </c>
      <c r="E42" s="101">
        <f xml:space="preserve"> 1*D_AG_1!E45 + 1*D_AG_2!E45 + 1*D_AG_3!E45 + 1*D_BE_1!E45 + 1*D_BE_2!E45 + 1*D_BE_3!E45 + 1*D_BS_1!E45 + 1*D_FR_1!E45 + 1*D_GE_1!E45 + 1*D_GL_1!E45 + 1*D_GR_1!E45 + 1*D_LU_1!E45 + 1*D_LU_2!E45 + 1*D_NE_1!E45 + 1*D_NE_2!E45 + D_SG_1!E45 + D_SG_2!E45 + D_SG_3!E45 + D_SO_1!E45 + D_TG_1!E45 + D_TI_1!E45 + D_VD_2!E45 + D_VS_1!E45 + D_VS_2!E45 + D_VS_3!E45 + D_ZH_1!E45 + D_ZH_2!E45 + D_ZH_3!E45 + D_ZH_4!E45 + D_ZH_5!E45 + D_ZH_6!E45</f>
        <v>1967945.357710514</v>
      </c>
      <c r="F42" s="101">
        <f xml:space="preserve"> 1*D_AG_1!F45 + 1*D_AG_2!F45 + 1*D_AG_3!F45 + 1*D_BE_1!F45 + 1*D_BE_2!F45 + 1*D_BE_3!F45 + 1*D_BS_1!F45 + 1*D_FR_1!F45 + 1*D_GE_1!F45 + 1*D_GL_1!F45 + 1*D_GR_1!F45 + 1*D_LU_1!F45 + 1*D_LU_2!F45 + 1*D_NE_1!F45 + 1*D_NE_2!F45 + D_SG_1!F45 + D_SG_2!F45 + D_SG_3!F45 + D_SO_1!F45 + D_TG_1!F45 + D_TI_1!F45 + D_VD_2!F45 + D_VS_1!F45 + D_VS_2!F45 + D_VS_3!F45 + D_ZH_1!F45 + D_ZH_2!F45 + D_ZH_3!F45 + D_ZH_4!F45 + D_ZH_5!F45 + D_ZH_6!F45</f>
        <v>2010489.6800162878</v>
      </c>
      <c r="G42" s="101">
        <f xml:space="preserve"> 1*D_AG_1!G45 + 1*D_AG_2!G45 + 1*D_AG_3!G45 + 1*D_BE_1!G45 + 1*D_BE_2!G45 + 1*D_BE_3!G45 + 1*D_BS_1!G45 + 1*D_FR_1!G45 + 1*D_GE_1!G45 + 1*D_GL_1!G45 + 1*D_GR_1!G45 + 1*D_LU_1!G45 + 1*D_LU_2!G45 + 1*D_NE_1!G45 + 1*D_NE_2!G45 + D_SG_1!G45 + D_SG_2!G45 + D_SG_3!G45 + D_SO_1!G45 + D_TG_1!G45 + D_TI_1!G45 + D_VD_2!G45 + D_VS_1!G45 + D_VS_2!G45 + D_VS_3!G45 + D_ZH_1!G45 + D_ZH_2!G45 + D_ZH_3!G45 + D_ZH_4!G45 + D_ZH_5!G45 + D_ZH_6!G45</f>
        <v>1955285.6267485595</v>
      </c>
      <c r="H42" s="101">
        <f xml:space="preserve"> 1*D_AG_1!H45 + 1*D_AG_2!H45 + 1*D_AG_3!H45 + 1*D_BE_1!H45 + 1*D_BE_2!H45 + 1*D_BE_3!H45 + 1*D_BS_1!H45 + 1*D_FR_1!H45 + 1*D_GE_1!H45 + 1*D_GL_1!H45 + 1*D_GR_1!H45 + 1*D_LU_1!H45 + 1*D_LU_2!H45 + 1*D_NE_1!H45 + 1*D_NE_2!H45 + D_SG_1!H45 + D_SG_2!H45 + D_SG_3!H45 + D_SO_1!H45 + D_TG_1!H45 + D_TI_1!H45 + D_VD_2!H45 + D_VS_1!H45 + D_VS_2!H45 + D_VS_3!H45 + D_ZH_1!H45 + D_ZH_2!H45 + D_ZH_3!H45 + D_ZH_4!H45 + D_ZH_5!H45 + D_ZH_6!H45</f>
        <v>1984204.0074937299</v>
      </c>
      <c r="I42" s="101">
        <f xml:space="preserve"> 1*D_AG_1!I45 + 1*D_AG_2!I45 + 1*D_AG_3!I45 + 1*D_BE_1!I45 + 1*D_BE_2!I45 + 1*D_BE_3!I45 + 1*D_BS_1!I45 + 1*D_FR_1!I45 + 1*D_GE_1!I45 + 1*D_GL_1!I45 + 1*D_GR_1!I45 + 1*D_LU_1!I45 + 1*D_LU_2!I45 + 1*D_NE_1!I45 + 1*D_NE_2!I45 + D_SG_1!I45 + D_SG_2!I45 + D_SG_3!I45 + D_SO_1!I45 + D_TG_1!I45 + D_TI_1!I45 + D_VD_2!I45 + D_VS_1!I45 + D_VS_2!I45 + D_VS_3!I45 + D_ZH_1!I45 + D_ZH_2!I45 + D_ZH_3!I45 + D_ZH_4!I45 + D_ZH_5!I45 + D_ZH_6!I45</f>
        <v>2043035.0882850387</v>
      </c>
      <c r="J42" s="101">
        <f xml:space="preserve"> 1*D_AG_1!J45 + 1*D_AG_2!J45 + 1*D_AG_3!J45 + 1*D_BE_1!J45 + 1*D_BE_2!J45 + 1*D_BE_3!J45 + 1*D_BS_1!J45 + 1*D_FR_1!J45 + 1*D_GE_1!J45 + 1*D_GL_1!J45 + 1*D_GR_1!J45 + 1*D_LU_1!J45 + 1*D_LU_2!J45 + 1*D_NE_1!J45 + 1*D_NE_2!J45 + D_SG_1!J45 + D_SG_2!J45 + D_SG_3!J45 + D_SO_1!J45 + D_TG_1!J45 + D_TI_1!J45 + D_VD_2!J45 + D_VS_1!J45 + D_VS_2!J45 + D_VS_3!J45 + D_ZH_1!J45 + D_ZH_2!J45 + D_ZH_3!J45 + D_ZH_4!J45 + D_ZH_5!J45 + D_ZH_6!J45</f>
        <v>2116468.5502370181</v>
      </c>
      <c r="K42" s="101">
        <f xml:space="preserve"> 1*D_AG_1!K45 + 1*D_AG_2!K45 + 1*D_AG_3!K45 + 1*D_BE_1!K45 + 1*D_BE_2!K45 + 1*D_BE_3!K45 + 1*D_BS_1!K45 + 1*D_FR_1!K45 + 1*D_GE_1!K45 + 1*D_GL_1!K45 + 1*D_GR_1!K45 + 1*D_LU_1!K45 + 1*D_LU_2!K45 + 1*D_NE_1!K45 + 1*D_NE_2!K45 + D_SG_1!K45 + D_SG_2!K45 + D_SG_3!K45 + D_SO_1!K45 + D_TG_1!K45 + D_TI_1!K45 + D_VD_2!K45 + D_VS_1!K45 + D_VS_2!K45 + D_VS_3!K45 + D_ZH_1!K45 + D_ZH_2!K45 + D_ZH_3!K45 + D_ZH_4!K45 + D_ZH_5!K45 + D_ZH_6!K45</f>
        <v>2124497.6820464572</v>
      </c>
      <c r="L42" s="101">
        <f xml:space="preserve"> 1*D_AG_1!L45 + 1*D_AG_2!L45 + 1*D_AG_3!L45 + 1*D_BE_1!L45 + 1*D_BE_2!L45 + 1*D_BE_3!L45 + 1*D_BS_1!L45 + 1*D_FR_1!L45 + 1*D_GE_1!L45 + 1*D_GL_1!L45 + 1*D_GR_1!L45 + 1*D_LU_1!L45 + 1*D_LU_2!L45 + 1*D_NE_1!L45 + 1*D_NE_2!L45 + D_SG_1!L45 + D_SG_2!L45 + D_SG_3!L45 + D_SO_1!L45 + D_TG_1!L45 + D_TI_1!L45 + D_VD_2!L45 + D_VS_1!L45 + D_VS_2!L45 + D_VS_3!L45 + D_ZH_1!L45 + D_ZH_2!L45 + D_ZH_3!L45 + D_ZH_4!L45 + D_ZH_5!L45 + D_ZH_6!L45</f>
        <v>2142418.0740864468</v>
      </c>
      <c r="M42" s="101">
        <f xml:space="preserve"> 1*D_AG_1!M45 + 1*D_AG_2!M45 + 1*D_AG_3!M45 + 1*D_BE_1!M45 + 1*D_BE_2!M45 + 1*D_BE_3!M45 + 1*D_BS_1!M45 + 1*D_FR_1!M45 + 1*D_GE_1!M45 + 1*D_GL_1!M45 + 1*D_GR_1!M45 + 1*D_LU_1!M45 + 1*D_LU_2!M45 + 1*D_NE_1!M45 + 1*D_NE_2!M45 + D_SG_1!M45 + D_SG_2!M45 + D_SG_3!M45 + D_SO_1!M45 + D_TG_1!M45 + D_TI_1!M45 + D_VD_2!M45 + D_VS_1!M45 + D_VS_2!M45 + D_VS_3!M45 + D_ZH_1!M45 + D_ZH_2!M45 + D_ZH_3!M45 + D_ZH_4!M45 + D_ZH_5!M45 + D_ZH_6!M45</f>
        <v>2155654.9830046729</v>
      </c>
      <c r="N42" s="101">
        <f xml:space="preserve"> 1*D_AG_1!N45 + 1*D_AG_2!N45 + 1*D_AG_3!N45 + 1*D_BE_1!N45 + 1*D_BE_2!N45 + 1*D_BE_3!N45 + 1*D_BS_1!N45 + 1*D_FR_1!N45 + 1*D_GE_1!N45 + 1*D_GL_1!N45 + 1*D_GR_1!N45 + 1*D_LU_1!N45 + 1*D_LU_2!N45 + 1*D_NE_1!N45 + 1*D_NE_2!N45 + D_SG_1!N45 + D_SG_2!N45 + D_SG_3!N45 + D_SO_1!N45 + D_TG_1!N45 + D_TI_1!N45 + D_VD_2!N45 + D_VS_1!N45 + D_VS_2!N45 + D_VS_3!N45 + D_ZH_1!N45 + D_ZH_2!N45 + D_ZH_3!N45 + D_ZH_4!N45 + D_ZH_5!N45 + D_ZH_6!N45</f>
        <v>2161214.422815708</v>
      </c>
      <c r="O42" s="101">
        <f xml:space="preserve"> 1*D_AG_1!O45 + 1*D_AG_2!O45 + 1*D_AG_3!O45 + 1*D_BE_1!O45 + 1*D_BE_2!O45 + 1*D_BE_3!O45 + 1*D_BS_1!O45 + 1*D_FR_1!O45 + 1*D_GE_1!O45 + 1*D_GL_1!O45 + 1*D_GR_1!O45 + 1*D_LU_1!O45 + 1*D_LU_2!O45 + 1*D_NE_1!O45 + 1*D_NE_2!O45 + D_SG_1!O45 + D_SG_2!O45 + D_SG_3!O45 + D_SO_1!O45 + D_TG_1!O45 + D_TI_1!O45 + D_VD_2!O45 + D_VS_1!O45 + D_VS_2!O45 + D_VS_3!O45 + D_ZH_1!O45 + D_ZH_2!O45 + D_ZH_3!O45 + D_ZH_4!O45 + D_ZH_5!O45 + D_ZH_6!O45</f>
        <v>2123194.8756285901</v>
      </c>
      <c r="P42" s="101">
        <f xml:space="preserve"> 1*D_AG_1!P45 + 1*D_AG_2!P45 + 1*D_AG_3!P45 + 1*D_BE_1!P45 + 1*D_BE_2!P45 + 1*D_BE_3!P45 + 1*D_BS_1!P45 + 1*D_FR_1!P45 + 1*D_GE_1!P45 + 1*D_GL_1!P45 + 1*D_GR_1!P45 + 1*D_LU_1!P45 + 1*D_LU_2!P45 + 1*D_NE_1!P45 + 1*D_NE_2!P45 + D_SG_1!P45 + D_SG_2!P45 + D_SG_3!P45 + D_SO_1!P45 + D_TG_1!P45 + D_TI_1!P45 + D_VD_2!P45 + D_VS_1!P45 + D_VS_2!P45 + D_VS_3!P45 + D_ZH_1!P45 + D_ZH_2!P45 + D_ZH_3!P45 + D_ZH_4!P45 + D_ZH_5!P45 + D_ZH_6!P45</f>
        <v>2038343.5636308361</v>
      </c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</row>
    <row r="43" spans="2:28" ht="27" customHeight="1" x14ac:dyDescent="0.3">
      <c r="B43" s="93" t="s">
        <v>279</v>
      </c>
      <c r="C43" s="94" t="s">
        <v>95</v>
      </c>
      <c r="D43" s="104">
        <f xml:space="preserve"> 1*D_AG_1!D46 + 1*D_AG_2!D46 + 1*D_AG_3!D46 + 1*D_BE_1!D46 + 1*D_BE_2!D46 + 1*D_BE_3!D46 + 1*D_BS_1!D46 + 1*D_FR_1!D46 + 1*D_GE_1!D46 + 1*D_GL_1!D46 + 1*D_GR_1!D46 + 1*D_LU_1!D46 + 1*D_LU_2!D46 + 1*D_NE_1!D46 + 1*D_NE_2!D46 + D_SG_1!D46 + D_SG_2!D46 + D_SG_3!D46 + D_SO_1!D46 + D_TG_1!D46 + D_TI_1!D46 + D_VD_2!D46 + D_VS_1!D46 + D_VS_2!D46 + D_VS_3!D46 + D_ZH_1!D46 + D_ZH_2!D46 + D_ZH_3!D46 + D_ZH_4!D46 + D_ZH_5!D46 + D_ZH_6!D46</f>
        <v>682143.17870000005</v>
      </c>
      <c r="E43" s="104">
        <f xml:space="preserve"> 1*D_AG_1!E46 + 1*D_AG_2!E46 + 1*D_AG_3!E46 + 1*D_BE_1!E46 + 1*D_BE_2!E46 + 1*D_BE_3!E46 + 1*D_BS_1!E46 + 1*D_FR_1!E46 + 1*D_GE_1!E46 + 1*D_GL_1!E46 + 1*D_GR_1!E46 + 1*D_LU_1!E46 + 1*D_LU_2!E46 + 1*D_NE_1!E46 + 1*D_NE_2!E46 + D_SG_1!E46 + D_SG_2!E46 + D_SG_3!E46 + D_SO_1!E46 + D_TG_1!E46 + D_TI_1!E46 + D_VD_2!E46 + D_VS_1!E46 + D_VS_2!E46 + D_VS_3!E46 + D_ZH_1!E46 + D_ZH_2!E46 + D_ZH_3!E46 + D_ZH_4!E46 + D_ZH_5!E46 + D_ZH_6!E46</f>
        <v>652674.19609999994</v>
      </c>
      <c r="F43" s="104">
        <f xml:space="preserve"> 1*D_AG_1!F46 + 1*D_AG_2!F46 + 1*D_AG_3!F46 + 1*D_BE_1!F46 + 1*D_BE_2!F46 + 1*D_BE_3!F46 + 1*D_BS_1!F46 + 1*D_FR_1!F46 + 1*D_GE_1!F46 + 1*D_GL_1!F46 + 1*D_GR_1!F46 + 1*D_LU_1!F46 + 1*D_LU_2!F46 + 1*D_NE_1!F46 + 1*D_NE_2!F46 + D_SG_1!F46 + D_SG_2!F46 + D_SG_3!F46 + D_SO_1!F46 + D_TG_1!F46 + D_TI_1!F46 + D_VD_2!F46 + D_VS_1!F46 + D_VS_2!F46 + D_VS_3!F46 + D_ZH_1!F46 + D_ZH_2!F46 + D_ZH_3!F46 + D_ZH_4!F46 + D_ZH_5!F46 + D_ZH_6!F46</f>
        <v>666554.77729999984</v>
      </c>
      <c r="G43" s="104">
        <f xml:space="preserve"> 1*D_AG_1!G46 + 1*D_AG_2!G46 + 1*D_AG_3!G46 + 1*D_BE_1!G46 + 1*D_BE_2!G46 + 1*D_BE_3!G46 + 1*D_BS_1!G46 + 1*D_FR_1!G46 + 1*D_GE_1!G46 + 1*D_GL_1!G46 + 1*D_GR_1!G46 + 1*D_LU_1!G46 + 1*D_LU_2!G46 + 1*D_NE_1!G46 + 1*D_NE_2!G46 + D_SG_1!G46 + D_SG_2!G46 + D_SG_3!G46 + D_SO_1!G46 + D_TG_1!G46 + D_TI_1!G46 + D_VD_2!G46 + D_VS_1!G46 + D_VS_2!G46 + D_VS_3!G46 + D_ZH_1!G46 + D_ZH_2!G46 + D_ZH_3!G46 + D_ZH_4!G46 + D_ZH_5!G46 + D_ZH_6!G46</f>
        <v>696495.68709999998</v>
      </c>
      <c r="H43" s="104">
        <f xml:space="preserve"> 1*D_AG_1!H46 + 1*D_AG_2!H46 + 1*D_AG_3!H46 + 1*D_BE_1!H46 + 1*D_BE_2!H46 + 1*D_BE_3!H46 + 1*D_BS_1!H46 + 1*D_FR_1!H46 + 1*D_GE_1!H46 + 1*D_GL_1!H46 + 1*D_GR_1!H46 + 1*D_LU_1!H46 + 1*D_LU_2!H46 + 1*D_NE_1!H46 + 1*D_NE_2!H46 + D_SG_1!H46 + D_SG_2!H46 + D_SG_3!H46 + D_SO_1!H46 + D_TG_1!H46 + D_TI_1!H46 + D_VD_2!H46 + D_VS_1!H46 + D_VS_2!H46 + D_VS_3!H46 + D_ZH_1!H46 + D_ZH_2!H46 + D_ZH_3!H46 + D_ZH_4!H46 + D_ZH_5!H46 + D_ZH_6!H46</f>
        <v>685246.59349999996</v>
      </c>
      <c r="I43" s="104">
        <f xml:space="preserve"> 1*D_AG_1!I46 + 1*D_AG_2!I46 + 1*D_AG_3!I46 + 1*D_BE_1!I46 + 1*D_BE_2!I46 + 1*D_BE_3!I46 + 1*D_BS_1!I46 + 1*D_FR_1!I46 + 1*D_GE_1!I46 + 1*D_GL_1!I46 + 1*D_GR_1!I46 + 1*D_LU_1!I46 + 1*D_LU_2!I46 + 1*D_NE_1!I46 + 1*D_NE_2!I46 + D_SG_1!I46 + D_SG_2!I46 + D_SG_3!I46 + D_SO_1!I46 + D_TG_1!I46 + D_TI_1!I46 + D_VD_2!I46 + D_VS_1!I46 + D_VS_2!I46 + D_VS_3!I46 + D_ZH_1!I46 + D_ZH_2!I46 + D_ZH_3!I46 + D_ZH_4!I46 + D_ZH_5!I46 + D_ZH_6!I46</f>
        <v>761519.58419999992</v>
      </c>
      <c r="J43" s="104">
        <f xml:space="preserve"> 1*D_AG_1!J46 + 1*D_AG_2!J46 + 1*D_AG_3!J46 + 1*D_BE_1!J46 + 1*D_BE_2!J46 + 1*D_BE_3!J46 + 1*D_BS_1!J46 + 1*D_FR_1!J46 + 1*D_GE_1!J46 + 1*D_GL_1!J46 + 1*D_GR_1!J46 + 1*D_LU_1!J46 + 1*D_LU_2!J46 + 1*D_NE_1!J46 + 1*D_NE_2!J46 + D_SG_1!J46 + D_SG_2!J46 + D_SG_3!J46 + D_SO_1!J46 + D_TG_1!J46 + D_TI_1!J46 + D_VD_2!J46 + D_VS_1!J46 + D_VS_2!J46 + D_VS_3!J46 + D_ZH_1!J46 + D_ZH_2!J46 + D_ZH_3!J46 + D_ZH_4!J46 + D_ZH_5!J46 + D_ZH_6!J46</f>
        <v>807537.42080000008</v>
      </c>
      <c r="K43" s="104">
        <f xml:space="preserve"> 1*D_AG_1!K46 + 1*D_AG_2!K46 + 1*D_AG_3!K46 + 1*D_BE_1!K46 + 1*D_BE_2!K46 + 1*D_BE_3!K46 + 1*D_BS_1!K46 + 1*D_FR_1!K46 + 1*D_GE_1!K46 + 1*D_GL_1!K46 + 1*D_GR_1!K46 + 1*D_LU_1!K46 + 1*D_LU_2!K46 + 1*D_NE_1!K46 + 1*D_NE_2!K46 + D_SG_1!K46 + D_SG_2!K46 + D_SG_3!K46 + D_SO_1!K46 + D_TG_1!K46 + D_TI_1!K46 + D_VD_2!K46 + D_VS_1!K46 + D_VS_2!K46 + D_VS_3!K46 + D_ZH_1!K46 + D_ZH_2!K46 + D_ZH_3!K46 + D_ZH_4!K46 + D_ZH_5!K46 + D_ZH_6!K46</f>
        <v>829039.26740000013</v>
      </c>
      <c r="L43" s="104">
        <f xml:space="preserve"> 1*D_AG_1!L46 + 1*D_AG_2!L46 + 1*D_AG_3!L46 + 1*D_BE_1!L46 + 1*D_BE_2!L46 + 1*D_BE_3!L46 + 1*D_BS_1!L46 + 1*D_FR_1!L46 + 1*D_GE_1!L46 + 1*D_GL_1!L46 + 1*D_GR_1!L46 + 1*D_LU_1!L46 + 1*D_LU_2!L46 + 1*D_NE_1!L46 + 1*D_NE_2!L46 + D_SG_1!L46 + D_SG_2!L46 + D_SG_3!L46 + D_SO_1!L46 + D_TG_1!L46 + D_TI_1!L46 + D_VD_2!L46 + D_VS_1!L46 + D_VS_2!L46 + D_VS_3!L46 + D_ZH_1!L46 + D_ZH_2!L46 + D_ZH_3!L46 + D_ZH_4!L46 + D_ZH_5!L46 + D_ZH_6!L46</f>
        <v>837053.28209999995</v>
      </c>
      <c r="M43" s="104">
        <f xml:space="preserve"> 1*D_AG_1!M46 + 1*D_AG_2!M46 + 1*D_AG_3!M46 + 1*D_BE_1!M46 + 1*D_BE_2!M46 + 1*D_BE_3!M46 + 1*D_BS_1!M46 + 1*D_FR_1!M46 + 1*D_GE_1!M46 + 1*D_GL_1!M46 + 1*D_GR_1!M46 + 1*D_LU_1!M46 + 1*D_LU_2!M46 + 1*D_NE_1!M46 + 1*D_NE_2!M46 + D_SG_1!M46 + D_SG_2!M46 + D_SG_3!M46 + D_SO_1!M46 + D_TG_1!M46 + D_TI_1!M46 + D_VD_2!M46 + D_VS_1!M46 + D_VS_2!M46 + D_VS_3!M46 + D_ZH_1!M46 + D_ZH_2!M46 + D_ZH_3!M46 + D_ZH_4!M46 + D_ZH_5!M46 + D_ZH_6!M46</f>
        <v>896525.08129999985</v>
      </c>
      <c r="N43" s="104">
        <f xml:space="preserve"> 1*D_AG_1!N46 + 1*D_AG_2!N46 + 1*D_AG_3!N46 + 1*D_BE_1!N46 + 1*D_BE_2!N46 + 1*D_BE_3!N46 + 1*D_BS_1!N46 + 1*D_FR_1!N46 + 1*D_GE_1!N46 + 1*D_GL_1!N46 + 1*D_GR_1!N46 + 1*D_LU_1!N46 + 1*D_LU_2!N46 + 1*D_NE_1!N46 + 1*D_NE_2!N46 + D_SG_1!N46 + D_SG_2!N46 + D_SG_3!N46 + D_SO_1!N46 + D_TG_1!N46 + D_TI_1!N46 + D_VD_2!N46 + D_VS_1!N46 + D_VS_2!N46 + D_VS_3!N46 + D_ZH_1!N46 + D_ZH_2!N46 + D_ZH_3!N46 + D_ZH_4!N46 + D_ZH_5!N46 + D_ZH_6!N46</f>
        <v>881344.00870000001</v>
      </c>
      <c r="O43" s="104">
        <f xml:space="preserve"> 1*D_AG_1!O46 + 1*D_AG_2!O46 + 1*D_AG_3!O46 + 1*D_BE_1!O46 + 1*D_BE_2!O46 + 1*D_BE_3!O46 + 1*D_BS_1!O46 + 1*D_FR_1!O46 + 1*D_GE_1!O46 + 1*D_GL_1!O46 + 1*D_GR_1!O46 + 1*D_LU_1!O46 + 1*D_LU_2!O46 + 1*D_NE_1!O46 + 1*D_NE_2!O46 + D_SG_1!O46 + D_SG_2!O46 + D_SG_3!O46 + D_SO_1!O46 + D_TG_1!O46 + D_TI_1!O46 + D_VD_2!O46 + D_VS_1!O46 + D_VS_2!O46 + D_VS_3!O46 + D_ZH_1!O46 + D_ZH_2!O46 + D_ZH_3!O46 + D_ZH_4!O46 + D_ZH_5!O46 + D_ZH_6!O46</f>
        <v>936483.17472331703</v>
      </c>
      <c r="P43" s="104">
        <f xml:space="preserve"> 1*D_AG_1!P46 + 1*D_AG_2!P46 + 1*D_AG_3!P46 + 1*D_BE_1!P46 + 1*D_BE_2!P46 + 1*D_BE_3!P46 + 1*D_BS_1!P46 + 1*D_FR_1!P46 + 1*D_GE_1!P46 + 1*D_GL_1!P46 + 1*D_GR_1!P46 + 1*D_LU_1!P46 + 1*D_LU_2!P46 + 1*D_NE_1!P46 + 1*D_NE_2!P46 + D_SG_1!P46 + D_SG_2!P46 + D_SG_3!P46 + D_SO_1!P46 + D_TG_1!P46 + D_TI_1!P46 + D_VD_2!P46 + D_VS_1!P46 + D_VS_2!P46 + D_VS_3!P46 + D_ZH_1!P46 + D_ZH_2!P46 + D_ZH_3!P46 + D_ZH_4!P46 + D_ZH_5!P46 + D_ZH_6!P46</f>
        <v>873103.8996</v>
      </c>
      <c r="Q43" s="95"/>
      <c r="R43" s="95"/>
      <c r="S43" s="95"/>
      <c r="T43" s="63"/>
      <c r="U43" s="63"/>
      <c r="V43" s="63"/>
      <c r="W43" s="63"/>
      <c r="X43" s="63"/>
      <c r="Y43" s="63"/>
      <c r="Z43" s="63"/>
      <c r="AA43" s="63"/>
      <c r="AB43" s="63"/>
    </row>
    <row r="44" spans="2:28" ht="22.2" customHeight="1" x14ac:dyDescent="0.3">
      <c r="B44" s="40" t="s">
        <v>229</v>
      </c>
      <c r="C44" s="41" t="s">
        <v>95</v>
      </c>
      <c r="D44" s="101">
        <f>D21*(Pars!D90/Pars!D89+(1-Pars!D90))*Pars!D40</f>
        <v>654661.15135669056</v>
      </c>
      <c r="E44" s="101">
        <f>(E21*Pars!E90/Pars!E89+E21*(1-Pars!E90))*Pars!E40</f>
        <v>688950.39287640096</v>
      </c>
      <c r="F44" s="101">
        <f>(F21*Pars!F90/Pars!F89+F21*(1-Pars!F90))*Pars!F40</f>
        <v>666821.6660997197</v>
      </c>
      <c r="G44" s="101">
        <f>(G21*Pars!G90/Pars!G89+G21*(1-Pars!G90))*Pars!G40</f>
        <v>671399.02721905371</v>
      </c>
      <c r="H44" s="101">
        <f>(H21*Pars!H90/Pars!H89+H21*(1-Pars!H90))*Pars!H40</f>
        <v>740593.43374423089</v>
      </c>
      <c r="I44" s="101">
        <f>(I21*Pars!I90/Pars!I89+I21*(1-Pars!I90))*Pars!I40</f>
        <v>784447.05555225804</v>
      </c>
      <c r="J44" s="101">
        <f>(J21*Pars!J90/Pars!J89+J21*(1-Pars!J90))*Pars!J40</f>
        <v>808834.66966875514</v>
      </c>
      <c r="K44" s="101">
        <f>(K21*Pars!K90/Pars!K89+K21*(1-Pars!K90))*Pars!K40</f>
        <v>840356.03919904865</v>
      </c>
      <c r="L44" s="101">
        <f>(L21*Pars!L90/Pars!L89+L21*(1-Pars!L90))*Pars!L40</f>
        <v>880134.12822162523</v>
      </c>
      <c r="M44" s="101">
        <f>(M21*Pars!M90/Pars!M89+M21*(1-Pars!M90))*Pars!M40</f>
        <v>932425.53560068214</v>
      </c>
      <c r="N44" s="101">
        <f>(N21*Pars!N90/Pars!N89+N21*(1-Pars!N90))*Pars!N40</f>
        <v>947497.14569505956</v>
      </c>
      <c r="O44" s="101">
        <f>(O21*Pars!O90/Pars!O89+O21*(1-Pars!O90))*Pars!O40</f>
        <v>937610.33601686568</v>
      </c>
      <c r="P44" s="101">
        <f>(P21*Pars!P90/Pars!P89+P21*(1-Pars!P90))*Pars!P40</f>
        <v>955557.71657087747</v>
      </c>
      <c r="Q44" s="43"/>
      <c r="R44" s="43"/>
      <c r="S44" s="43"/>
      <c r="T44" s="63"/>
      <c r="U44" s="63"/>
      <c r="V44" s="63"/>
      <c r="W44" s="63"/>
      <c r="X44" s="63"/>
      <c r="Y44" s="63"/>
      <c r="Z44" s="63"/>
      <c r="AA44" s="63"/>
      <c r="AB44" s="63"/>
    </row>
    <row r="45" spans="2:28" x14ac:dyDescent="0.3">
      <c r="B45" s="40" t="s">
        <v>149</v>
      </c>
      <c r="C45" s="41" t="s">
        <v>95</v>
      </c>
      <c r="D45" s="101">
        <f xml:space="preserve"> 1*D_AG_1!D47 + 1*D_AG_2!D47 + 1*D_AG_3!D47 + 1*D_BE_1!D47 + 1*D_BE_2!D47 + 1*D_BE_3!D47 + 1*D_BS_1!D47 + 1*D_FR_1!D47 + 1*D_GE_1!D47 + 1*D_GL_1!D47 + 1*D_GR_1!D47 + 1*D_LU_1!D47 + 1*D_LU_2!D47 + 1*D_NE_1!D47 + 1*D_NE_2!D47 + D_SG_1!D47 + D_SG_2!D47 + D_SG_3!D47 + D_SO_1!D47 + D_TG_1!D47 + D_TI_1!D47 + D_VD_2!D47 + D_VS_1!D47 + D_VS_2!D47 + D_VS_3!D47 + D_ZH_1!D47 + D_ZH_2!D47 + D_ZH_3!D47 + D_ZH_4!D47 + D_ZH_5!D47 + D_ZH_6!D47</f>
        <v>41682.246399999996</v>
      </c>
      <c r="E45" s="101">
        <f xml:space="preserve"> 1*D_AG_1!E47 + 1*D_AG_2!E47 + 1*D_AG_3!E47 + 1*D_BE_1!E47 + 1*D_BE_2!E47 + 1*D_BE_3!E47 + 1*D_BS_1!E47 + 1*D_FR_1!E47 + 1*D_GE_1!E47 + 1*D_GL_1!E47 + 1*D_GR_1!E47 + 1*D_LU_1!E47 + 1*D_LU_2!E47 + 1*D_NE_1!E47 + 1*D_NE_2!E47 + D_SG_1!E47 + D_SG_2!E47 + D_SG_3!E47 + D_SO_1!E47 + D_TG_1!E47 + D_TI_1!E47 + D_VD_2!E47 + D_VS_1!E47 + D_VS_2!E47 + D_VS_3!E47 + D_ZH_1!E47 + D_ZH_2!E47 + D_ZH_3!E47 + D_ZH_4!E47 + D_ZH_5!E47 + D_ZH_6!E47</f>
        <v>42694.41840000001</v>
      </c>
      <c r="F45" s="101">
        <f xml:space="preserve"> 1*D_AG_1!F47 + 1*D_AG_2!F47 + 1*D_AG_3!F47 + 1*D_BE_1!F47 + 1*D_BE_2!F47 + 1*D_BE_3!F47 + 1*D_BS_1!F47 + 1*D_FR_1!F47 + 1*D_GE_1!F47 + 1*D_GL_1!F47 + 1*D_GR_1!F47 + 1*D_LU_1!F47 + 1*D_LU_2!F47 + 1*D_NE_1!F47 + 1*D_NE_2!F47 + D_SG_1!F47 + D_SG_2!F47 + D_SG_3!F47 + D_SO_1!F47 + D_TG_1!F47 + D_TI_1!F47 + D_VD_2!F47 + D_VS_1!F47 + D_VS_2!F47 + D_VS_3!F47 + D_ZH_1!F47 + D_ZH_2!F47 + D_ZH_3!F47 + D_ZH_4!F47 + D_ZH_5!F47 + D_ZH_6!F47</f>
        <v>44889.672800000008</v>
      </c>
      <c r="G45" s="101">
        <f xml:space="preserve"> 1*D_AG_1!G47 + 1*D_AG_2!G47 + 1*D_AG_3!G47 + 1*D_BE_1!G47 + 1*D_BE_2!G47 + 1*D_BE_3!G47 + 1*D_BS_1!G47 + 1*D_FR_1!G47 + 1*D_GE_1!G47 + 1*D_GL_1!G47 + 1*D_GR_1!G47 + 1*D_LU_1!G47 + 1*D_LU_2!G47 + 1*D_NE_1!G47 + 1*D_NE_2!G47 + D_SG_1!G47 + D_SG_2!G47 + D_SG_3!G47 + D_SO_1!G47 + D_TG_1!G47 + D_TI_1!G47 + D_VD_2!G47 + D_VS_1!G47 + D_VS_2!G47 + D_VS_3!G47 + D_ZH_1!G47 + D_ZH_2!G47 + D_ZH_3!G47 + D_ZH_4!G47 + D_ZH_5!G47 + D_ZH_6!G47</f>
        <v>47255.068000000021</v>
      </c>
      <c r="H45" s="101">
        <f xml:space="preserve"> 1*D_AG_1!H47 + 1*D_AG_2!H47 + 1*D_AG_3!H47 + 1*D_BE_1!H47 + 1*D_BE_2!H47 + 1*D_BE_3!H47 + 1*D_BS_1!H47 + 1*D_FR_1!H47 + 1*D_GE_1!H47 + 1*D_GL_1!H47 + 1*D_GR_1!H47 + 1*D_LU_1!H47 + 1*D_LU_2!H47 + 1*D_NE_1!H47 + 1*D_NE_2!H47 + D_SG_1!H47 + D_SG_2!H47 + D_SG_3!H47 + D_SO_1!H47 + D_TG_1!H47 + D_TI_1!H47 + D_VD_2!H47 + D_VS_1!H47 + D_VS_2!H47 + D_VS_3!H47 + D_ZH_1!H47 + D_ZH_2!H47 + D_ZH_3!H47 + D_ZH_4!H47 + D_ZH_5!H47 + D_ZH_6!H47</f>
        <v>50380.413599999993</v>
      </c>
      <c r="I45" s="101">
        <f xml:space="preserve"> 1*D_AG_1!I47 + 1*D_AG_2!I47 + 1*D_AG_3!I47 + 1*D_BE_1!I47 + 1*D_BE_2!I47 + 1*D_BE_3!I47 + 1*D_BS_1!I47 + 1*D_FR_1!I47 + 1*D_GE_1!I47 + 1*D_GL_1!I47 + 1*D_GR_1!I47 + 1*D_LU_1!I47 + 1*D_LU_2!I47 + 1*D_NE_1!I47 + 1*D_NE_2!I47 + D_SG_1!I47 + D_SG_2!I47 + D_SG_3!I47 + D_SO_1!I47 + D_TG_1!I47 + D_TI_1!I47 + D_VD_2!I47 + D_VS_1!I47 + D_VS_2!I47 + D_VS_3!I47 + D_ZH_1!I47 + D_ZH_2!I47 + D_ZH_3!I47 + D_ZH_4!I47 + D_ZH_5!I47 + D_ZH_6!I47</f>
        <v>50777.911999999997</v>
      </c>
      <c r="J45" s="101">
        <f xml:space="preserve"> 1*D_AG_1!J47 + 1*D_AG_2!J47 + 1*D_AG_3!J47 + 1*D_BE_1!J47 + 1*D_BE_2!J47 + 1*D_BE_3!J47 + 1*D_BS_1!J47 + 1*D_FR_1!J47 + 1*D_GE_1!J47 + 1*D_GL_1!J47 + 1*D_GR_1!J47 + 1*D_LU_1!J47 + 1*D_LU_2!J47 + 1*D_NE_1!J47 + 1*D_NE_2!J47 + D_SG_1!J47 + D_SG_2!J47 + D_SG_3!J47 + D_SO_1!J47 + D_TG_1!J47 + D_TI_1!J47 + D_VD_2!J47 + D_VS_1!J47 + D_VS_2!J47 + D_VS_3!J47 + D_ZH_1!J47 + D_ZH_2!J47 + D_ZH_3!J47 + D_ZH_4!J47 + D_ZH_5!J47 + D_ZH_6!J47</f>
        <v>54617.624000000003</v>
      </c>
      <c r="K45" s="101">
        <f xml:space="preserve"> 1*D_AG_1!K47 + 1*D_AG_2!K47 + 1*D_AG_3!K47 + 1*D_BE_1!K47 + 1*D_BE_2!K47 + 1*D_BE_3!K47 + 1*D_BS_1!K47 + 1*D_FR_1!K47 + 1*D_GE_1!K47 + 1*D_GL_1!K47 + 1*D_GR_1!K47 + 1*D_LU_1!K47 + 1*D_LU_2!K47 + 1*D_NE_1!K47 + 1*D_NE_2!K47 + D_SG_1!K47 + D_SG_2!K47 + D_SG_3!K47 + D_SO_1!K47 + D_TG_1!K47 + D_TI_1!K47 + D_VD_2!K47 + D_VS_1!K47 + D_VS_2!K47 + D_VS_3!K47 + D_ZH_1!K47 + D_ZH_2!K47 + D_ZH_3!K47 + D_ZH_4!K47 + D_ZH_5!K47 + D_ZH_6!K47</f>
        <v>54832.253600000011</v>
      </c>
      <c r="L45" s="101">
        <f xml:space="preserve"> 1*D_AG_1!L47 + 1*D_AG_2!L47 + 1*D_AG_3!L47 + 1*D_BE_1!L47 + 1*D_BE_2!L47 + 1*D_BE_3!L47 + 1*D_BS_1!L47 + 1*D_FR_1!L47 + 1*D_GE_1!L47 + 1*D_GL_1!L47 + 1*D_GR_1!L47 + 1*D_LU_1!L47 + 1*D_LU_2!L47 + 1*D_NE_1!L47 + 1*D_NE_2!L47 + D_SG_1!L47 + D_SG_2!L47 + D_SG_3!L47 + D_SO_1!L47 + D_TG_1!L47 + D_TI_1!L47 + D_VD_2!L47 + D_VS_1!L47 + D_VS_2!L47 + D_VS_3!L47 + D_ZH_1!L47 + D_ZH_2!L47 + D_ZH_3!L47 + D_ZH_4!L47 + D_ZH_5!L47 + D_ZH_6!L47</f>
        <v>54185.493599999987</v>
      </c>
      <c r="M45" s="101">
        <f xml:space="preserve"> 1*D_AG_1!M47 + 1*D_AG_2!M47 + 1*D_AG_3!M47 + 1*D_BE_1!M47 + 1*D_BE_2!M47 + 1*D_BE_3!M47 + 1*D_BS_1!M47 + 1*D_FR_1!M47 + 1*D_GE_1!M47 + 1*D_GL_1!M47 + 1*D_GR_1!M47 + 1*D_LU_1!M47 + 1*D_LU_2!M47 + 1*D_NE_1!M47 + 1*D_NE_2!M47 + D_SG_1!M47 + D_SG_2!M47 + D_SG_3!M47 + D_SO_1!M47 + D_TG_1!M47 + D_TI_1!M47 + D_VD_2!M47 + D_VS_1!M47 + D_VS_2!M47 + D_VS_3!M47 + D_ZH_1!M47 + D_ZH_2!M47 + D_ZH_3!M47 + D_ZH_4!M47 + D_ZH_5!M47 + D_ZH_6!M47</f>
        <v>54899.623199999987</v>
      </c>
      <c r="N45" s="101">
        <f xml:space="preserve"> 1*D_AG_1!N47 + 1*D_AG_2!N47 + 1*D_AG_3!N47 + 1*D_BE_1!N47 + 1*D_BE_2!N47 + 1*D_BE_3!N47 + 1*D_BS_1!N47 + 1*D_FR_1!N47 + 1*D_GE_1!N47 + 1*D_GL_1!N47 + 1*D_GR_1!N47 + 1*D_LU_1!N47 + 1*D_LU_2!N47 + 1*D_NE_1!N47 + 1*D_NE_2!N47 + D_SG_1!N47 + D_SG_2!N47 + D_SG_3!N47 + D_SO_1!N47 + D_TG_1!N47 + D_TI_1!N47 + D_VD_2!N47 + D_VS_1!N47 + D_VS_2!N47 + D_VS_3!N47 + D_ZH_1!N47 + D_ZH_2!N47 + D_ZH_3!N47 + D_ZH_4!N47 + D_ZH_5!N47 + D_ZH_6!N47</f>
        <v>54922.415200000003</v>
      </c>
      <c r="O45" s="101">
        <f xml:space="preserve"> 1*D_AG_1!O47 + 1*D_AG_2!O47 + 1*D_AG_3!O47 + 1*D_BE_1!O47 + 1*D_BE_2!O47 + 1*D_BE_3!O47 + 1*D_BS_1!O47 + 1*D_FR_1!O47 + 1*D_GE_1!O47 + 1*D_GL_1!O47 + 1*D_GR_1!O47 + 1*D_LU_1!O47 + 1*D_LU_2!O47 + 1*D_NE_1!O47 + 1*D_NE_2!O47 + D_SG_1!O47 + D_SG_2!O47 + D_SG_3!O47 + D_SO_1!O47 + D_TG_1!O47 + D_TI_1!O47 + D_VD_2!O47 + D_VS_1!O47 + D_VS_2!O47 + D_VS_3!O47 + D_ZH_1!O47 + D_ZH_2!O47 + D_ZH_3!O47 + D_ZH_4!O47 + D_ZH_5!O47 + D_ZH_6!O47</f>
        <v>51872.325967482655</v>
      </c>
      <c r="P45" s="101">
        <f xml:space="preserve"> 1*D_AG_1!P47 + 1*D_AG_2!P47 + 1*D_AG_3!P47 + 1*D_BE_1!P47 + 1*D_BE_2!P47 + 1*D_BE_3!P47 + 1*D_BS_1!P47 + 1*D_FR_1!P47 + 1*D_GE_1!P47 + 1*D_GL_1!P47 + 1*D_GR_1!P47 + 1*D_LU_1!P47 + 1*D_LU_2!P47 + 1*D_NE_1!P47 + 1*D_NE_2!P47 + D_SG_1!P47 + D_SG_2!P47 + D_SG_3!P47 + D_SO_1!P47 + D_TG_1!P47 + D_TI_1!P47 + D_VD_2!P47 + D_VS_1!P47 + D_VS_2!P47 + D_VS_3!P47 + D_ZH_1!P47 + D_ZH_2!P47 + D_ZH_3!P47 + D_ZH_4!P47 + D_ZH_5!P47 + D_ZH_6!P47</f>
        <v>50994.376799999998</v>
      </c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</row>
    <row r="46" spans="2:28" x14ac:dyDescent="0.3">
      <c r="B46" s="40" t="s">
        <v>150</v>
      </c>
      <c r="C46" s="41" t="s">
        <v>95</v>
      </c>
      <c r="D46" s="102">
        <f xml:space="preserve"> 1*D_AG_1!D48 + 1*D_AG_2!D48 + 1*D_AG_3!D48 + 1*D_BE_1!D48 + 1*D_BE_2!D48 + 1*D_BE_3!D48 + 1*D_BS_1!D48 + 1*D_FR_1!D48 + 1*D_GE_1!D48 + 1*D_GL_1!D48 + 1*D_GR_1!D48 + 1*D_LU_1!D48 + 1*D_LU_2!D48 + 1*D_NE_1!D48 + 1*D_NE_2!D48 + D_SG_1!D48 + D_SG_2!D48 + D_SG_3!D48 + D_SO_1!D48 + D_TG_1!D48 + D_TI_1!D48 + D_VD_2!D48 + D_VS_1!D48 + D_VS_2!D48 + D_VS_3!D48 + D_ZH_1!D48 + D_ZH_2!D48 + D_ZH_3!D48 + D_ZH_4!D48 + D_ZH_5!D48 + D_ZH_6!D48</f>
        <v>98121.25197231803</v>
      </c>
      <c r="E46" s="102">
        <f xml:space="preserve"> 1*D_AG_1!E48 + 1*D_AG_2!E48 + 1*D_AG_3!E48 + 1*D_BE_1!E48 + 1*D_BE_2!E48 + 1*D_BE_3!E48 + 1*D_BS_1!E48 + 1*D_FR_1!E48 + 1*D_GE_1!E48 + 1*D_GL_1!E48 + 1*D_GR_1!E48 + 1*D_LU_1!E48 + 1*D_LU_2!E48 + 1*D_NE_1!E48 + 1*D_NE_2!E48 + D_SG_1!E48 + D_SG_2!E48 + D_SG_3!E48 + D_SO_1!E48 + D_TG_1!E48 + D_TI_1!E48 + D_VD_2!E48 + D_VS_1!E48 + D_VS_2!E48 + D_VS_3!E48 + D_ZH_1!E48 + D_ZH_2!E48 + D_ZH_3!E48 + D_ZH_4!E48 + D_ZH_5!E48 + D_ZH_6!E48</f>
        <v>117022.53204990648</v>
      </c>
      <c r="F46" s="102">
        <f xml:space="preserve"> 1*D_AG_1!F48 + 1*D_AG_2!F48 + 1*D_AG_3!F48 + 1*D_BE_1!F48 + 1*D_BE_2!F48 + 1*D_BE_3!F48 + 1*D_BS_1!F48 + 1*D_FR_1!F48 + 1*D_GE_1!F48 + 1*D_GL_1!F48 + 1*D_GR_1!F48 + 1*D_LU_1!F48 + 1*D_LU_2!F48 + 1*D_NE_1!F48 + 1*D_NE_2!F48 + D_SG_1!F48 + D_SG_2!F48 + D_SG_3!F48 + D_SO_1!F48 + D_TG_1!F48 + D_TI_1!F48 + D_VD_2!F48 + D_VS_1!F48 + D_VS_2!F48 + D_VS_3!F48 + D_ZH_1!F48 + D_ZH_2!F48 + D_ZH_3!F48 + D_ZH_4!F48 + D_ZH_5!F48 + D_ZH_6!F48</f>
        <v>140840.36938257521</v>
      </c>
      <c r="G46" s="102">
        <f xml:space="preserve"> 1*D_AG_1!G48 + 1*D_AG_2!G48 + 1*D_AG_3!G48 + 1*D_BE_1!G48 + 1*D_BE_2!G48 + 1*D_BE_3!G48 + 1*D_BS_1!G48 + 1*D_FR_1!G48 + 1*D_GE_1!G48 + 1*D_GL_1!G48 + 1*D_GR_1!G48 + 1*D_LU_1!G48 + 1*D_LU_2!G48 + 1*D_NE_1!G48 + 1*D_NE_2!G48 + D_SG_1!G48 + D_SG_2!G48 + D_SG_3!G48 + D_SO_1!G48 + D_TG_1!G48 + D_TI_1!G48 + D_VD_2!G48 + D_VS_1!G48 + D_VS_2!G48 + D_VS_3!G48 + D_ZH_1!G48 + D_ZH_2!G48 + D_ZH_3!G48 + D_ZH_4!G48 + D_ZH_5!G48 + D_ZH_6!G48</f>
        <v>145735.19174367326</v>
      </c>
      <c r="H46" s="102">
        <f xml:space="preserve"> 1*D_AG_1!H48 + 1*D_AG_2!H48 + 1*D_AG_3!H48 + 1*D_BE_1!H48 + 1*D_BE_2!H48 + 1*D_BE_3!H48 + 1*D_BS_1!H48 + 1*D_FR_1!H48 + 1*D_GE_1!H48 + 1*D_GL_1!H48 + 1*D_GR_1!H48 + 1*D_LU_1!H48 + 1*D_LU_2!H48 + 1*D_NE_1!H48 + 1*D_NE_2!H48 + D_SG_1!H48 + D_SG_2!H48 + D_SG_3!H48 + D_SO_1!H48 + D_TG_1!H48 + D_TI_1!H48 + D_VD_2!H48 + D_VS_1!H48 + D_VS_2!H48 + D_VS_3!H48 + D_ZH_1!H48 + D_ZH_2!H48 + D_ZH_3!H48 + D_ZH_4!H48 + D_ZH_5!H48 + D_ZH_6!H48</f>
        <v>150113.17979624998</v>
      </c>
      <c r="I46" s="102">
        <f xml:space="preserve"> 1*D_AG_1!I48 + 1*D_AG_2!I48 + 1*D_AG_3!I48 + 1*D_BE_1!I48 + 1*D_BE_2!I48 + 1*D_BE_3!I48 + 1*D_BS_1!I48 + 1*D_FR_1!I48 + 1*D_GE_1!I48 + 1*D_GL_1!I48 + 1*D_GR_1!I48 + 1*D_LU_1!I48 + 1*D_LU_2!I48 + 1*D_NE_1!I48 + 1*D_NE_2!I48 + D_SG_1!I48 + D_SG_2!I48 + D_SG_3!I48 + D_SO_1!I48 + D_TG_1!I48 + D_TI_1!I48 + D_VD_2!I48 + D_VS_1!I48 + D_VS_2!I48 + D_VS_3!I48 + D_ZH_1!I48 + D_ZH_2!I48 + D_ZH_3!I48 + D_ZH_4!I48 + D_ZH_5!I48 + D_ZH_6!I48</f>
        <v>166953.53000000003</v>
      </c>
      <c r="J46" s="102">
        <f xml:space="preserve"> 1*D_AG_1!J48 + 1*D_AG_2!J48 + 1*D_AG_3!J48 + 1*D_BE_1!J48 + 1*D_BE_2!J48 + 1*D_BE_3!J48 + 1*D_BS_1!J48 + 1*D_FR_1!J48 + 1*D_GE_1!J48 + 1*D_GL_1!J48 + 1*D_GR_1!J48 + 1*D_LU_1!J48 + 1*D_LU_2!J48 + 1*D_NE_1!J48 + 1*D_NE_2!J48 + D_SG_1!J48 + D_SG_2!J48 + D_SG_3!J48 + D_SO_1!J48 + D_TG_1!J48 + D_TI_1!J48 + D_VD_2!J48 + D_VS_1!J48 + D_VS_2!J48 + D_VS_3!J48 + D_ZH_1!J48 + D_ZH_2!J48 + D_ZH_3!J48 + D_ZH_4!J48 + D_ZH_5!J48 + D_ZH_6!J48</f>
        <v>214438.83000000002</v>
      </c>
      <c r="K46" s="102">
        <f xml:space="preserve"> 1*D_AG_1!K48 + 1*D_AG_2!K48 + 1*D_AG_3!K48 + 1*D_BE_1!K48 + 1*D_BE_2!K48 + 1*D_BE_3!K48 + 1*D_BS_1!K48 + 1*D_FR_1!K48 + 1*D_GE_1!K48 + 1*D_GL_1!K48 + 1*D_GR_1!K48 + 1*D_LU_1!K48 + 1*D_LU_2!K48 + 1*D_NE_1!K48 + 1*D_NE_2!K48 + D_SG_1!K48 + D_SG_2!K48 + D_SG_3!K48 + D_SO_1!K48 + D_TG_1!K48 + D_TI_1!K48 + D_VD_2!K48 + D_VS_1!K48 + D_VS_2!K48 + D_VS_3!K48 + D_ZH_1!K48 + D_ZH_2!K48 + D_ZH_3!K48 + D_ZH_4!K48 + D_ZH_5!K48 + D_ZH_6!K48</f>
        <v>216477.64499116756</v>
      </c>
      <c r="L46" s="102">
        <f xml:space="preserve"> 1*D_AG_1!L48 + 1*D_AG_2!L48 + 1*D_AG_3!L48 + 1*D_BE_1!L48 + 1*D_BE_2!L48 + 1*D_BE_3!L48 + 1*D_BS_1!L48 + 1*D_FR_1!L48 + 1*D_GE_1!L48 + 1*D_GL_1!L48 + 1*D_GR_1!L48 + 1*D_LU_1!L48 + 1*D_LU_2!L48 + 1*D_NE_1!L48 + 1*D_NE_2!L48 + D_SG_1!L48 + D_SG_2!L48 + D_SG_3!L48 + D_SO_1!L48 + D_TG_1!L48 + D_TI_1!L48 + D_VD_2!L48 + D_VS_1!L48 + D_VS_2!L48 + D_VS_3!L48 + D_ZH_1!L48 + D_ZH_2!L48 + D_ZH_3!L48 + D_ZH_4!L48 + D_ZH_5!L48 + D_ZH_6!L48</f>
        <v>230410.8432058281</v>
      </c>
      <c r="M46" s="102">
        <f xml:space="preserve"> 1*D_AG_1!M48 + 1*D_AG_2!M48 + 1*D_AG_3!M48 + 1*D_BE_1!M48 + 1*D_BE_2!M48 + 1*D_BE_3!M48 + 1*D_BS_1!M48 + 1*D_FR_1!M48 + 1*D_GE_1!M48 + 1*D_GL_1!M48 + 1*D_GR_1!M48 + 1*D_LU_1!M48 + 1*D_LU_2!M48 + 1*D_NE_1!M48 + 1*D_NE_2!M48 + D_SG_1!M48 + D_SG_2!M48 + D_SG_3!M48 + D_SO_1!M48 + D_TG_1!M48 + D_TI_1!M48 + D_VD_2!M48 + D_VS_1!M48 + D_VS_2!M48 + D_VS_3!M48 + D_ZH_1!M48 + D_ZH_2!M48 + D_ZH_3!M48 + D_ZH_4!M48 + D_ZH_5!M48 + D_ZH_6!M48</f>
        <v>235820.53371600001</v>
      </c>
      <c r="N46" s="102">
        <f xml:space="preserve"> 1*D_AG_1!N48 + 1*D_AG_2!N48 + 1*D_AG_3!N48 + 1*D_BE_1!N48 + 1*D_BE_2!N48 + 1*D_BE_3!N48 + 1*D_BS_1!N48 + 1*D_FR_1!N48 + 1*D_GE_1!N48 + 1*D_GL_1!N48 + 1*D_GR_1!N48 + 1*D_LU_1!N48 + 1*D_LU_2!N48 + 1*D_NE_1!N48 + 1*D_NE_2!N48 + D_SG_1!N48 + D_SG_2!N48 + D_SG_3!N48 + D_SO_1!N48 + D_TG_1!N48 + D_TI_1!N48 + D_VD_2!N48 + D_VS_1!N48 + D_VS_2!N48 + D_VS_3!N48 + D_ZH_1!N48 + D_ZH_2!N48 + D_ZH_3!N48 + D_ZH_4!N48 + D_ZH_5!N48 + D_ZH_6!N48</f>
        <v>254371.05728021974</v>
      </c>
      <c r="O46" s="102">
        <f xml:space="preserve"> 1*D_AG_1!O48 + 1*D_AG_2!O48 + 1*D_AG_3!O48 + 1*D_BE_1!O48 + 1*D_BE_2!O48 + 1*D_BE_3!O48 + 1*D_BS_1!O48 + 1*D_FR_1!O48 + 1*D_GE_1!O48 + 1*D_GL_1!O48 + 1*D_GR_1!O48 + 1*D_LU_1!O48 + 1*D_LU_2!O48 + 1*D_NE_1!O48 + 1*D_NE_2!O48 + D_SG_1!O48 + D_SG_2!O48 + D_SG_3!O48 + D_SO_1!O48 + D_TG_1!O48 + D_TI_1!O48 + D_VD_2!O48 + D_VS_1!O48 + D_VS_2!O48 + D_VS_3!O48 + D_ZH_1!O48 + D_ZH_2!O48 + D_ZH_3!O48 + D_ZH_4!O48 + D_ZH_5!O48 + D_ZH_6!O48</f>
        <v>273893.96196931635</v>
      </c>
      <c r="P46" s="102">
        <f xml:space="preserve"> 1*D_AG_1!P48 + 1*D_AG_2!P48 + 1*D_AG_3!P48 + 1*D_BE_1!P48 + 1*D_BE_2!P48 + 1*D_BE_3!P48 + 1*D_BS_1!P48 + 1*D_FR_1!P48 + 1*D_GE_1!P48 + 1*D_GL_1!P48 + 1*D_GR_1!P48 + 1*D_LU_1!P48 + 1*D_LU_2!P48 + 1*D_NE_1!P48 + 1*D_NE_2!P48 + D_SG_1!P48 + D_SG_2!P48 + D_SG_3!P48 + D_SO_1!P48 + D_TG_1!P48 + D_TI_1!P48 + D_VD_2!P48 + D_VS_1!P48 + D_VS_2!P48 + D_VS_3!P48 + D_ZH_1!P48 + D_ZH_2!P48 + D_ZH_3!P48 + D_ZH_4!P48 + D_ZH_5!P48 + D_ZH_6!P48</f>
        <v>263560.07526921062</v>
      </c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2:28" x14ac:dyDescent="0.3">
      <c r="B47" s="40" t="s">
        <v>151</v>
      </c>
      <c r="C47" s="41" t="s">
        <v>95</v>
      </c>
      <c r="D47" s="102">
        <f>D44+D45+D46</f>
        <v>794464.64972900855</v>
      </c>
      <c r="E47" s="102">
        <f t="shared" ref="E47:P47" si="0">E44+E45+E46</f>
        <v>848667.34332630737</v>
      </c>
      <c r="F47" s="102">
        <f t="shared" si="0"/>
        <v>852551.70828229492</v>
      </c>
      <c r="G47" s="102">
        <f t="shared" si="0"/>
        <v>864389.28696272697</v>
      </c>
      <c r="H47" s="102">
        <f t="shared" si="0"/>
        <v>941087.02714048082</v>
      </c>
      <c r="I47" s="102">
        <f t="shared" si="0"/>
        <v>1002178.4975522581</v>
      </c>
      <c r="J47" s="102">
        <f t="shared" si="0"/>
        <v>1077891.1236687552</v>
      </c>
      <c r="K47" s="102">
        <f t="shared" si="0"/>
        <v>1111665.9377902162</v>
      </c>
      <c r="L47" s="102">
        <f t="shared" si="0"/>
        <v>1164730.4650274534</v>
      </c>
      <c r="M47" s="102">
        <f t="shared" si="0"/>
        <v>1223145.6925166822</v>
      </c>
      <c r="N47" s="102">
        <f t="shared" si="0"/>
        <v>1256790.6181752793</v>
      </c>
      <c r="O47" s="102">
        <f t="shared" si="0"/>
        <v>1263376.6239536647</v>
      </c>
      <c r="P47" s="102">
        <f t="shared" si="0"/>
        <v>1270112.1686400881</v>
      </c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2:28" ht="22.5" customHeight="1" x14ac:dyDescent="0.3">
      <c r="B48" s="68" t="s">
        <v>152</v>
      </c>
      <c r="C48" s="69" t="s">
        <v>95</v>
      </c>
      <c r="D48" s="103">
        <f xml:space="preserve"> D42-D44-D45-D46</f>
        <v>1157817.1647408793</v>
      </c>
      <c r="E48" s="103">
        <f t="shared" ref="E48:P48" si="1" xml:space="preserve"> E42-E44-E45-E46</f>
        <v>1119278.0143842066</v>
      </c>
      <c r="F48" s="103">
        <f t="shared" si="1"/>
        <v>1157937.9717339929</v>
      </c>
      <c r="G48" s="103">
        <f t="shared" si="1"/>
        <v>1090896.3397858324</v>
      </c>
      <c r="H48" s="103">
        <f t="shared" si="1"/>
        <v>1043116.9803532489</v>
      </c>
      <c r="I48" s="103">
        <f t="shared" si="1"/>
        <v>1040856.5907327805</v>
      </c>
      <c r="J48" s="103">
        <f t="shared" si="1"/>
        <v>1038577.426568263</v>
      </c>
      <c r="K48" s="103">
        <f t="shared" si="1"/>
        <v>1012831.744256241</v>
      </c>
      <c r="L48" s="103">
        <f t="shared" si="1"/>
        <v>977687.60905899352</v>
      </c>
      <c r="M48" s="103">
        <f t="shared" si="1"/>
        <v>932509.2904879906</v>
      </c>
      <c r="N48" s="103">
        <f t="shared" si="1"/>
        <v>904423.80464042875</v>
      </c>
      <c r="O48" s="103">
        <f t="shared" si="1"/>
        <v>859818.25167492533</v>
      </c>
      <c r="P48" s="103">
        <f t="shared" si="1"/>
        <v>768231.39499074803</v>
      </c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2:28" ht="225" customHeight="1" x14ac:dyDescent="0.3">
      <c r="B49" s="62"/>
      <c r="C49" s="62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</row>
    <row r="50" spans="2:28" x14ac:dyDescent="0.3"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</row>
    <row r="51" spans="2:28" x14ac:dyDescent="0.3"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</row>
    <row r="52" spans="2:28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</row>
    <row r="53" spans="2:28" ht="36.6" customHeight="1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</row>
    <row r="54" spans="2:28" ht="34.799999999999997" customHeight="1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O54" s="62"/>
      <c r="P54" s="62"/>
      <c r="Q54" s="62"/>
      <c r="R54" s="62"/>
      <c r="S54" s="62"/>
    </row>
    <row r="55" spans="2:28" x14ac:dyDescent="0.3">
      <c r="B55" s="40" t="s">
        <v>153</v>
      </c>
      <c r="C55" s="41" t="s">
        <v>95</v>
      </c>
      <c r="D55" s="43">
        <f xml:space="preserve"> 1*D_AG_1!D56 + 1*D_AG_2!D56 + 1*D_AG_3!D56 + 1*D_BE_1!D56 + 1*D_BE_2!D56 + 1*D_BE_3!D56 + 1*D_BS_1!D56 + 1*D_FR_1!D56 + 1*D_GE_1!D56 + 1*D_GL_1!D56 + 1*D_GR_1!D56 + 1*D_LU_1!D56 + 1*D_LU_2!D56 + 1*D_NE_1!D56 + 1*D_NE_2!D56 + D_SG_1!D56 + D_SG_2!D56 + D_SG_3!D56 + D_SO_1!D56 + D_TG_1!D56 + D_TI_1!D56 + D_VD_2!D56 + D_VS_1!D56 + D_VS_2!D56 + D_VS_3!D56 + D_ZH_1!D56 + D_ZH_2!D56 + D_ZH_3!D56 + D_ZH_4!D56 + D_ZH_5!D56 + D_ZH_6!D56</f>
        <v>0</v>
      </c>
      <c r="E55" s="43">
        <f xml:space="preserve"> 1*D_AG_1!E56 + 1*D_AG_2!E56 + 1*D_AG_3!E56 + 1*D_BE_1!E56 + 1*D_BE_2!E56 + 1*D_BE_3!E56 + 1*D_BS_1!E56 + 1*D_FR_1!E56 + 1*D_GE_1!E56 + 1*D_GL_1!E56 + 1*D_GR_1!E56 + 1*D_LU_1!E56 + 1*D_LU_2!E56 + 1*D_NE_1!E56 + 1*D_NE_2!E56 + D_SG_1!E56 + D_SG_2!E56 + D_SG_3!E56 + D_SO_1!E56 + D_TG_1!E56 + D_TI_1!E56 + D_VD_2!E56 + D_VS_1!E56 + D_VS_2!E56 + D_VS_3!E56 + D_ZH_1!E56 + D_ZH_2!E56 + D_ZH_3!E56 + D_ZH_4!E56 + D_ZH_5!E56 + D_ZH_6!E56</f>
        <v>146</v>
      </c>
      <c r="F55" s="43">
        <f xml:space="preserve"> 1*D_AG_1!F56 + 1*D_AG_2!F56 + 1*D_AG_3!F56 + 1*D_BE_1!F56 + 1*D_BE_2!F56 + 1*D_BE_3!F56 + 1*D_BS_1!F56 + 1*D_FR_1!F56 + 1*D_GE_1!F56 + 1*D_GL_1!F56 + 1*D_GR_1!F56 + 1*D_LU_1!F56 + 1*D_LU_2!F56 + 1*D_NE_1!F56 + 1*D_NE_2!F56 + D_SG_1!F56 + D_SG_2!F56 + D_SG_3!F56 + D_SO_1!F56 + D_TG_1!F56 + D_TI_1!F56 + D_VD_2!F56 + D_VS_1!F56 + D_VS_2!F56 + D_VS_3!F56 + D_ZH_1!F56 + D_ZH_2!F56 + D_ZH_3!F56 + D_ZH_4!F56 + D_ZH_5!F56 + D_ZH_6!F56</f>
        <v>669</v>
      </c>
      <c r="G55" s="43">
        <f xml:space="preserve"> 1*D_AG_1!G56 + 1*D_AG_2!G56 + 1*D_AG_3!G56 + 1*D_BE_1!G56 + 1*D_BE_2!G56 + 1*D_BE_3!G56 + 1*D_BS_1!G56 + 1*D_FR_1!G56 + 1*D_GE_1!G56 + 1*D_GL_1!G56 + 1*D_GR_1!G56 + 1*D_LU_1!G56 + 1*D_LU_2!G56 + 1*D_NE_1!G56 + 1*D_NE_2!G56 + D_SG_1!G56 + D_SG_2!G56 + D_SG_3!G56 + D_SO_1!G56 + D_TG_1!G56 + D_TI_1!G56 + D_VD_2!G56 + D_VS_1!G56 + D_VS_2!G56 + D_VS_3!G56 + D_ZH_1!G56 + D_ZH_2!G56 + D_ZH_3!G56 + D_ZH_4!G56 + D_ZH_5!G56 + D_ZH_6!G56</f>
        <v>2802</v>
      </c>
      <c r="H55" s="43">
        <f xml:space="preserve"> 1*D_AG_1!H56 + 1*D_AG_2!H56 + 1*D_AG_3!H56 + 1*D_BE_1!H56 + 1*D_BE_2!H56 + 1*D_BE_3!H56 + 1*D_BS_1!H56 + 1*D_FR_1!H56 + 1*D_GE_1!H56 + 1*D_GL_1!H56 + 1*D_GR_1!H56 + 1*D_LU_1!H56 + 1*D_LU_2!H56 + 1*D_NE_1!H56 + 1*D_NE_2!H56 + D_SG_1!H56 + D_SG_2!H56 + D_SG_3!H56 + D_SO_1!H56 + D_TG_1!H56 + D_TI_1!H56 + D_VD_2!H56 + D_VS_1!H56 + D_VS_2!H56 + D_VS_3!H56 + D_ZH_1!H56 + D_ZH_2!H56 + D_ZH_3!H56 + D_ZH_4!H56 + D_ZH_5!H56 + D_ZH_6!H56</f>
        <v>5136</v>
      </c>
      <c r="I55" s="43">
        <f xml:space="preserve"> 1*D_AG_1!I56 + 1*D_AG_2!I56 + 1*D_AG_3!I56 + 1*D_BE_1!I56 + 1*D_BE_2!I56 + 1*D_BE_3!I56 + 1*D_BS_1!I56 + 1*D_FR_1!I56 + 1*D_GE_1!I56 + 1*D_GL_1!I56 + 1*D_GR_1!I56 + 1*D_LU_1!I56 + 1*D_LU_2!I56 + 1*D_NE_1!I56 + 1*D_NE_2!I56 + D_SG_1!I56 + D_SG_2!I56 + D_SG_3!I56 + D_SO_1!I56 + D_TG_1!I56 + D_TI_1!I56 + D_VD_2!I56 + D_VS_1!I56 + D_VS_2!I56 + D_VS_3!I56 + D_ZH_1!I56 + D_ZH_2!I56 + D_ZH_3!I56 + D_ZH_4!I56 + D_ZH_5!I56 + D_ZH_6!I56</f>
        <v>8019</v>
      </c>
      <c r="J55" s="43">
        <f xml:space="preserve"> 1*D_AG_1!J56 + 1*D_AG_2!J56 + 1*D_AG_3!J56 + 1*D_BE_1!J56 + 1*D_BE_2!J56 + 1*D_BE_3!J56 + 1*D_BS_1!J56 + 1*D_FR_1!J56 + 1*D_GE_1!J56 + 1*D_GL_1!J56 + 1*D_GR_1!J56 + 1*D_LU_1!J56 + 1*D_LU_2!J56 + 1*D_NE_1!J56 + 1*D_NE_2!J56 + D_SG_1!J56 + D_SG_2!J56 + D_SG_3!J56 + D_SO_1!J56 + D_TG_1!J56 + D_TI_1!J56 + D_VD_2!J56 + D_VS_1!J56 + D_VS_2!J56 + D_VS_3!J56 + D_ZH_1!J56 + D_ZH_2!J56 + D_ZH_3!J56 + D_ZH_4!J56 + D_ZH_5!J56 + D_ZH_6!J56</f>
        <v>12569</v>
      </c>
      <c r="K55" s="43">
        <f xml:space="preserve"> 1*D_AG_1!K56 + 1*D_AG_2!K56 + 1*D_AG_3!K56 + 1*D_BE_1!K56 + 1*D_BE_2!K56 + 1*D_BE_3!K56 + 1*D_BS_1!K56 + 1*D_FR_1!K56 + 1*D_GE_1!K56 + 1*D_GL_1!K56 + 1*D_GR_1!K56 + 1*D_LU_1!K56 + 1*D_LU_2!K56 + 1*D_NE_1!K56 + 1*D_NE_2!K56 + D_SG_1!K56 + D_SG_2!K56 + D_SG_3!K56 + D_SO_1!K56 + D_TG_1!K56 + D_TI_1!K56 + D_VD_2!K56 + D_VS_1!K56 + D_VS_2!K56 + D_VS_3!K56 + D_ZH_1!K56 + D_ZH_2!K56 + D_ZH_3!K56 + D_ZH_4!K56 + D_ZH_5!K56 + D_ZH_6!K56</f>
        <v>17353</v>
      </c>
      <c r="L55" s="43">
        <f xml:space="preserve"> 1*D_AG_1!L56 + 1*D_AG_2!L56 + 1*D_AG_3!L56 + 1*D_BE_1!L56 + 1*D_BE_2!L56 + 1*D_BE_3!L56 + 1*D_BS_1!L56 + 1*D_FR_1!L56 + 1*D_GE_1!L56 + 1*D_GL_1!L56 + 1*D_GR_1!L56 + 1*D_LU_1!L56 + 1*D_LU_2!L56 + 1*D_NE_1!L56 + 1*D_NE_2!L56 + D_SG_1!L56 + D_SG_2!L56 + D_SG_3!L56 + D_SO_1!L56 + D_TG_1!L56 + D_TI_1!L56 + D_VD_2!L56 + D_VS_1!L56 + D_VS_2!L56 + D_VS_3!L56 + D_ZH_1!L56 + D_ZH_2!L56 + D_ZH_3!L56 + D_ZH_4!L56 + D_ZH_5!L56 + D_ZH_6!L56</f>
        <v>20899</v>
      </c>
      <c r="M55" s="43">
        <f xml:space="preserve"> 1*D_AG_1!M56 + 1*D_AG_2!M56 + 1*D_AG_3!M56 + 1*D_BE_1!M56 + 1*D_BE_2!M56 + 1*D_BE_3!M56 + 1*D_BS_1!M56 + 1*D_FR_1!M56 + 1*D_GE_1!M56 + 1*D_GL_1!M56 + 1*D_GR_1!M56 + 1*D_LU_1!M56 + 1*D_LU_2!M56 + 1*D_NE_1!M56 + 1*D_NE_2!M56 + D_SG_1!M56 + D_SG_2!M56 + D_SG_3!M56 + D_SO_1!M56 + D_TG_1!M56 + D_TI_1!M56 + D_VD_2!M56 + D_VS_1!M56 + D_VS_2!M56 + D_VS_3!M56 + D_ZH_1!M56 + D_ZH_2!M56 + D_ZH_3!M56 + D_ZH_4!M56 + D_ZH_5!M56 + D_ZH_6!M56</f>
        <v>39868</v>
      </c>
      <c r="N55" s="43">
        <f xml:space="preserve"> 1*D_AG_1!N56 + 1*D_AG_2!N56 + 1*D_AG_3!N56 + 1*D_BE_1!N56 + 1*D_BE_2!N56 + 1*D_BE_3!N56 + 1*D_BS_1!N56 + 1*D_FR_1!N56 + 1*D_GE_1!N56 + 1*D_GL_1!N56 + 1*D_GR_1!N56 + 1*D_LU_1!N56 + 1*D_LU_2!N56 + 1*D_NE_1!N56 + 1*D_NE_2!N56 + D_SG_1!N56 + D_SG_2!N56 + D_SG_3!N56 + D_SO_1!N56 + D_TG_1!N56 + D_TI_1!N56 + D_VD_2!N56 + D_VS_1!N56 + D_VS_2!N56 + D_VS_3!N56 + D_ZH_1!N56 + D_ZH_2!N56 + D_ZH_3!N56 + D_ZH_4!N56 + D_ZH_5!N56 + D_ZH_6!N56</f>
        <v>43102</v>
      </c>
      <c r="O55" s="43">
        <f xml:space="preserve"> 1*D_AG_1!O56 + 1*D_AG_2!O56 + 1*D_AG_3!O56 + 1*D_BE_1!O56 + 1*D_BE_2!O56 + 1*D_BE_3!O56 + 1*D_BS_1!O56 + 1*D_FR_1!O56 + 1*D_GE_1!O56 + 1*D_GL_1!O56 + 1*D_GR_1!O56 + 1*D_LU_1!O56 + 1*D_LU_2!O56 + 1*D_NE_1!O56 + 1*D_NE_2!O56 + D_SG_1!O56 + D_SG_2!O56 + D_SG_3!O56 + D_SO_1!O56 + D_TG_1!O56 + D_TI_1!O56 + D_VD_2!O56 + D_VS_1!O56 + D_VS_2!O56 + D_VS_3!O56 + D_ZH_1!O56 + D_ZH_2!O56 + D_ZH_3!O56 + D_ZH_4!O56 + D_ZH_5!O56 + D_ZH_6!O56</f>
        <v>49444</v>
      </c>
      <c r="P55" s="43">
        <f xml:space="preserve"> 1*D_AG_1!P56 + 1*D_AG_2!P56 + 1*D_AG_3!P56 + 1*D_BE_1!P56 + 1*D_BE_2!P56 + 1*D_BE_3!P56 + 1*D_BS_1!P56 + 1*D_FR_1!P56 + 1*D_GE_1!P56 + 1*D_GL_1!P56 + 1*D_GR_1!P56 + 1*D_LU_1!P56 + 1*D_LU_2!P56 + 1*D_NE_1!P56 + 1*D_NE_2!P56 + D_SG_1!P56 + D_SG_2!P56 + D_SG_3!P56 + D_SO_1!P56 + D_TG_1!P56 + D_TI_1!P56 + D_VD_2!P56 + D_VS_1!P56 + D_VS_2!P56 + D_VS_3!P56 + D_ZH_1!P56 + D_ZH_2!P56 + D_ZH_3!P56 + D_ZH_4!P56 + D_ZH_5!P56 + D_ZH_6!P56</f>
        <v>47875</v>
      </c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</row>
    <row r="56" spans="2:28" x14ac:dyDescent="0.3">
      <c r="B56" s="40" t="s">
        <v>154</v>
      </c>
      <c r="C56" s="41" t="s">
        <v>95</v>
      </c>
      <c r="D56" s="43">
        <f xml:space="preserve"> 1*D_AG_1!D57 + 1*D_AG_2!D57 + 1*D_AG_3!D57 + 1*D_BE_1!D57 + 1*D_BE_2!D57 + 1*D_BE_3!D57 + 1*D_BS_1!D57 + 1*D_FR_1!D57 + 1*D_GE_1!D57 + 1*D_GL_1!D57 + 1*D_GR_1!D57 + 1*D_LU_1!D57 + 1*D_LU_2!D57 + 1*D_NE_1!D57 + 1*D_NE_2!D57 + D_SG_1!D57 + D_SG_2!D57 + D_SG_3!D57 + D_SO_1!D57 + D_TG_1!D57 + D_TI_1!D57 + D_VD_2!D57 + D_VS_1!D57 + D_VS_2!D57 + D_VS_3!D57 + D_ZH_1!D57 + D_ZH_2!D57 + D_ZH_3!D57 + D_ZH_4!D57 + D_ZH_5!D57 + D_ZH_6!D57</f>
        <v>0</v>
      </c>
      <c r="E56" s="43">
        <f xml:space="preserve"> 1*D_AG_1!E57 + 1*D_AG_2!E57 + 1*D_AG_3!E57 + 1*D_BE_1!E57 + 1*D_BE_2!E57 + 1*D_BE_3!E57 + 1*D_BS_1!E57 + 1*D_FR_1!E57 + 1*D_GE_1!E57 + 1*D_GL_1!E57 + 1*D_GR_1!E57 + 1*D_LU_1!E57 + 1*D_LU_2!E57 + 1*D_NE_1!E57 + 1*D_NE_2!E57 + D_SG_1!E57 + D_SG_2!E57 + D_SG_3!E57 + D_SO_1!E57 + D_TG_1!E57 + D_TI_1!E57 + D_VD_2!E57 + D_VS_1!E57 + D_VS_2!E57 + D_VS_3!E57 + D_ZH_1!E57 + D_ZH_2!E57 + D_ZH_3!E57 + D_ZH_4!E57 + D_ZH_5!E57 + D_ZH_6!E57</f>
        <v>0</v>
      </c>
      <c r="F56" s="43">
        <f xml:space="preserve"> 1*D_AG_1!F57 + 1*D_AG_2!F57 + 1*D_AG_3!F57 + 1*D_BE_1!F57 + 1*D_BE_2!F57 + 1*D_BE_3!F57 + 1*D_BS_1!F57 + 1*D_FR_1!F57 + 1*D_GE_1!F57 + 1*D_GL_1!F57 + 1*D_GR_1!F57 + 1*D_LU_1!F57 + 1*D_LU_2!F57 + 1*D_NE_1!F57 + 1*D_NE_2!F57 + D_SG_1!F57 + D_SG_2!F57 + D_SG_3!F57 + D_SO_1!F57 + D_TG_1!F57 + D_TI_1!F57 + D_VD_2!F57 + D_VS_1!F57 + D_VS_2!F57 + D_VS_3!F57 + D_ZH_1!F57 + D_ZH_2!F57 + D_ZH_3!F57 + D_ZH_4!F57 + D_ZH_5!F57 + D_ZH_6!F57</f>
        <v>0</v>
      </c>
      <c r="G56" s="43">
        <f xml:space="preserve"> 1*D_AG_1!G57 + 1*D_AG_2!G57 + 1*D_AG_3!G57 + 1*D_BE_1!G57 + 1*D_BE_2!G57 + 1*D_BE_3!G57 + 1*D_BS_1!G57 + 1*D_FR_1!G57 + 1*D_GE_1!G57 + 1*D_GL_1!G57 + 1*D_GR_1!G57 + 1*D_LU_1!G57 + 1*D_LU_2!G57 + 1*D_NE_1!G57 + 1*D_NE_2!G57 + D_SG_1!G57 + D_SG_2!G57 + D_SG_3!G57 + D_SO_1!G57 + D_TG_1!G57 + D_TI_1!G57 + D_VD_2!G57 + D_VS_1!G57 + D_VS_2!G57 + D_VS_3!G57 + D_ZH_1!G57 + D_ZH_2!G57 + D_ZH_3!G57 + D_ZH_4!G57 + D_ZH_5!G57 + D_ZH_6!G57</f>
        <v>0</v>
      </c>
      <c r="H56" s="43">
        <f xml:space="preserve"> 1*D_AG_1!H57 + 1*D_AG_2!H57 + 1*D_AG_3!H57 + 1*D_BE_1!H57 + 1*D_BE_2!H57 + 1*D_BE_3!H57 + 1*D_BS_1!H57 + 1*D_FR_1!H57 + 1*D_GE_1!H57 + 1*D_GL_1!H57 + 1*D_GR_1!H57 + 1*D_LU_1!H57 + 1*D_LU_2!H57 + 1*D_NE_1!H57 + 1*D_NE_2!H57 + D_SG_1!H57 + D_SG_2!H57 + D_SG_3!H57 + D_SO_1!H57 + D_TG_1!H57 + D_TI_1!H57 + D_VD_2!H57 + D_VS_1!H57 + D_VS_2!H57 + D_VS_3!H57 + D_ZH_1!H57 + D_ZH_2!H57 + D_ZH_3!H57 + D_ZH_4!H57 + D_ZH_5!H57 + D_ZH_6!H57</f>
        <v>0</v>
      </c>
      <c r="I56" s="43">
        <f xml:space="preserve"> 1*D_AG_1!I57 + 1*D_AG_2!I57 + 1*D_AG_3!I57 + 1*D_BE_1!I57 + 1*D_BE_2!I57 + 1*D_BE_3!I57 + 1*D_BS_1!I57 + 1*D_FR_1!I57 + 1*D_GE_1!I57 + 1*D_GL_1!I57 + 1*D_GR_1!I57 + 1*D_LU_1!I57 + 1*D_LU_2!I57 + 1*D_NE_1!I57 + 1*D_NE_2!I57 + D_SG_1!I57 + D_SG_2!I57 + D_SG_3!I57 + D_SO_1!I57 + D_TG_1!I57 + D_TI_1!I57 + D_VD_2!I57 + D_VS_1!I57 + D_VS_2!I57 + D_VS_3!I57 + D_ZH_1!I57 + D_ZH_2!I57 + D_ZH_3!I57 + D_ZH_4!I57 + D_ZH_5!I57 + D_ZH_6!I57</f>
        <v>0</v>
      </c>
      <c r="J56" s="43">
        <f xml:space="preserve"> 1*D_AG_1!J57 + 1*D_AG_2!J57 + 1*D_AG_3!J57 + 1*D_BE_1!J57 + 1*D_BE_2!J57 + 1*D_BE_3!J57 + 1*D_BS_1!J57 + 1*D_FR_1!J57 + 1*D_GE_1!J57 + 1*D_GL_1!J57 + 1*D_GR_1!J57 + 1*D_LU_1!J57 + 1*D_LU_2!J57 + 1*D_NE_1!J57 + 1*D_NE_2!J57 + D_SG_1!J57 + D_SG_2!J57 + D_SG_3!J57 + D_SO_1!J57 + D_TG_1!J57 + D_TI_1!J57 + D_VD_2!J57 + D_VS_1!J57 + D_VS_2!J57 + D_VS_3!J57 + D_ZH_1!J57 + D_ZH_2!J57 + D_ZH_3!J57 + D_ZH_4!J57 + D_ZH_5!J57 + D_ZH_6!J57</f>
        <v>0</v>
      </c>
      <c r="K56" s="43">
        <f xml:space="preserve"> 1*D_AG_1!K57 + 1*D_AG_2!K57 + 1*D_AG_3!K57 + 1*D_BE_1!K57 + 1*D_BE_2!K57 + 1*D_BE_3!K57 + 1*D_BS_1!K57 + 1*D_FR_1!K57 + 1*D_GE_1!K57 + 1*D_GL_1!K57 + 1*D_GR_1!K57 + 1*D_LU_1!K57 + 1*D_LU_2!K57 + 1*D_NE_1!K57 + 1*D_NE_2!K57 + D_SG_1!K57 + D_SG_2!K57 + D_SG_3!K57 + D_SO_1!K57 + D_TG_1!K57 + D_TI_1!K57 + D_VD_2!K57 + D_VS_1!K57 + D_VS_2!K57 + D_VS_3!K57 + D_ZH_1!K57 + D_ZH_2!K57 + D_ZH_3!K57 + D_ZH_4!K57 + D_ZH_5!K57 + D_ZH_6!K57</f>
        <v>0</v>
      </c>
      <c r="L56" s="43">
        <f xml:space="preserve"> 1*D_AG_1!L57 + 1*D_AG_2!L57 + 1*D_AG_3!L57 + 1*D_BE_1!L57 + 1*D_BE_2!L57 + 1*D_BE_3!L57 + 1*D_BS_1!L57 + 1*D_FR_1!L57 + 1*D_GE_1!L57 + 1*D_GL_1!L57 + 1*D_GR_1!L57 + 1*D_LU_1!L57 + 1*D_LU_2!L57 + 1*D_NE_1!L57 + 1*D_NE_2!L57 + D_SG_1!L57 + D_SG_2!L57 + D_SG_3!L57 + D_SO_1!L57 + D_TG_1!L57 + D_TI_1!L57 + D_VD_2!L57 + D_VS_1!L57 + D_VS_2!L57 + D_VS_3!L57 + D_ZH_1!L57 + D_ZH_2!L57 + D_ZH_3!L57 + D_ZH_4!L57 + D_ZH_5!L57 + D_ZH_6!L57</f>
        <v>0</v>
      </c>
      <c r="M56" s="43">
        <f xml:space="preserve"> 1*D_AG_1!M57 + 1*D_AG_2!M57 + 1*D_AG_3!M57 + 1*D_BE_1!M57 + 1*D_BE_2!M57 + 1*D_BE_3!M57 + 1*D_BS_1!M57 + 1*D_FR_1!M57 + 1*D_GE_1!M57 + 1*D_GL_1!M57 + 1*D_GR_1!M57 + 1*D_LU_1!M57 + 1*D_LU_2!M57 + 1*D_NE_1!M57 + 1*D_NE_2!M57 + D_SG_1!M57 + D_SG_2!M57 + D_SG_3!M57 + D_SO_1!M57 + D_TG_1!M57 + D_TI_1!M57 + D_VD_2!M57 + D_VS_1!M57 + D_VS_2!M57 + D_VS_3!M57 + D_ZH_1!M57 + D_ZH_2!M57 + D_ZH_3!M57 + D_ZH_4!M57 + D_ZH_5!M57 + D_ZH_6!M57</f>
        <v>0</v>
      </c>
      <c r="N56" s="43">
        <f xml:space="preserve"> 1*D_AG_1!N57 + 1*D_AG_2!N57 + 1*D_AG_3!N57 + 1*D_BE_1!N57 + 1*D_BE_2!N57 + 1*D_BE_3!N57 + 1*D_BS_1!N57 + 1*D_FR_1!N57 + 1*D_GE_1!N57 + 1*D_GL_1!N57 + 1*D_GR_1!N57 + 1*D_LU_1!N57 + 1*D_LU_2!N57 + 1*D_NE_1!N57 + 1*D_NE_2!N57 + D_SG_1!N57 + D_SG_2!N57 + D_SG_3!N57 + D_SO_1!N57 + D_TG_1!N57 + D_TI_1!N57 + D_VD_2!N57 + D_VS_1!N57 + D_VS_2!N57 + D_VS_3!N57 + D_ZH_1!N57 + D_ZH_2!N57 + D_ZH_3!N57 + D_ZH_4!N57 + D_ZH_5!N57 + D_ZH_6!N57</f>
        <v>0</v>
      </c>
      <c r="O56" s="63">
        <f xml:space="preserve"> 1*D_AG_1!O57 + 1*D_AG_2!O57 + 1*D_AG_3!O57 + 1*D_BE_1!O57 + 1*D_BE_2!O57 + 1*D_BE_3!O57 + 1*D_BS_1!O57 + 1*D_FR_1!O57 + 1*D_GE_1!O57 + 1*D_GL_1!O57 + 1*D_GR_1!O57 + 1*D_LU_1!O57 + 1*D_LU_2!O57 + 1*D_NE_1!O57 + 1*D_NE_2!O57 + D_SG_1!O57 + D_SG_2!O57 + D_SG_3!O57 + D_SO_1!O57 + D_TG_1!O57 + D_TI_1!O57 + D_VD_2!O57 + D_VS_1!O57 + D_VS_2!O57 + D_VS_3!O57 + D_ZH_1!O57 + D_ZH_2!O57 + D_ZH_3!O57 + D_ZH_4!O57 + D_ZH_5!O57 + D_ZH_6!O57</f>
        <v>0</v>
      </c>
      <c r="P56" s="63">
        <f xml:space="preserve"> 1*D_AG_1!P57 + 1*D_AG_2!P57 + 1*D_AG_3!P57 + 1*D_BE_1!P57 + 1*D_BE_2!P57 + 1*D_BE_3!P57 + 1*D_BS_1!P57 + 1*D_FR_1!P57 + 1*D_GE_1!P57 + 1*D_GL_1!P57 + 1*D_GR_1!P57 + 1*D_LU_1!P57 + 1*D_LU_2!P57 + 1*D_NE_1!P57 + 1*D_NE_2!P57 + D_SG_1!P57 + D_SG_2!P57 + D_SG_3!P57 + D_SO_1!P57 + D_TG_1!P57 + D_TI_1!P57 + D_VD_2!P57 + D_VS_1!P57 + D_VS_2!P57 + D_VS_3!P57 + D_ZH_1!P57 + D_ZH_2!P57 + D_ZH_3!P57 + D_ZH_4!P57 + D_ZH_5!P57 + D_ZH_6!P57</f>
        <v>0</v>
      </c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</row>
    <row r="57" spans="2:28" x14ac:dyDescent="0.3">
      <c r="B57" s="40" t="s">
        <v>155</v>
      </c>
      <c r="C57" s="41" t="s">
        <v>95</v>
      </c>
      <c r="D57" s="43">
        <f xml:space="preserve"> 1*D_AG_1!D58 + 1*D_AG_2!D58 + 1*D_AG_3!D58 + 1*D_BE_1!D58 + 1*D_BE_2!D58 + 1*D_BE_3!D58 + 1*D_BS_1!D58 + 1*D_FR_1!D58 + 1*D_GE_1!D58 + 1*D_GL_1!D58 + 1*D_GR_1!D58 + 1*D_LU_1!D58 + 1*D_LU_2!D58 + 1*D_NE_1!D58 + 1*D_NE_2!D58 + D_SG_1!D58 + D_SG_2!D58 + D_SG_3!D58 + D_SO_1!D58 + D_TG_1!D58 + D_TI_1!D58 + D_VD_2!D58 + D_VS_1!D58 + D_VS_2!D58 + D_VS_3!D58 + D_ZH_1!D58 + D_ZH_2!D58 + D_ZH_3!D58 + D_ZH_4!D58 + D_ZH_5!D58 + D_ZH_6!D58</f>
        <v>0</v>
      </c>
      <c r="E57" s="43">
        <f xml:space="preserve"> 1*D_AG_1!E58 + 1*D_AG_2!E58 + 1*D_AG_3!E58 + 1*D_BE_1!E58 + 1*D_BE_2!E58 + 1*D_BE_3!E58 + 1*D_BS_1!E58 + 1*D_FR_1!E58 + 1*D_GE_1!E58 + 1*D_GL_1!E58 + 1*D_GR_1!E58 + 1*D_LU_1!E58 + 1*D_LU_2!E58 + 1*D_NE_1!E58 + 1*D_NE_2!E58 + D_SG_1!E58 + D_SG_2!E58 + D_SG_3!E58 + D_SO_1!E58 + D_TG_1!E58 + D_TI_1!E58 + D_VD_2!E58 + D_VS_1!E58 + D_VS_2!E58 + D_VS_3!E58 + D_ZH_1!E58 + D_ZH_2!E58 + D_ZH_3!E58 + D_ZH_4!E58 + D_ZH_5!E58 + D_ZH_6!E58</f>
        <v>0</v>
      </c>
      <c r="F57" s="43">
        <f xml:space="preserve"> 1*D_AG_1!F58 + 1*D_AG_2!F58 + 1*D_AG_3!F58 + 1*D_BE_1!F58 + 1*D_BE_2!F58 + 1*D_BE_3!F58 + 1*D_BS_1!F58 + 1*D_FR_1!F58 + 1*D_GE_1!F58 + 1*D_GL_1!F58 + 1*D_GR_1!F58 + 1*D_LU_1!F58 + 1*D_LU_2!F58 + 1*D_NE_1!F58 + 1*D_NE_2!F58 + D_SG_1!F58 + D_SG_2!F58 + D_SG_3!F58 + D_SO_1!F58 + D_TG_1!F58 + D_TI_1!F58 + D_VD_2!F58 + D_VS_1!F58 + D_VS_2!F58 + D_VS_3!F58 + D_ZH_1!F58 + D_ZH_2!F58 + D_ZH_3!F58 + D_ZH_4!F58 + D_ZH_5!F58 + D_ZH_6!F58</f>
        <v>0</v>
      </c>
      <c r="G57" s="43">
        <f xml:space="preserve"> 1*D_AG_1!G58 + 1*D_AG_2!G58 + 1*D_AG_3!G58 + 1*D_BE_1!G58 + 1*D_BE_2!G58 + 1*D_BE_3!G58 + 1*D_BS_1!G58 + 1*D_FR_1!G58 + 1*D_GE_1!G58 + 1*D_GL_1!G58 + 1*D_GR_1!G58 + 1*D_LU_1!G58 + 1*D_LU_2!G58 + 1*D_NE_1!G58 + 1*D_NE_2!G58 + D_SG_1!G58 + D_SG_2!G58 + D_SG_3!G58 + D_SO_1!G58 + D_TG_1!G58 + D_TI_1!G58 + D_VD_2!G58 + D_VS_1!G58 + D_VS_2!G58 + D_VS_3!G58 + D_ZH_1!G58 + D_ZH_2!G58 + D_ZH_3!G58 + D_ZH_4!G58 + D_ZH_5!G58 + D_ZH_6!G58</f>
        <v>13573</v>
      </c>
      <c r="H57" s="43">
        <f xml:space="preserve"> 1*D_AG_1!H58 + 1*D_AG_2!H58 + 1*D_AG_3!H58 + 1*D_BE_1!H58 + 1*D_BE_2!H58 + 1*D_BE_3!H58 + 1*D_BS_1!H58 + 1*D_FR_1!H58 + 1*D_GE_1!H58 + 1*D_GL_1!H58 + 1*D_GR_1!H58 + 1*D_LU_1!H58 + 1*D_LU_2!H58 + 1*D_NE_1!H58 + 1*D_NE_2!H58 + D_SG_1!H58 + D_SG_2!H58 + D_SG_3!H58 + D_SO_1!H58 + D_TG_1!H58 + D_TI_1!H58 + D_VD_2!H58 + D_VS_1!H58 + D_VS_2!H58 + D_VS_3!H58 + D_ZH_1!H58 + D_ZH_2!H58 + D_ZH_3!H58 + D_ZH_4!H58 + D_ZH_5!H58 + D_ZH_6!H58</f>
        <v>14220</v>
      </c>
      <c r="I57" s="43">
        <f xml:space="preserve"> 1*D_AG_1!I58 + 1*D_AG_2!I58 + 1*D_AG_3!I58 + 1*D_BE_1!I58 + 1*D_BE_2!I58 + 1*D_BE_3!I58 + 1*D_BS_1!I58 + 1*D_FR_1!I58 + 1*D_GE_1!I58 + 1*D_GL_1!I58 + 1*D_GR_1!I58 + 1*D_LU_1!I58 + 1*D_LU_2!I58 + 1*D_NE_1!I58 + 1*D_NE_2!I58 + D_SG_1!I58 + D_SG_2!I58 + D_SG_3!I58 + D_SO_1!I58 + D_TG_1!I58 + D_TI_1!I58 + D_VD_2!I58 + D_VS_1!I58 + D_VS_2!I58 + D_VS_3!I58 + D_ZH_1!I58 + D_ZH_2!I58 + D_ZH_3!I58 + D_ZH_4!I58 + D_ZH_5!I58 + D_ZH_6!I58</f>
        <v>14577</v>
      </c>
      <c r="J57" s="43">
        <f xml:space="preserve"> 1*D_AG_1!J58 + 1*D_AG_2!J58 + 1*D_AG_3!J58 + 1*D_BE_1!J58 + 1*D_BE_2!J58 + 1*D_BE_3!J58 + 1*D_BS_1!J58 + 1*D_FR_1!J58 + 1*D_GE_1!J58 + 1*D_GL_1!J58 + 1*D_GR_1!J58 + 1*D_LU_1!J58 + 1*D_LU_2!J58 + 1*D_NE_1!J58 + 1*D_NE_2!J58 + D_SG_1!J58 + D_SG_2!J58 + D_SG_3!J58 + D_SO_1!J58 + D_TG_1!J58 + D_TI_1!J58 + D_VD_2!J58 + D_VS_1!J58 + D_VS_2!J58 + D_VS_3!J58 + D_ZH_1!J58 + D_ZH_2!J58 + D_ZH_3!J58 + D_ZH_4!J58 + D_ZH_5!J58 + D_ZH_6!J58</f>
        <v>13364</v>
      </c>
      <c r="K57" s="43">
        <f xml:space="preserve"> 1*D_AG_1!K58 + 1*D_AG_2!K58 + 1*D_AG_3!K58 + 1*D_BE_1!K58 + 1*D_BE_2!K58 + 1*D_BE_3!K58 + 1*D_BS_1!K58 + 1*D_FR_1!K58 + 1*D_GE_1!K58 + 1*D_GL_1!K58 + 1*D_GR_1!K58 + 1*D_LU_1!K58 + 1*D_LU_2!K58 + 1*D_NE_1!K58 + 1*D_NE_2!K58 + D_SG_1!K58 + D_SG_2!K58 + D_SG_3!K58 + D_SO_1!K58 + D_TG_1!K58 + D_TI_1!K58 + D_VD_2!K58 + D_VS_1!K58 + D_VS_2!K58 + D_VS_3!K58 + D_ZH_1!K58 + D_ZH_2!K58 + D_ZH_3!K58 + D_ZH_4!K58 + D_ZH_5!K58 + D_ZH_6!K58</f>
        <v>18088</v>
      </c>
      <c r="L57" s="43">
        <f xml:space="preserve"> 1*D_AG_1!L58 + 1*D_AG_2!L58 + 1*D_AG_3!L58 + 1*D_BE_1!L58 + 1*D_BE_2!L58 + 1*D_BE_3!L58 + 1*D_BS_1!L58 + 1*D_FR_1!L58 + 1*D_GE_1!L58 + 1*D_GL_1!L58 + 1*D_GR_1!L58 + 1*D_LU_1!L58 + 1*D_LU_2!L58 + 1*D_NE_1!L58 + 1*D_NE_2!L58 + D_SG_1!L58 + D_SG_2!L58 + D_SG_3!L58 + D_SO_1!L58 + D_TG_1!L58 + D_TI_1!L58 + D_VD_2!L58 + D_VS_1!L58 + D_VS_2!L58 + D_VS_3!L58 + D_ZH_1!L58 + D_ZH_2!L58 + D_ZH_3!L58 + D_ZH_4!L58 + D_ZH_5!L58 + D_ZH_6!L58</f>
        <v>19553</v>
      </c>
      <c r="M57" s="43">
        <f xml:space="preserve"> 1*D_AG_1!M58 + 1*D_AG_2!M58 + 1*D_AG_3!M58 + 1*D_BE_1!M58 + 1*D_BE_2!M58 + 1*D_BE_3!M58 + 1*D_BS_1!M58 + 1*D_FR_1!M58 + 1*D_GE_1!M58 + 1*D_GL_1!M58 + 1*D_GR_1!M58 + 1*D_LU_1!M58 + 1*D_LU_2!M58 + 1*D_NE_1!M58 + 1*D_NE_2!M58 + D_SG_1!M58 + D_SG_2!M58 + D_SG_3!M58 + D_SO_1!M58 + D_TG_1!M58 + D_TI_1!M58 + D_VD_2!M58 + D_VS_1!M58 + D_VS_2!M58 + D_VS_3!M58 + D_ZH_1!M58 + D_ZH_2!M58 + D_ZH_3!M58 + D_ZH_4!M58 + D_ZH_5!M58 + D_ZH_6!M58</f>
        <v>20963</v>
      </c>
      <c r="N57" s="43">
        <f xml:space="preserve"> 1*D_AG_1!N58 + 1*D_AG_2!N58 + 1*D_AG_3!N58 + 1*D_BE_1!N58 + 1*D_BE_2!N58 + 1*D_BE_3!N58 + 1*D_BS_1!N58 + 1*D_FR_1!N58 + 1*D_GE_1!N58 + 1*D_GL_1!N58 + 1*D_GR_1!N58 + 1*D_LU_1!N58 + 1*D_LU_2!N58 + 1*D_NE_1!N58 + 1*D_NE_2!N58 + D_SG_1!N58 + D_SG_2!N58 + D_SG_3!N58 + D_SO_1!N58 + D_TG_1!N58 + D_TI_1!N58 + D_VD_2!N58 + D_VS_1!N58 + D_VS_2!N58 + D_VS_3!N58 + D_ZH_1!N58 + D_ZH_2!N58 + D_ZH_3!N58 + D_ZH_4!N58 + D_ZH_5!N58 + D_ZH_6!N58</f>
        <v>20580</v>
      </c>
      <c r="O57" s="63">
        <f xml:space="preserve"> 1*D_AG_1!O58 + 1*D_AG_2!O58 + 1*D_AG_3!O58 + 1*D_BE_1!O58 + 1*D_BE_2!O58 + 1*D_BE_3!O58 + 1*D_BS_1!O58 + 1*D_FR_1!O58 + 1*D_GE_1!O58 + 1*D_GL_1!O58 + 1*D_GR_1!O58 + 1*D_LU_1!O58 + 1*D_LU_2!O58 + 1*D_NE_1!O58 + 1*D_NE_2!O58 + D_SG_1!O58 + D_SG_2!O58 + D_SG_3!O58 + D_SO_1!O58 + D_TG_1!O58 + D_TI_1!O58 + D_VD_2!O58 + D_VS_1!O58 + D_VS_2!O58 + D_VS_3!O58 + D_ZH_1!O58 + D_ZH_2!O58 + D_ZH_3!O58 + D_ZH_4!O58 + D_ZH_5!O58 + D_ZH_6!O58</f>
        <v>0</v>
      </c>
      <c r="P57" s="63">
        <f xml:space="preserve"> 1*D_AG_1!P58 + 1*D_AG_2!P58 + 1*D_AG_3!P58 + 1*D_BE_1!P58 + 1*D_BE_2!P58 + 1*D_BE_3!P58 + 1*D_BS_1!P58 + 1*D_FR_1!P58 + 1*D_GE_1!P58 + 1*D_GL_1!P58 + 1*D_GR_1!P58 + 1*D_LU_1!P58 + 1*D_LU_2!P58 + 1*D_NE_1!P58 + 1*D_NE_2!P58 + D_SG_1!P58 + D_SG_2!P58 + D_SG_3!P58 + D_SO_1!P58 + D_TG_1!P58 + D_TI_1!P58 + D_VD_2!P58 + D_VS_1!P58 + D_VS_2!P58 + D_VS_3!P58 + D_ZH_1!P58 + D_ZH_2!P58 + D_ZH_3!P58 + D_ZH_4!P58 + D_ZH_5!P58 + D_ZH_6!P58</f>
        <v>0</v>
      </c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</row>
    <row r="58" spans="2:28" x14ac:dyDescent="0.3">
      <c r="B58" s="40" t="s">
        <v>155</v>
      </c>
      <c r="C58" s="41" t="s">
        <v>95</v>
      </c>
      <c r="D58" s="43">
        <f xml:space="preserve"> 1*D_AG_1!D59 + 1*D_AG_2!D59 + 1*D_AG_3!D59 + 1*D_BE_1!D59 + 1*D_BE_2!D59 + 1*D_BE_3!D59 + 1*D_BS_1!D59 + 1*D_FR_1!D59 + 1*D_GE_1!D59 + 1*D_GL_1!D59 + 1*D_GR_1!D59 + 1*D_LU_1!D59 + 1*D_LU_2!D59 + 1*D_NE_1!D59 + 1*D_NE_2!D59 + D_SG_1!D59 + D_SG_2!D59 + D_SG_3!D59 + D_SO_1!D59 + D_TG_1!D59 + D_TI_1!D59 + D_VD_2!D59 + D_VS_1!D59 + D_VS_2!D59 + D_VS_3!D59 + D_ZH_1!D59 + D_ZH_2!D59 + D_ZH_3!D59 + D_ZH_4!D59 + D_ZH_5!D59 + D_ZH_6!D59</f>
        <v>0</v>
      </c>
      <c r="E58" s="43">
        <f xml:space="preserve"> 1*D_AG_1!E59 + 1*D_AG_2!E59 + 1*D_AG_3!E59 + 1*D_BE_1!E59 + 1*D_BE_2!E59 + 1*D_BE_3!E59 + 1*D_BS_1!E59 + 1*D_FR_1!E59 + 1*D_GE_1!E59 + 1*D_GL_1!E59 + 1*D_GR_1!E59 + 1*D_LU_1!E59 + 1*D_LU_2!E59 + 1*D_NE_1!E59 + 1*D_NE_2!E59 + D_SG_1!E59 + D_SG_2!E59 + D_SG_3!E59 + D_SO_1!E59 + D_TG_1!E59 + D_TI_1!E59 + D_VD_2!E59 + D_VS_1!E59 + D_VS_2!E59 + D_VS_3!E59 + D_ZH_1!E59 + D_ZH_2!E59 + D_ZH_3!E59 + D_ZH_4!E59 + D_ZH_5!E59 + D_ZH_6!E59</f>
        <v>0</v>
      </c>
      <c r="F58" s="43">
        <f xml:space="preserve"> 1*D_AG_1!F59 + 1*D_AG_2!F59 + 1*D_AG_3!F59 + 1*D_BE_1!F59 + 1*D_BE_2!F59 + 1*D_BE_3!F59 + 1*D_BS_1!F59 + 1*D_FR_1!F59 + 1*D_GE_1!F59 + 1*D_GL_1!F59 + 1*D_GR_1!F59 + 1*D_LU_1!F59 + 1*D_LU_2!F59 + 1*D_NE_1!F59 + 1*D_NE_2!F59 + D_SG_1!F59 + D_SG_2!F59 + D_SG_3!F59 + D_SO_1!F59 + D_TG_1!F59 + D_TI_1!F59 + D_VD_2!F59 + D_VS_1!F59 + D_VS_2!F59 + D_VS_3!F59 + D_ZH_1!F59 + D_ZH_2!F59 + D_ZH_3!F59 + D_ZH_4!F59 + D_ZH_5!F59 + D_ZH_6!F59</f>
        <v>0</v>
      </c>
      <c r="G58" s="43">
        <f xml:space="preserve"> 1*D_AG_1!G59 + 1*D_AG_2!G59 + 1*D_AG_3!G59 + 1*D_BE_1!G59 + 1*D_BE_2!G59 + 1*D_BE_3!G59 + 1*D_BS_1!G59 + 1*D_FR_1!G59 + 1*D_GE_1!G59 + 1*D_GL_1!G59 + 1*D_GR_1!G59 + 1*D_LU_1!G59 + 1*D_LU_2!G59 + 1*D_NE_1!G59 + 1*D_NE_2!G59 + D_SG_1!G59 + D_SG_2!G59 + D_SG_3!G59 + D_SO_1!G59 + D_TG_1!G59 + D_TI_1!G59 + D_VD_2!G59 + D_VS_1!G59 + D_VS_2!G59 + D_VS_3!G59 + D_ZH_1!G59 + D_ZH_2!G59 + D_ZH_3!G59 + D_ZH_4!G59 + D_ZH_5!G59 + D_ZH_6!G59</f>
        <v>0</v>
      </c>
      <c r="H58" s="43">
        <f xml:space="preserve"> 1*D_AG_1!H59 + 1*D_AG_2!H59 + 1*D_AG_3!H59 + 1*D_BE_1!H59 + 1*D_BE_2!H59 + 1*D_BE_3!H59 + 1*D_BS_1!H59 + 1*D_FR_1!H59 + 1*D_GE_1!H59 + 1*D_GL_1!H59 + 1*D_GR_1!H59 + 1*D_LU_1!H59 + 1*D_LU_2!H59 + 1*D_NE_1!H59 + 1*D_NE_2!H59 + D_SG_1!H59 + D_SG_2!H59 + D_SG_3!H59 + D_SO_1!H59 + D_TG_1!H59 + D_TI_1!H59 + D_VD_2!H59 + D_VS_1!H59 + D_VS_2!H59 + D_VS_3!H59 + D_ZH_1!H59 + D_ZH_2!H59 + D_ZH_3!H59 + D_ZH_4!H59 + D_ZH_5!H59 + D_ZH_6!H59</f>
        <v>0</v>
      </c>
      <c r="I58" s="43">
        <f xml:space="preserve"> 1*D_AG_1!I59 + 1*D_AG_2!I59 + 1*D_AG_3!I59 + 1*D_BE_1!I59 + 1*D_BE_2!I59 + 1*D_BE_3!I59 + 1*D_BS_1!I59 + 1*D_FR_1!I59 + 1*D_GE_1!I59 + 1*D_GL_1!I59 + 1*D_GR_1!I59 + 1*D_LU_1!I59 + 1*D_LU_2!I59 + 1*D_NE_1!I59 + 1*D_NE_2!I59 + D_SG_1!I59 + D_SG_2!I59 + D_SG_3!I59 + D_SO_1!I59 + D_TG_1!I59 + D_TI_1!I59 + D_VD_2!I59 + D_VS_1!I59 + D_VS_2!I59 + D_VS_3!I59 + D_ZH_1!I59 + D_ZH_2!I59 + D_ZH_3!I59 + D_ZH_4!I59 + D_ZH_5!I59 + D_ZH_6!I59</f>
        <v>0</v>
      </c>
      <c r="J58" s="43">
        <f xml:space="preserve"> 1*D_AG_1!J59 + 1*D_AG_2!J59 + 1*D_AG_3!J59 + 1*D_BE_1!J59 + 1*D_BE_2!J59 + 1*D_BE_3!J59 + 1*D_BS_1!J59 + 1*D_FR_1!J59 + 1*D_GE_1!J59 + 1*D_GL_1!J59 + 1*D_GR_1!J59 + 1*D_LU_1!J59 + 1*D_LU_2!J59 + 1*D_NE_1!J59 + 1*D_NE_2!J59 + D_SG_1!J59 + D_SG_2!J59 + D_SG_3!J59 + D_SO_1!J59 + D_TG_1!J59 + D_TI_1!J59 + D_VD_2!J59 + D_VS_1!J59 + D_VS_2!J59 + D_VS_3!J59 + D_ZH_1!J59 + D_ZH_2!J59 + D_ZH_3!J59 + D_ZH_4!J59 + D_ZH_5!J59 + D_ZH_6!J59</f>
        <v>0</v>
      </c>
      <c r="K58" s="43">
        <f xml:space="preserve"> 1*D_AG_1!K59 + 1*D_AG_2!K59 + 1*D_AG_3!K59 + 1*D_BE_1!K59 + 1*D_BE_2!K59 + 1*D_BE_3!K59 + 1*D_BS_1!K59 + 1*D_FR_1!K59 + 1*D_GE_1!K59 + 1*D_GL_1!K59 + 1*D_GR_1!K59 + 1*D_LU_1!K59 + 1*D_LU_2!K59 + 1*D_NE_1!K59 + 1*D_NE_2!K59 + D_SG_1!K59 + D_SG_2!K59 + D_SG_3!K59 + D_SO_1!K59 + D_TG_1!K59 + D_TI_1!K59 + D_VD_2!K59 + D_VS_1!K59 + D_VS_2!K59 + D_VS_3!K59 + D_ZH_1!K59 + D_ZH_2!K59 + D_ZH_3!K59 + D_ZH_4!K59 + D_ZH_5!K59 + D_ZH_6!K59</f>
        <v>0</v>
      </c>
      <c r="L58" s="43">
        <f xml:space="preserve"> 1*D_AG_1!L59 + 1*D_AG_2!L59 + 1*D_AG_3!L59 + 1*D_BE_1!L59 + 1*D_BE_2!L59 + 1*D_BE_3!L59 + 1*D_BS_1!L59 + 1*D_FR_1!L59 + 1*D_GE_1!L59 + 1*D_GL_1!L59 + 1*D_GR_1!L59 + 1*D_LU_1!L59 + 1*D_LU_2!L59 + 1*D_NE_1!L59 + 1*D_NE_2!L59 + D_SG_1!L59 + D_SG_2!L59 + D_SG_3!L59 + D_SO_1!L59 + D_TG_1!L59 + D_TI_1!L59 + D_VD_2!L59 + D_VS_1!L59 + D_VS_2!L59 + D_VS_3!L59 + D_ZH_1!L59 + D_ZH_2!L59 + D_ZH_3!L59 + D_ZH_4!L59 + D_ZH_5!L59 + D_ZH_6!L59</f>
        <v>0</v>
      </c>
      <c r="M58" s="43">
        <f xml:space="preserve"> 1*D_AG_1!M59 + 1*D_AG_2!M59 + 1*D_AG_3!M59 + 1*D_BE_1!M59 + 1*D_BE_2!M59 + 1*D_BE_3!M59 + 1*D_BS_1!M59 + 1*D_FR_1!M59 + 1*D_GE_1!M59 + 1*D_GL_1!M59 + 1*D_GR_1!M59 + 1*D_LU_1!M59 + 1*D_LU_2!M59 + 1*D_NE_1!M59 + 1*D_NE_2!M59 + D_SG_1!M59 + D_SG_2!M59 + D_SG_3!M59 + D_SO_1!M59 + D_TG_1!M59 + D_TI_1!M59 + D_VD_2!M59 + D_VS_1!M59 + D_VS_2!M59 + D_VS_3!M59 + D_ZH_1!M59 + D_ZH_2!M59 + D_ZH_3!M59 + D_ZH_4!M59 + D_ZH_5!M59 + D_ZH_6!M59</f>
        <v>0</v>
      </c>
      <c r="N58" s="43">
        <f xml:space="preserve"> 1*D_AG_1!N59 + 1*D_AG_2!N59 + 1*D_AG_3!N59 + 1*D_BE_1!N59 + 1*D_BE_2!N59 + 1*D_BE_3!N59 + 1*D_BS_1!N59 + 1*D_FR_1!N59 + 1*D_GE_1!N59 + 1*D_GL_1!N59 + 1*D_GR_1!N59 + 1*D_LU_1!N59 + 1*D_LU_2!N59 + 1*D_NE_1!N59 + 1*D_NE_2!N59 + D_SG_1!N59 + D_SG_2!N59 + D_SG_3!N59 + D_SO_1!N59 + D_TG_1!N59 + D_TI_1!N59 + D_VD_2!N59 + D_VS_1!N59 + D_VS_2!N59 + D_VS_3!N59 + D_ZH_1!N59 + D_ZH_2!N59 + D_ZH_3!N59 + D_ZH_4!N59 + D_ZH_5!N59 + D_ZH_6!N59</f>
        <v>0</v>
      </c>
      <c r="O58" s="63">
        <f xml:space="preserve"> 1*D_AG_1!O59 + 1*D_AG_2!O59 + 1*D_AG_3!O59 + 1*D_BE_1!O59 + 1*D_BE_2!O59 + 1*D_BE_3!O59 + 1*D_BS_1!O59 + 1*D_FR_1!O59 + 1*D_GE_1!O59 + 1*D_GL_1!O59 + 1*D_GR_1!O59 + 1*D_LU_1!O59 + 1*D_LU_2!O59 + 1*D_NE_1!O59 + 1*D_NE_2!O59 + D_SG_1!O59 + D_SG_2!O59 + D_SG_3!O59 + D_SO_1!O59 + D_TG_1!O59 + D_TI_1!O59 + D_VD_2!O59 + D_VS_1!O59 + D_VS_2!O59 + D_VS_3!O59 + D_ZH_1!O59 + D_ZH_2!O59 + D_ZH_3!O59 + D_ZH_4!O59 + D_ZH_5!O59 + D_ZH_6!O59</f>
        <v>0</v>
      </c>
      <c r="P58" s="63">
        <f xml:space="preserve"> 1*D_AG_1!P59 + 1*D_AG_2!P59 + 1*D_AG_3!P59 + 1*D_BE_1!P59 + 1*D_BE_2!P59 + 1*D_BE_3!P59 + 1*D_BS_1!P59 + 1*D_FR_1!P59 + 1*D_GE_1!P59 + 1*D_GL_1!P59 + 1*D_GR_1!P59 + 1*D_LU_1!P59 + 1*D_LU_2!P59 + 1*D_NE_1!P59 + 1*D_NE_2!P59 + D_SG_1!P59 + D_SG_2!P59 + D_SG_3!P59 + D_SO_1!P59 + D_TG_1!P59 + D_TI_1!P59 + D_VD_2!P59 + D_VS_1!P59 + D_VS_2!P59 + D_VS_3!P59 + D_ZH_1!P59 + D_ZH_2!P59 + D_ZH_3!P59 + D_ZH_4!P59 + D_ZH_5!P59 + D_ZH_6!P59</f>
        <v>0</v>
      </c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</row>
    <row r="59" spans="2:28" x14ac:dyDescent="0.3">
      <c r="B59" s="40" t="s">
        <v>155</v>
      </c>
      <c r="C59" s="41" t="s">
        <v>95</v>
      </c>
      <c r="D59" s="82">
        <f xml:space="preserve"> 1*D_AG_1!D60 + 1*D_AG_2!D60 + 1*D_AG_3!D60 + 1*D_BE_1!D60 + 1*D_BE_2!D60 + 1*D_BE_3!D60 + 1*D_BS_1!D60 + 1*D_FR_1!D60 + 1*D_GE_1!D60 + 1*D_GL_1!D60 + 1*D_GR_1!D60 + 1*D_LU_1!D60 + 1*D_LU_2!D60 + 1*D_NE_1!D60 + 1*D_NE_2!D60 + D_SG_1!D60 + D_SG_2!D60 + D_SG_3!D60 + D_SO_1!D60 + D_TG_1!D60 + D_TI_1!D60 + D_VD_2!D60 + D_VS_1!D60 + D_VS_2!D60 + D_VS_3!D60 + D_ZH_1!D60 + D_ZH_2!D60 + D_ZH_3!D60 + D_ZH_4!D60 + D_ZH_5!D60 + D_ZH_6!D60</f>
        <v>0</v>
      </c>
      <c r="E59" s="82">
        <f xml:space="preserve"> 1*D_AG_1!E60 + 1*D_AG_2!E60 + 1*D_AG_3!E60 + 1*D_BE_1!E60 + 1*D_BE_2!E60 + 1*D_BE_3!E60 + 1*D_BS_1!E60 + 1*D_FR_1!E60 + 1*D_GE_1!E60 + 1*D_GL_1!E60 + 1*D_GR_1!E60 + 1*D_LU_1!E60 + 1*D_LU_2!E60 + 1*D_NE_1!E60 + 1*D_NE_2!E60 + D_SG_1!E60 + D_SG_2!E60 + D_SG_3!E60 + D_SO_1!E60 + D_TG_1!E60 + D_TI_1!E60 + D_VD_2!E60 + D_VS_1!E60 + D_VS_2!E60 + D_VS_3!E60 + D_ZH_1!E60 + D_ZH_2!E60 + D_ZH_3!E60 + D_ZH_4!E60 + D_ZH_5!E60 + D_ZH_6!E60</f>
        <v>0</v>
      </c>
      <c r="F59" s="82">
        <f xml:space="preserve"> 1*D_AG_1!F60 + 1*D_AG_2!F60 + 1*D_AG_3!F60 + 1*D_BE_1!F60 + 1*D_BE_2!F60 + 1*D_BE_3!F60 + 1*D_BS_1!F60 + 1*D_FR_1!F60 + 1*D_GE_1!F60 + 1*D_GL_1!F60 + 1*D_GR_1!F60 + 1*D_LU_1!F60 + 1*D_LU_2!F60 + 1*D_NE_1!F60 + 1*D_NE_2!F60 + D_SG_1!F60 + D_SG_2!F60 + D_SG_3!F60 + D_SO_1!F60 + D_TG_1!F60 + D_TI_1!F60 + D_VD_2!F60 + D_VS_1!F60 + D_VS_2!F60 + D_VS_3!F60 + D_ZH_1!F60 + D_ZH_2!F60 + D_ZH_3!F60 + D_ZH_4!F60 + D_ZH_5!F60 + D_ZH_6!F60</f>
        <v>0</v>
      </c>
      <c r="G59" s="82">
        <f xml:space="preserve"> 1*D_AG_1!G60 + 1*D_AG_2!G60 + 1*D_AG_3!G60 + 1*D_BE_1!G60 + 1*D_BE_2!G60 + 1*D_BE_3!G60 + 1*D_BS_1!G60 + 1*D_FR_1!G60 + 1*D_GE_1!G60 + 1*D_GL_1!G60 + 1*D_GR_1!G60 + 1*D_LU_1!G60 + 1*D_LU_2!G60 + 1*D_NE_1!G60 + 1*D_NE_2!G60 + D_SG_1!G60 + D_SG_2!G60 + D_SG_3!G60 + D_SO_1!G60 + D_TG_1!G60 + D_TI_1!G60 + D_VD_2!G60 + D_VS_1!G60 + D_VS_2!G60 + D_VS_3!G60 + D_ZH_1!G60 + D_ZH_2!G60 + D_ZH_3!G60 + D_ZH_4!G60 + D_ZH_5!G60 + D_ZH_6!G60</f>
        <v>0</v>
      </c>
      <c r="H59" s="82">
        <f xml:space="preserve"> 1*D_AG_1!H60 + 1*D_AG_2!H60 + 1*D_AG_3!H60 + 1*D_BE_1!H60 + 1*D_BE_2!H60 + 1*D_BE_3!H60 + 1*D_BS_1!H60 + 1*D_FR_1!H60 + 1*D_GE_1!H60 + 1*D_GL_1!H60 + 1*D_GR_1!H60 + 1*D_LU_1!H60 + 1*D_LU_2!H60 + 1*D_NE_1!H60 + 1*D_NE_2!H60 + D_SG_1!H60 + D_SG_2!H60 + D_SG_3!H60 + D_SO_1!H60 + D_TG_1!H60 + D_TI_1!H60 + D_VD_2!H60 + D_VS_1!H60 + D_VS_2!H60 + D_VS_3!H60 + D_ZH_1!H60 + D_ZH_2!H60 + D_ZH_3!H60 + D_ZH_4!H60 + D_ZH_5!H60 + D_ZH_6!H60</f>
        <v>0</v>
      </c>
      <c r="I59" s="82">
        <f xml:space="preserve"> 1*D_AG_1!I60 + 1*D_AG_2!I60 + 1*D_AG_3!I60 + 1*D_BE_1!I60 + 1*D_BE_2!I60 + 1*D_BE_3!I60 + 1*D_BS_1!I60 + 1*D_FR_1!I60 + 1*D_GE_1!I60 + 1*D_GL_1!I60 + 1*D_GR_1!I60 + 1*D_LU_1!I60 + 1*D_LU_2!I60 + 1*D_NE_1!I60 + 1*D_NE_2!I60 + D_SG_1!I60 + D_SG_2!I60 + D_SG_3!I60 + D_SO_1!I60 + D_TG_1!I60 + D_TI_1!I60 + D_VD_2!I60 + D_VS_1!I60 + D_VS_2!I60 + D_VS_3!I60 + D_ZH_1!I60 + D_ZH_2!I60 + D_ZH_3!I60 + D_ZH_4!I60 + D_ZH_5!I60 + D_ZH_6!I60</f>
        <v>0</v>
      </c>
      <c r="J59" s="82">
        <f xml:space="preserve"> 1*D_AG_1!J60 + 1*D_AG_2!J60 + 1*D_AG_3!J60 + 1*D_BE_1!J60 + 1*D_BE_2!J60 + 1*D_BE_3!J60 + 1*D_BS_1!J60 + 1*D_FR_1!J60 + 1*D_GE_1!J60 + 1*D_GL_1!J60 + 1*D_GR_1!J60 + 1*D_LU_1!J60 + 1*D_LU_2!J60 + 1*D_NE_1!J60 + 1*D_NE_2!J60 + D_SG_1!J60 + D_SG_2!J60 + D_SG_3!J60 + D_SO_1!J60 + D_TG_1!J60 + D_TI_1!J60 + D_VD_2!J60 + D_VS_1!J60 + D_VS_2!J60 + D_VS_3!J60 + D_ZH_1!J60 + D_ZH_2!J60 + D_ZH_3!J60 + D_ZH_4!J60 + D_ZH_5!J60 + D_ZH_6!J60</f>
        <v>0</v>
      </c>
      <c r="K59" s="82">
        <f xml:space="preserve"> 1*D_AG_1!K60 + 1*D_AG_2!K60 + 1*D_AG_3!K60 + 1*D_BE_1!K60 + 1*D_BE_2!K60 + 1*D_BE_3!K60 + 1*D_BS_1!K60 + 1*D_FR_1!K60 + 1*D_GE_1!K60 + 1*D_GL_1!K60 + 1*D_GR_1!K60 + 1*D_LU_1!K60 + 1*D_LU_2!K60 + 1*D_NE_1!K60 + 1*D_NE_2!K60 + D_SG_1!K60 + D_SG_2!K60 + D_SG_3!K60 + D_SO_1!K60 + D_TG_1!K60 + D_TI_1!K60 + D_VD_2!K60 + D_VS_1!K60 + D_VS_2!K60 + D_VS_3!K60 + D_ZH_1!K60 + D_ZH_2!K60 + D_ZH_3!K60 + D_ZH_4!K60 + D_ZH_5!K60 + D_ZH_6!K60+448</f>
        <v>448</v>
      </c>
      <c r="L59" s="82">
        <f xml:space="preserve"> 1*D_AG_1!L60 + 1*D_AG_2!L60 + 1*D_AG_3!L60 + 1*D_BE_1!L60 + 1*D_BE_2!L60 + 1*D_BE_3!L60 + 1*D_BS_1!L60 + 1*D_FR_1!L60 + 1*D_GE_1!L60 + 1*D_GL_1!L60 + 1*D_GR_1!L60 + 1*D_LU_1!L60 + 1*D_LU_2!L60 + 1*D_NE_1!L60 + 1*D_NE_2!L60 + D_SG_1!L60 + D_SG_2!L60 + D_SG_3!L60 + D_SO_1!L60 + D_TG_1!L60 + D_TI_1!L60 + D_VD_2!L60 + D_VS_1!L60 + D_VS_2!L60 + D_VS_3!L60 + D_ZH_1!L60 + D_ZH_2!L60 + D_ZH_3!L60 + D_ZH_4!L60 + D_ZH_5!L60 + D_ZH_6!L60+4643</f>
        <v>4643</v>
      </c>
      <c r="M59" s="82">
        <f xml:space="preserve"> 1*D_AG_1!M60 + 1*D_AG_2!M60 + 1*D_AG_3!M60 + 1*D_BE_1!M60 + 1*D_BE_2!M60 + 1*D_BE_3!M60 + 1*D_BS_1!M60 + 1*D_FR_1!M60 + 1*D_GE_1!M60 + 1*D_GL_1!M60 + 1*D_GR_1!M60 + 1*D_LU_1!M60 + 1*D_LU_2!M60 + 1*D_NE_1!M60 + 1*D_NE_2!M60 + D_SG_1!M60 + D_SG_2!M60 + D_SG_3!M60 + D_SO_1!M60 + D_TG_1!M60 + D_TI_1!M60 + D_VD_2!M60 + D_VS_1!M60 + D_VS_2!M60 + D_VS_3!M60 + D_ZH_1!M60 + D_ZH_2!M60 + D_ZH_3!M60 + D_ZH_4!M60 + D_ZH_5!M60 + D_ZH_6!M60+7265</f>
        <v>7265</v>
      </c>
      <c r="N59" s="82">
        <f xml:space="preserve"> 1*D_AG_1!N60 + 1*D_AG_2!N60 + 1*D_AG_3!N60 + 1*D_BE_1!N60 + 1*D_BE_2!N60 + 1*D_BE_3!N60 + 1*D_BS_1!N60 + 1*D_FR_1!N60 + 1*D_GE_1!N60 + 1*D_GL_1!N60 + 1*D_GR_1!N60 + 1*D_LU_1!N60 + 1*D_LU_2!N60 + 1*D_NE_1!N60 + 1*D_NE_2!N60 + D_SG_1!N60 + D_SG_2!N60 + D_SG_3!N60 + D_SO_1!N60 + D_TG_1!N60 + D_TI_1!N60 + D_VD_2!N60 + D_VS_1!N60 + D_VS_2!N60 + D_VS_3!N60 + D_ZH_1!N60 + D_ZH_2!N60 + D_ZH_3!N60 + D_ZH_4!N60 + D_ZH_5!N60 + D_ZH_6!N60+8938</f>
        <v>8938</v>
      </c>
      <c r="O59" s="82">
        <v>12984</v>
      </c>
      <c r="P59" s="63">
        <v>13387</v>
      </c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</row>
    <row r="60" spans="2:28" x14ac:dyDescent="0.3">
      <c r="B60" s="33" t="s">
        <v>156</v>
      </c>
      <c r="C60" s="33" t="s">
        <v>95</v>
      </c>
      <c r="D60" s="91">
        <f>SUM(D55:D59)</f>
        <v>0</v>
      </c>
      <c r="E60" s="91">
        <f t="shared" ref="E60:P60" si="2">SUM(E55:E59)</f>
        <v>146</v>
      </c>
      <c r="F60" s="91">
        <f t="shared" si="2"/>
        <v>669</v>
      </c>
      <c r="G60" s="91">
        <f t="shared" si="2"/>
        <v>16375</v>
      </c>
      <c r="H60" s="91">
        <f t="shared" si="2"/>
        <v>19356</v>
      </c>
      <c r="I60" s="91">
        <f t="shared" si="2"/>
        <v>22596</v>
      </c>
      <c r="J60" s="91">
        <f t="shared" si="2"/>
        <v>25933</v>
      </c>
      <c r="K60" s="91">
        <f t="shared" si="2"/>
        <v>35889</v>
      </c>
      <c r="L60" s="91">
        <f t="shared" si="2"/>
        <v>45095</v>
      </c>
      <c r="M60" s="91">
        <f t="shared" si="2"/>
        <v>68096</v>
      </c>
      <c r="N60" s="91">
        <f t="shared" si="2"/>
        <v>72620</v>
      </c>
      <c r="O60" s="91">
        <f t="shared" si="2"/>
        <v>62428</v>
      </c>
      <c r="P60" s="91">
        <f t="shared" si="2"/>
        <v>61262</v>
      </c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</row>
    <row r="61" spans="2:28" s="81" customFormat="1" ht="30.75" customHeight="1" x14ac:dyDescent="0.3">
      <c r="B61" s="77" t="s">
        <v>157</v>
      </c>
      <c r="C61" s="78" t="s">
        <v>95</v>
      </c>
      <c r="D61" s="79">
        <f>D48+D60</f>
        <v>1157817.1647408793</v>
      </c>
      <c r="E61" s="79">
        <f t="shared" ref="E61:P61" si="3">E48+E60</f>
        <v>1119424.0143842066</v>
      </c>
      <c r="F61" s="79">
        <f t="shared" si="3"/>
        <v>1158606.9717339929</v>
      </c>
      <c r="G61" s="79">
        <f t="shared" si="3"/>
        <v>1107271.3397858324</v>
      </c>
      <c r="H61" s="79">
        <f t="shared" si="3"/>
        <v>1062472.9803532488</v>
      </c>
      <c r="I61" s="79">
        <f t="shared" si="3"/>
        <v>1063452.5907327805</v>
      </c>
      <c r="J61" s="79">
        <f t="shared" si="3"/>
        <v>1064510.426568263</v>
      </c>
      <c r="K61" s="79">
        <f t="shared" si="3"/>
        <v>1048720.744256241</v>
      </c>
      <c r="L61" s="79">
        <f t="shared" si="3"/>
        <v>1022782.6090589935</v>
      </c>
      <c r="M61" s="79">
        <f t="shared" si="3"/>
        <v>1000605.2904879906</v>
      </c>
      <c r="N61" s="79">
        <f t="shared" si="3"/>
        <v>977043.80464042875</v>
      </c>
      <c r="O61" s="79">
        <f t="shared" si="3"/>
        <v>922246.25167492533</v>
      </c>
      <c r="P61" s="79">
        <f t="shared" si="3"/>
        <v>829493.39499074803</v>
      </c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2:28" x14ac:dyDescent="0.3"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</row>
    <row r="63" spans="2:28" x14ac:dyDescent="0.3">
      <c r="D63" s="62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62"/>
      <c r="R63" s="62"/>
      <c r="S63" s="62"/>
    </row>
    <row r="64" spans="2:28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</row>
    <row r="65" spans="4:19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</row>
    <row r="66" spans="4:19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</row>
    <row r="67" spans="4:19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</row>
    <row r="68" spans="4:19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</row>
    <row r="69" spans="4:19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</row>
    <row r="70" spans="4:19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</row>
    <row r="71" spans="4:19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</row>
    <row r="72" spans="4:19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</row>
    <row r="73" spans="4:19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</row>
    <row r="74" spans="4:19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</row>
    <row r="75" spans="4:19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</row>
    <row r="76" spans="4:19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</row>
    <row r="77" spans="4:19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</row>
    <row r="78" spans="4:19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</row>
    <row r="79" spans="4:19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</row>
    <row r="80" spans="4:19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</row>
    <row r="81" spans="4:19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</row>
    <row r="82" spans="4:19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</row>
    <row r="83" spans="4:19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</row>
    <row r="84" spans="4:19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</row>
    <row r="85" spans="4:19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</row>
    <row r="86" spans="4:19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</row>
    <row r="87" spans="4:19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</row>
    <row r="88" spans="4:19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</row>
    <row r="89" spans="4:19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</row>
    <row r="90" spans="4:19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</row>
    <row r="91" spans="4:19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</row>
    <row r="92" spans="4:19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</row>
    <row r="93" spans="4:19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</row>
    <row r="94" spans="4:19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</row>
    <row r="95" spans="4:19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</row>
    <row r="96" spans="4:19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</row>
    <row r="97" spans="4:19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</row>
    <row r="98" spans="4:19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</row>
    <row r="99" spans="4:19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</row>
    <row r="100" spans="4:19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</row>
    <row r="101" spans="4:19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</row>
    <row r="102" spans="4:19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</row>
    <row r="103" spans="4:19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</row>
    <row r="104" spans="4:19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</row>
    <row r="105" spans="4:19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</row>
    <row r="106" spans="4:19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</row>
    <row r="107" spans="4:19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</row>
    <row r="108" spans="4:19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</row>
    <row r="109" spans="4:19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</row>
    <row r="110" spans="4:19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</row>
    <row r="111" spans="4:19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</row>
    <row r="112" spans="4:19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</row>
    <row r="113" spans="4:19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</row>
    <row r="114" spans="4:19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</row>
    <row r="115" spans="4:19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</row>
    <row r="116" spans="4:19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</row>
    <row r="117" spans="4:19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</row>
    <row r="118" spans="4:19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</row>
    <row r="119" spans="4:19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</row>
    <row r="120" spans="4:19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</row>
    <row r="121" spans="4:19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</row>
    <row r="122" spans="4:19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</row>
    <row r="123" spans="4:19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</row>
    <row r="124" spans="4:19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</row>
    <row r="125" spans="4:19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</row>
    <row r="126" spans="4:19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</row>
    <row r="127" spans="4:19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</row>
    <row r="128" spans="4:19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</row>
    <row r="129" spans="4:19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</row>
    <row r="130" spans="4:19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</row>
    <row r="131" spans="4:19" x14ac:dyDescent="0.3">
      <c r="D131" s="62">
        <f xml:space="preserve"> 1*D_AG_1!D132 + 1*D_AG_2!D132 + 1*D_AG_3!D132 + 1*D_BE_1!D132 + 1*D_BE_2!D132 + 1*D_BE_3!D132 + 1*D_BS_1!D132 + 1*D_FR_1!D132 + 1*D_GE_1!D132 + 1*D_GL_1!D132 + 1*D_GR_1!D132 + 1*D_LU_1!D132 + 1*D_LU_2!D132 + 1*D_NE_1!D132 + 1*D_NE_2!D132 + D_SG_1!D132 + D_SG_2!D132 + D_SG_3!D132 + D_SO_1!D132 + D_TG_1!D132 + D_TI_1!D132 + D_VD_2!D132 + D_VS_1!D132 + D_VS_2!D132 + D_VS_3!D132 + D_ZH_1!D132 + D_ZH_2!D132 + D_ZH_3!D132 + D_ZH_4!D132 + D_ZH_5!D132 + D_ZH_6!D132</f>
        <v>0</v>
      </c>
      <c r="E131" s="62">
        <f xml:space="preserve"> 1*D_AG_1!E132 + 1*D_AG_2!E132 + 1*D_AG_3!E132 + 1*D_BE_1!E132 + 1*D_BE_2!E132 + 1*D_BE_3!E132 + 1*D_BS_1!E132 + 1*D_FR_1!E132 + 1*D_GE_1!E132 + 1*D_GL_1!E132 + 1*D_GR_1!E132 + 1*D_LU_1!E132 + 1*D_LU_2!E132 + 1*D_NE_1!E132 + 1*D_NE_2!E132 + D_SG_1!E132 + D_SG_2!E132 + D_SG_3!E132 + D_SO_1!E132 + D_TG_1!E132 + D_TI_1!E132 + D_VD_2!E132 + D_VS_1!E132 + D_VS_2!E132 + D_VS_3!E132 + D_ZH_1!E132 + D_ZH_2!E132 + D_ZH_3!E132 + D_ZH_4!E132 + D_ZH_5!E132 + D_ZH_6!E132</f>
        <v>0</v>
      </c>
      <c r="F131" s="62">
        <f xml:space="preserve"> 1*D_AG_1!F132 + 1*D_AG_2!F132 + 1*D_AG_3!F132 + 1*D_BE_1!F132 + 1*D_BE_2!F132 + 1*D_BE_3!F132 + 1*D_BS_1!F132 + 1*D_FR_1!F132 + 1*D_GE_1!F132 + 1*D_GL_1!F132 + 1*D_GR_1!F132 + 1*D_LU_1!F132 + 1*D_LU_2!F132 + 1*D_NE_1!F132 + 1*D_NE_2!F132 + D_SG_1!F132 + D_SG_2!F132 + D_SG_3!F132 + D_SO_1!F132 + D_TG_1!F132 + D_TI_1!F132 + D_VD_2!F132 + D_VS_1!F132 + D_VS_2!F132 + D_VS_3!F132 + D_ZH_1!F132 + D_ZH_2!F132 + D_ZH_3!F132 + D_ZH_4!F132 + D_ZH_5!F132 + D_ZH_6!F132</f>
        <v>0</v>
      </c>
      <c r="G131" s="62">
        <f xml:space="preserve"> 1*D_AG_1!G132 + 1*D_AG_2!G132 + 1*D_AG_3!G132 + 1*D_BE_1!G132 + 1*D_BE_2!G132 + 1*D_BE_3!G132 + 1*D_BS_1!G132 + 1*D_FR_1!G132 + 1*D_GE_1!G132 + 1*D_GL_1!G132 + 1*D_GR_1!G132 + 1*D_LU_1!G132 + 1*D_LU_2!G132 + 1*D_NE_1!G132 + 1*D_NE_2!G132 + D_SG_1!G132 + D_SG_2!G132 + D_SG_3!G132 + D_SO_1!G132 + D_TG_1!G132 + D_TI_1!G132 + D_VD_2!G132 + D_VS_1!G132 + D_VS_2!G132 + D_VS_3!G132 + D_ZH_1!G132 + D_ZH_2!G132 + D_ZH_3!G132 + D_ZH_4!G132 + D_ZH_5!G132 + D_ZH_6!G132</f>
        <v>0</v>
      </c>
      <c r="H131" s="62">
        <f xml:space="preserve"> 1*D_AG_1!H132 + 1*D_AG_2!H132 + 1*D_AG_3!H132 + 1*D_BE_1!H132 + 1*D_BE_2!H132 + 1*D_BE_3!H132 + 1*D_BS_1!H132 + 1*D_FR_1!H132 + 1*D_GE_1!H132 + 1*D_GL_1!H132 + 1*D_GR_1!H132 + 1*D_LU_1!H132 + 1*D_LU_2!H132 + 1*D_NE_1!H132 + 1*D_NE_2!H132 + D_SG_1!H132 + D_SG_2!H132 + D_SG_3!H132 + D_SO_1!H132 + D_TG_1!H132 + D_TI_1!H132 + D_VD_2!H132 + D_VS_1!H132 + D_VS_2!H132 + D_VS_3!H132 + D_ZH_1!H132 + D_ZH_2!H132 + D_ZH_3!H132 + D_ZH_4!H132 + D_ZH_5!H132 + D_ZH_6!H132</f>
        <v>0</v>
      </c>
      <c r="I131" s="62">
        <f xml:space="preserve"> 1*D_AG_1!I132 + 1*D_AG_2!I132 + 1*D_AG_3!I132 + 1*D_BE_1!I132 + 1*D_BE_2!I132 + 1*D_BE_3!I132 + 1*D_BS_1!I132 + 1*D_FR_1!I132 + 1*D_GE_1!I132 + 1*D_GL_1!I132 + 1*D_GR_1!I132 + 1*D_LU_1!I132 + 1*D_LU_2!I132 + 1*D_NE_1!I132 + 1*D_NE_2!I132 + D_SG_1!I132 + D_SG_2!I132 + D_SG_3!I132 + D_SO_1!I132 + D_TG_1!I132 + D_TI_1!I132 + D_VD_2!I132 + D_VS_1!I132 + D_VS_2!I132 + D_VS_3!I132 + D_ZH_1!I132 + D_ZH_2!I132 + D_ZH_3!I132 + D_ZH_4!I132 + D_ZH_5!I132 + D_ZH_6!I132</f>
        <v>0</v>
      </c>
      <c r="J131" s="62">
        <f xml:space="preserve"> 1*D_AG_1!J132 + 1*D_AG_2!J132 + 1*D_AG_3!J132 + 1*D_BE_1!J132 + 1*D_BE_2!J132 + 1*D_BE_3!J132 + 1*D_BS_1!J132 + 1*D_FR_1!J132 + 1*D_GE_1!J132 + 1*D_GL_1!J132 + 1*D_GR_1!J132 + 1*D_LU_1!J132 + 1*D_LU_2!J132 + 1*D_NE_1!J132 + 1*D_NE_2!J132 + D_SG_1!J132 + D_SG_2!J132 + D_SG_3!J132 + D_SO_1!J132 + D_TG_1!J132 + D_TI_1!J132 + D_VD_2!J132 + D_VS_1!J132 + D_VS_2!J132 + D_VS_3!J132 + D_ZH_1!J132 + D_ZH_2!J132 + D_ZH_3!J132 + D_ZH_4!J132 + D_ZH_5!J132 + D_ZH_6!J132</f>
        <v>0</v>
      </c>
      <c r="K131" s="62">
        <f xml:space="preserve"> 1*D_AG_1!K132 + 1*D_AG_2!K132 + 1*D_AG_3!K132 + 1*D_BE_1!K132 + 1*D_BE_2!K132 + 1*D_BE_3!K132 + 1*D_BS_1!K132 + 1*D_FR_1!K132 + 1*D_GE_1!K132 + 1*D_GL_1!K132 + 1*D_GR_1!K132 + 1*D_LU_1!K132 + 1*D_LU_2!K132 + 1*D_NE_1!K132 + 1*D_NE_2!K132 + D_SG_1!K132 + D_SG_2!K132 + D_SG_3!K132 + D_SO_1!K132 + D_TG_1!K132 + D_TI_1!K132 + D_VD_2!K132 + D_VS_1!K132 + D_VS_2!K132 + D_VS_3!K132 + D_ZH_1!K132 + D_ZH_2!K132 + D_ZH_3!K132 + D_ZH_4!K132 + D_ZH_5!K132 + D_ZH_6!K132</f>
        <v>0</v>
      </c>
      <c r="L131" s="62">
        <f xml:space="preserve"> 1*D_AG_1!L132 + 1*D_AG_2!L132 + 1*D_AG_3!L132 + 1*D_BE_1!L132 + 1*D_BE_2!L132 + 1*D_BE_3!L132 + 1*D_BS_1!L132 + 1*D_FR_1!L132 + 1*D_GE_1!L132 + 1*D_GL_1!L132 + 1*D_GR_1!L132 + 1*D_LU_1!L132 + 1*D_LU_2!L132 + 1*D_NE_1!L132 + 1*D_NE_2!L132 + D_SG_1!L132 + D_SG_2!L132 + D_SG_3!L132 + D_SO_1!L132 + D_TG_1!L132 + D_TI_1!L132 + D_VD_2!L132 + D_VS_1!L132 + D_VS_2!L132 + D_VS_3!L132 + D_ZH_1!L132 + D_ZH_2!L132 + D_ZH_3!L132 + D_ZH_4!L132 + D_ZH_5!L132 + D_ZH_6!L132</f>
        <v>0</v>
      </c>
      <c r="M131" s="62">
        <f xml:space="preserve"> 1*D_AG_1!M132 + 1*D_AG_2!M132 + 1*D_AG_3!M132 + 1*D_BE_1!M132 + 1*D_BE_2!M132 + 1*D_BE_3!M132 + 1*D_BS_1!M132 + 1*D_FR_1!M132 + 1*D_GE_1!M132 + 1*D_GL_1!M132 + 1*D_GR_1!M132 + 1*D_LU_1!M132 + 1*D_LU_2!M132 + 1*D_NE_1!M132 + 1*D_NE_2!M132 + D_SG_1!M132 + D_SG_2!M132 + D_SG_3!M132 + D_SO_1!M132 + D_TG_1!M132 + D_TI_1!M132 + D_VD_2!M132 + D_VS_1!M132 + D_VS_2!M132 + D_VS_3!M132 + D_ZH_1!M132 + D_ZH_2!M132 + D_ZH_3!M132 + D_ZH_4!M132 + D_ZH_5!M132 + D_ZH_6!M132</f>
        <v>0</v>
      </c>
      <c r="N131" s="62">
        <f xml:space="preserve"> 1*D_AG_1!N132 + 1*D_AG_2!N132 + 1*D_AG_3!N132 + 1*D_BE_1!N132 + 1*D_BE_2!N132 + 1*D_BE_3!N132 + 1*D_BS_1!N132 + 1*D_FR_1!N132 + 1*D_GE_1!N132 + 1*D_GL_1!N132 + 1*D_GR_1!N132 + 1*D_LU_1!N132 + 1*D_LU_2!N132 + 1*D_NE_1!N132 + 1*D_NE_2!N132 + D_SG_1!N132 + D_SG_2!N132 + D_SG_3!N132 + D_SO_1!N132 + D_TG_1!N132 + D_TI_1!N132 + D_VD_2!N132 + D_VS_1!N132 + D_VS_2!N132 + D_VS_3!N132 + D_ZH_1!N132 + D_ZH_2!N132 + D_ZH_3!N132 + D_ZH_4!N132 + D_ZH_5!N132 + D_ZH_6!N132</f>
        <v>0</v>
      </c>
      <c r="O131" s="62">
        <f xml:space="preserve"> 1*D_AG_1!O132 + 1*D_AG_2!O132 + 1*D_AG_3!O132 + 1*D_BE_1!O132 + 1*D_BE_2!O132 + 1*D_BE_3!O132 + 1*D_BS_1!O132 + 1*D_FR_1!O132 + 1*D_GE_1!O132 + 1*D_GL_1!O132 + 1*D_GR_1!O132 + 1*D_LU_1!O132 + 1*D_LU_2!O132 + 1*D_NE_1!O132 + 1*D_NE_2!O132 + D_SG_1!O132 + D_SG_2!O132 + D_SG_3!O132 + D_SO_1!O132 + D_TG_1!O132 + D_TI_1!O132 + D_VD_2!O132 + D_VS_1!O132 + D_VS_2!O132 + D_VS_3!O132 + D_ZH_1!O132 + D_ZH_2!O132 + D_ZH_3!O132 + D_ZH_4!O132 + D_ZH_5!O132 + D_ZH_6!O132</f>
        <v>0</v>
      </c>
      <c r="P131" s="62">
        <f xml:space="preserve"> 1*D_AG_1!P132 + 1*D_AG_2!P132 + 1*D_AG_3!P132 + 1*D_BE_1!P132 + 1*D_BE_2!P132 + 1*D_BE_3!P132 + 1*D_BS_1!P132 + 1*D_FR_1!P132 + 1*D_GE_1!P132 + 1*D_GL_1!P132 + 1*D_GR_1!P132 + 1*D_LU_1!P132 + 1*D_LU_2!P132 + 1*D_NE_1!P132 + 1*D_NE_2!P132 + D_SG_1!P132 + D_SG_2!P132 + D_SG_3!P132 + D_SO_1!P132 + D_TG_1!P132 + D_TI_1!P132 + D_VD_2!P132 + D_VS_1!P132 + D_VS_2!P132 + D_VS_3!P132 + D_ZH_1!P132 + D_ZH_2!P132 + D_ZH_3!P132 + D_ZH_4!P132 + D_ZH_5!P132 + D_ZH_6!P132</f>
        <v>0</v>
      </c>
      <c r="Q131" s="62">
        <f xml:space="preserve"> 1*D_AG_1!Q132 + 1*D_AG_2!Q132 + 1*D_AG_3!Q132 + 1*D_BE_1!Q132 + 1*D_BE_2!Q132 + 1*D_BE_3!Q132 + 1*D_BS_1!Q132 + 1*D_FR_1!Q132 + 1*D_GE_1!Q132 + 1*D_GL_1!Q132 + 1*D_GR_1!Q132 + 1*D_LU_1!Q132 + 1*D_LU_2!Q132 + 1*D_NE_1!Q132 + 1*D_NE_2!Q132 + D_SG_1!Q132 + D_SG_2!Q132 + D_SG_3!Q132 + D_SO_1!Q132 + D_TG_1!Q132 + D_TI_1!Q132 + D_VD_2!Q132 + D_VS_1!Q132 + D_VS_2!Q132 + D_VS_3!Q132 + D_ZH_1!Q132 + D_ZH_2!Q132 + D_ZH_3!Q132 + D_ZH_4!Q132 + D_ZH_5!Q132 + D_ZH_6!Q132</f>
        <v>0</v>
      </c>
      <c r="R131" s="62">
        <f xml:space="preserve"> 1*D_AG_1!R132 + 1*D_AG_2!R132 + 1*D_AG_3!R132 + 1*D_BE_1!R132 + 1*D_BE_2!R132 + 1*D_BE_3!R132 + 1*D_BS_1!R132 + 1*D_FR_1!R132 + 1*D_GE_1!R132 + 1*D_GL_1!R132 + 1*D_GR_1!R132 + 1*D_LU_1!R132 + 1*D_LU_2!R132 + 1*D_NE_1!R132 + 1*D_NE_2!R132 + D_SG_1!R132 + D_SG_2!R132 + D_SG_3!R132 + D_SO_1!R132 + D_TG_1!R132 + D_TI_1!R132 + D_VD_2!R132 + D_VS_1!R132 + D_VS_2!R132 + D_VS_3!R132 + D_ZH_1!R132 + D_ZH_2!R132 + D_ZH_3!R132 + D_ZH_4!R132 + D_ZH_5!R132 + D_ZH_6!R132</f>
        <v>0</v>
      </c>
      <c r="S131" s="62">
        <f xml:space="preserve"> 1*D_AG_1!S132 + 1*D_AG_2!S132 + 1*D_AG_3!S132 + 1*D_BE_1!S132 + 1*D_BE_2!S132 + 1*D_BE_3!S132 + 1*D_BS_1!S132 + 1*D_FR_1!S132 + 1*D_GE_1!S132 + 1*D_GL_1!S132 + 1*D_GR_1!S132 + 1*D_LU_1!S132 + 1*D_LU_2!S132 + 1*D_NE_1!S132 + 1*D_NE_2!S132 + D_SG_1!S132 + D_SG_2!S132 + D_SG_3!S132 + D_SO_1!S132 + D_TG_1!S132 + D_TI_1!S132 + D_VD_2!S132 + D_VS_1!S132 + D_VS_2!S132 + D_VS_3!S132 + D_ZH_1!S132 + D_ZH_2!S132 + D_ZH_3!S132 + D_ZH_4!S132 + D_ZH_5!S132 + D_ZH_6!S132</f>
        <v>0</v>
      </c>
    </row>
    <row r="132" spans="4:19" x14ac:dyDescent="0.3">
      <c r="D132" s="62">
        <f xml:space="preserve"> 1*D_AG_1!D133 + 1*D_AG_2!D133 + 1*D_AG_3!D133 + 1*D_BE_1!D133 + 1*D_BE_2!D133 + 1*D_BE_3!D133 + 1*D_BS_1!D133 + 1*D_FR_1!D133 + 1*D_GE_1!D133 + 1*D_GL_1!D133 + 1*D_GR_1!D133 + 1*D_LU_1!D133 + 1*D_LU_2!D133 + 1*D_NE_1!D133 + 1*D_NE_2!D133 + D_SG_1!D133 + D_SG_2!D133 + D_SG_3!D133 + D_SO_1!D133 + D_TG_1!D133 + D_TI_1!D133 + D_VD_2!D133 + D_VS_1!D133 + D_VS_2!D133 + D_VS_3!D133 + D_ZH_1!D133 + D_ZH_2!D133 + D_ZH_3!D133 + D_ZH_4!D133 + D_ZH_5!D133 + D_ZH_6!D133</f>
        <v>0</v>
      </c>
      <c r="E132" s="62">
        <f xml:space="preserve"> 1*D_AG_1!E133 + 1*D_AG_2!E133 + 1*D_AG_3!E133 + 1*D_BE_1!E133 + 1*D_BE_2!E133 + 1*D_BE_3!E133 + 1*D_BS_1!E133 + 1*D_FR_1!E133 + 1*D_GE_1!E133 + 1*D_GL_1!E133 + 1*D_GR_1!E133 + 1*D_LU_1!E133 + 1*D_LU_2!E133 + 1*D_NE_1!E133 + 1*D_NE_2!E133 + D_SG_1!E133 + D_SG_2!E133 + D_SG_3!E133 + D_SO_1!E133 + D_TG_1!E133 + D_TI_1!E133 + D_VD_2!E133 + D_VS_1!E133 + D_VS_2!E133 + D_VS_3!E133 + D_ZH_1!E133 + D_ZH_2!E133 + D_ZH_3!E133 + D_ZH_4!E133 + D_ZH_5!E133 + D_ZH_6!E133</f>
        <v>0</v>
      </c>
      <c r="F132" s="62">
        <f xml:space="preserve"> 1*D_AG_1!F133 + 1*D_AG_2!F133 + 1*D_AG_3!F133 + 1*D_BE_1!F133 + 1*D_BE_2!F133 + 1*D_BE_3!F133 + 1*D_BS_1!F133 + 1*D_FR_1!F133 + 1*D_GE_1!F133 + 1*D_GL_1!F133 + 1*D_GR_1!F133 + 1*D_LU_1!F133 + 1*D_LU_2!F133 + 1*D_NE_1!F133 + 1*D_NE_2!F133 + D_SG_1!F133 + D_SG_2!F133 + D_SG_3!F133 + D_SO_1!F133 + D_TG_1!F133 + D_TI_1!F133 + D_VD_2!F133 + D_VS_1!F133 + D_VS_2!F133 + D_VS_3!F133 + D_ZH_1!F133 + D_ZH_2!F133 + D_ZH_3!F133 + D_ZH_4!F133 + D_ZH_5!F133 + D_ZH_6!F133</f>
        <v>0</v>
      </c>
      <c r="G132" s="62">
        <f xml:space="preserve"> 1*D_AG_1!G133 + 1*D_AG_2!G133 + 1*D_AG_3!G133 + 1*D_BE_1!G133 + 1*D_BE_2!G133 + 1*D_BE_3!G133 + 1*D_BS_1!G133 + 1*D_FR_1!G133 + 1*D_GE_1!G133 + 1*D_GL_1!G133 + 1*D_GR_1!G133 + 1*D_LU_1!G133 + 1*D_LU_2!G133 + 1*D_NE_1!G133 + 1*D_NE_2!G133 + D_SG_1!G133 + D_SG_2!G133 + D_SG_3!G133 + D_SO_1!G133 + D_TG_1!G133 + D_TI_1!G133 + D_VD_2!G133 + D_VS_1!G133 + D_VS_2!G133 + D_VS_3!G133 + D_ZH_1!G133 + D_ZH_2!G133 + D_ZH_3!G133 + D_ZH_4!G133 + D_ZH_5!G133 + D_ZH_6!G133</f>
        <v>0</v>
      </c>
      <c r="H132" s="62">
        <f xml:space="preserve"> 1*D_AG_1!H133 + 1*D_AG_2!H133 + 1*D_AG_3!H133 + 1*D_BE_1!H133 + 1*D_BE_2!H133 + 1*D_BE_3!H133 + 1*D_BS_1!H133 + 1*D_FR_1!H133 + 1*D_GE_1!H133 + 1*D_GL_1!H133 + 1*D_GR_1!H133 + 1*D_LU_1!H133 + 1*D_LU_2!H133 + 1*D_NE_1!H133 + 1*D_NE_2!H133 + D_SG_1!H133 + D_SG_2!H133 + D_SG_3!H133 + D_SO_1!H133 + D_TG_1!H133 + D_TI_1!H133 + D_VD_2!H133 + D_VS_1!H133 + D_VS_2!H133 + D_VS_3!H133 + D_ZH_1!H133 + D_ZH_2!H133 + D_ZH_3!H133 + D_ZH_4!H133 + D_ZH_5!H133 + D_ZH_6!H133</f>
        <v>0</v>
      </c>
      <c r="I132" s="62">
        <f xml:space="preserve"> 1*D_AG_1!I133 + 1*D_AG_2!I133 + 1*D_AG_3!I133 + 1*D_BE_1!I133 + 1*D_BE_2!I133 + 1*D_BE_3!I133 + 1*D_BS_1!I133 + 1*D_FR_1!I133 + 1*D_GE_1!I133 + 1*D_GL_1!I133 + 1*D_GR_1!I133 + 1*D_LU_1!I133 + 1*D_LU_2!I133 + 1*D_NE_1!I133 + 1*D_NE_2!I133 + D_SG_1!I133 + D_SG_2!I133 + D_SG_3!I133 + D_SO_1!I133 + D_TG_1!I133 + D_TI_1!I133 + D_VD_2!I133 + D_VS_1!I133 + D_VS_2!I133 + D_VS_3!I133 + D_ZH_1!I133 + D_ZH_2!I133 + D_ZH_3!I133 + D_ZH_4!I133 + D_ZH_5!I133 + D_ZH_6!I133</f>
        <v>0</v>
      </c>
      <c r="J132" s="62">
        <f xml:space="preserve"> 1*D_AG_1!J133 + 1*D_AG_2!J133 + 1*D_AG_3!J133 + 1*D_BE_1!J133 + 1*D_BE_2!J133 + 1*D_BE_3!J133 + 1*D_BS_1!J133 + 1*D_FR_1!J133 + 1*D_GE_1!J133 + 1*D_GL_1!J133 + 1*D_GR_1!J133 + 1*D_LU_1!J133 + 1*D_LU_2!J133 + 1*D_NE_1!J133 + 1*D_NE_2!J133 + D_SG_1!J133 + D_SG_2!J133 + D_SG_3!J133 + D_SO_1!J133 + D_TG_1!J133 + D_TI_1!J133 + D_VD_2!J133 + D_VS_1!J133 + D_VS_2!J133 + D_VS_3!J133 + D_ZH_1!J133 + D_ZH_2!J133 + D_ZH_3!J133 + D_ZH_4!J133 + D_ZH_5!J133 + D_ZH_6!J133</f>
        <v>0</v>
      </c>
      <c r="K132" s="62">
        <f xml:space="preserve"> 1*D_AG_1!K133 + 1*D_AG_2!K133 + 1*D_AG_3!K133 + 1*D_BE_1!K133 + 1*D_BE_2!K133 + 1*D_BE_3!K133 + 1*D_BS_1!K133 + 1*D_FR_1!K133 + 1*D_GE_1!K133 + 1*D_GL_1!K133 + 1*D_GR_1!K133 + 1*D_LU_1!K133 + 1*D_LU_2!K133 + 1*D_NE_1!K133 + 1*D_NE_2!K133 + D_SG_1!K133 + D_SG_2!K133 + D_SG_3!K133 + D_SO_1!K133 + D_TG_1!K133 + D_TI_1!K133 + D_VD_2!K133 + D_VS_1!K133 + D_VS_2!K133 + D_VS_3!K133 + D_ZH_1!K133 + D_ZH_2!K133 + D_ZH_3!K133 + D_ZH_4!K133 + D_ZH_5!K133 + D_ZH_6!K133</f>
        <v>0</v>
      </c>
      <c r="L132" s="62">
        <f xml:space="preserve"> 1*D_AG_1!L133 + 1*D_AG_2!L133 + 1*D_AG_3!L133 + 1*D_BE_1!L133 + 1*D_BE_2!L133 + 1*D_BE_3!L133 + 1*D_BS_1!L133 + 1*D_FR_1!L133 + 1*D_GE_1!L133 + 1*D_GL_1!L133 + 1*D_GR_1!L133 + 1*D_LU_1!L133 + 1*D_LU_2!L133 + 1*D_NE_1!L133 + 1*D_NE_2!L133 + D_SG_1!L133 + D_SG_2!L133 + D_SG_3!L133 + D_SO_1!L133 + D_TG_1!L133 + D_TI_1!L133 + D_VD_2!L133 + D_VS_1!L133 + D_VS_2!L133 + D_VS_3!L133 + D_ZH_1!L133 + D_ZH_2!L133 + D_ZH_3!L133 + D_ZH_4!L133 + D_ZH_5!L133 + D_ZH_6!L133</f>
        <v>0</v>
      </c>
      <c r="M132" s="62">
        <f xml:space="preserve"> 1*D_AG_1!M133 + 1*D_AG_2!M133 + 1*D_AG_3!M133 + 1*D_BE_1!M133 + 1*D_BE_2!M133 + 1*D_BE_3!M133 + 1*D_BS_1!M133 + 1*D_FR_1!M133 + 1*D_GE_1!M133 + 1*D_GL_1!M133 + 1*D_GR_1!M133 + 1*D_LU_1!M133 + 1*D_LU_2!M133 + 1*D_NE_1!M133 + 1*D_NE_2!M133 + D_SG_1!M133 + D_SG_2!M133 + D_SG_3!M133 + D_SO_1!M133 + D_TG_1!M133 + D_TI_1!M133 + D_VD_2!M133 + D_VS_1!M133 + D_VS_2!M133 + D_VS_3!M133 + D_ZH_1!M133 + D_ZH_2!M133 + D_ZH_3!M133 + D_ZH_4!M133 + D_ZH_5!M133 + D_ZH_6!M133</f>
        <v>0</v>
      </c>
      <c r="N132" s="62">
        <f xml:space="preserve"> 1*D_AG_1!N133 + 1*D_AG_2!N133 + 1*D_AG_3!N133 + 1*D_BE_1!N133 + 1*D_BE_2!N133 + 1*D_BE_3!N133 + 1*D_BS_1!N133 + 1*D_FR_1!N133 + 1*D_GE_1!N133 + 1*D_GL_1!N133 + 1*D_GR_1!N133 + 1*D_LU_1!N133 + 1*D_LU_2!N133 + 1*D_NE_1!N133 + 1*D_NE_2!N133 + D_SG_1!N133 + D_SG_2!N133 + D_SG_3!N133 + D_SO_1!N133 + D_TG_1!N133 + D_TI_1!N133 + D_VD_2!N133 + D_VS_1!N133 + D_VS_2!N133 + D_VS_3!N133 + D_ZH_1!N133 + D_ZH_2!N133 + D_ZH_3!N133 + D_ZH_4!N133 + D_ZH_5!N133 + D_ZH_6!N133</f>
        <v>0</v>
      </c>
      <c r="O132" s="62">
        <f xml:space="preserve"> 1*D_AG_1!O133 + 1*D_AG_2!O133 + 1*D_AG_3!O133 + 1*D_BE_1!O133 + 1*D_BE_2!O133 + 1*D_BE_3!O133 + 1*D_BS_1!O133 + 1*D_FR_1!O133 + 1*D_GE_1!O133 + 1*D_GL_1!O133 + 1*D_GR_1!O133 + 1*D_LU_1!O133 + 1*D_LU_2!O133 + 1*D_NE_1!O133 + 1*D_NE_2!O133 + D_SG_1!O133 + D_SG_2!O133 + D_SG_3!O133 + D_SO_1!O133 + D_TG_1!O133 + D_TI_1!O133 + D_VD_2!O133 + D_VS_1!O133 + D_VS_2!O133 + D_VS_3!O133 + D_ZH_1!O133 + D_ZH_2!O133 + D_ZH_3!O133 + D_ZH_4!O133 + D_ZH_5!O133 + D_ZH_6!O133</f>
        <v>0</v>
      </c>
      <c r="P132" s="62">
        <f xml:space="preserve"> 1*D_AG_1!P133 + 1*D_AG_2!P133 + 1*D_AG_3!P133 + 1*D_BE_1!P133 + 1*D_BE_2!P133 + 1*D_BE_3!P133 + 1*D_BS_1!P133 + 1*D_FR_1!P133 + 1*D_GE_1!P133 + 1*D_GL_1!P133 + 1*D_GR_1!P133 + 1*D_LU_1!P133 + 1*D_LU_2!P133 + 1*D_NE_1!P133 + 1*D_NE_2!P133 + D_SG_1!P133 + D_SG_2!P133 + D_SG_3!P133 + D_SO_1!P133 + D_TG_1!P133 + D_TI_1!P133 + D_VD_2!P133 + D_VS_1!P133 + D_VS_2!P133 + D_VS_3!P133 + D_ZH_1!P133 + D_ZH_2!P133 + D_ZH_3!P133 + D_ZH_4!P133 + D_ZH_5!P133 + D_ZH_6!P133</f>
        <v>0</v>
      </c>
      <c r="Q132" s="62">
        <f xml:space="preserve"> 1*D_AG_1!Q133 + 1*D_AG_2!Q133 + 1*D_AG_3!Q133 + 1*D_BE_1!Q133 + 1*D_BE_2!Q133 + 1*D_BE_3!Q133 + 1*D_BS_1!Q133 + 1*D_FR_1!Q133 + 1*D_GE_1!Q133 + 1*D_GL_1!Q133 + 1*D_GR_1!Q133 + 1*D_LU_1!Q133 + 1*D_LU_2!Q133 + 1*D_NE_1!Q133 + 1*D_NE_2!Q133 + D_SG_1!Q133 + D_SG_2!Q133 + D_SG_3!Q133 + D_SO_1!Q133 + D_TG_1!Q133 + D_TI_1!Q133 + D_VD_2!Q133 + D_VS_1!Q133 + D_VS_2!Q133 + D_VS_3!Q133 + D_ZH_1!Q133 + D_ZH_2!Q133 + D_ZH_3!Q133 + D_ZH_4!Q133 + D_ZH_5!Q133 + D_ZH_6!Q133</f>
        <v>0</v>
      </c>
      <c r="R132" s="62">
        <f xml:space="preserve"> 1*D_AG_1!R133 + 1*D_AG_2!R133 + 1*D_AG_3!R133 + 1*D_BE_1!R133 + 1*D_BE_2!R133 + 1*D_BE_3!R133 + 1*D_BS_1!R133 + 1*D_FR_1!R133 + 1*D_GE_1!R133 + 1*D_GL_1!R133 + 1*D_GR_1!R133 + 1*D_LU_1!R133 + 1*D_LU_2!R133 + 1*D_NE_1!R133 + 1*D_NE_2!R133 + D_SG_1!R133 + D_SG_2!R133 + D_SG_3!R133 + D_SO_1!R133 + D_TG_1!R133 + D_TI_1!R133 + D_VD_2!R133 + D_VS_1!R133 + D_VS_2!R133 + D_VS_3!R133 + D_ZH_1!R133 + D_ZH_2!R133 + D_ZH_3!R133 + D_ZH_4!R133 + D_ZH_5!R133 + D_ZH_6!R133</f>
        <v>0</v>
      </c>
      <c r="S132" s="62">
        <f xml:space="preserve"> 1*D_AG_1!S133 + 1*D_AG_2!S133 + 1*D_AG_3!S133 + 1*D_BE_1!S133 + 1*D_BE_2!S133 + 1*D_BE_3!S133 + 1*D_BS_1!S133 + 1*D_FR_1!S133 + 1*D_GE_1!S133 + 1*D_GL_1!S133 + 1*D_GR_1!S133 + 1*D_LU_1!S133 + 1*D_LU_2!S133 + 1*D_NE_1!S133 + 1*D_NE_2!S133 + D_SG_1!S133 + D_SG_2!S133 + D_SG_3!S133 + D_SO_1!S133 + D_TG_1!S133 + D_TI_1!S133 + D_VD_2!S133 + D_VS_1!S133 + D_VS_2!S133 + D_VS_3!S133 + D_ZH_1!S133 + D_ZH_2!S133 + D_ZH_3!S133 + D_ZH_4!S133 + D_ZH_5!S133 + D_ZH_6!S133</f>
        <v>0</v>
      </c>
    </row>
    <row r="133" spans="4:19" x14ac:dyDescent="0.3">
      <c r="D133" s="62">
        <f xml:space="preserve"> 1*D_AG_1!D134 + 1*D_AG_2!D134 + 1*D_AG_3!D134 + 1*D_BE_1!D134 + 1*D_BE_2!D134 + 1*D_BE_3!D134 + 1*D_BS_1!D134 + 1*D_FR_1!D134 + 1*D_GE_1!D134 + 1*D_GL_1!D134 + 1*D_GR_1!D134 + 1*D_LU_1!D134 + 1*D_LU_2!D134 + 1*D_NE_1!D134 + 1*D_NE_2!D134 + D_SG_1!D134 + D_SG_2!D134 + D_SG_3!D134 + D_SO_1!D134 + D_TG_1!D134 + D_TI_1!D134 + D_VD_2!D134 + D_VS_1!D134 + D_VS_2!D134 + D_VS_3!D134 + D_ZH_1!D134 + D_ZH_2!D134 + D_ZH_3!D134 + D_ZH_4!D134 + D_ZH_5!D134 + D_ZH_6!D134</f>
        <v>0</v>
      </c>
      <c r="E133" s="62">
        <f xml:space="preserve"> 1*D_AG_1!E134 + 1*D_AG_2!E134 + 1*D_AG_3!E134 + 1*D_BE_1!E134 + 1*D_BE_2!E134 + 1*D_BE_3!E134 + 1*D_BS_1!E134 + 1*D_FR_1!E134 + 1*D_GE_1!E134 + 1*D_GL_1!E134 + 1*D_GR_1!E134 + 1*D_LU_1!E134 + 1*D_LU_2!E134 + 1*D_NE_1!E134 + 1*D_NE_2!E134 + D_SG_1!E134 + D_SG_2!E134 + D_SG_3!E134 + D_SO_1!E134 + D_TG_1!E134 + D_TI_1!E134 + D_VD_2!E134 + D_VS_1!E134 + D_VS_2!E134 + D_VS_3!E134 + D_ZH_1!E134 + D_ZH_2!E134 + D_ZH_3!E134 + D_ZH_4!E134 + D_ZH_5!E134 + D_ZH_6!E134</f>
        <v>0</v>
      </c>
      <c r="F133" s="62">
        <f xml:space="preserve"> 1*D_AG_1!F134 + 1*D_AG_2!F134 + 1*D_AG_3!F134 + 1*D_BE_1!F134 + 1*D_BE_2!F134 + 1*D_BE_3!F134 + 1*D_BS_1!F134 + 1*D_FR_1!F134 + 1*D_GE_1!F134 + 1*D_GL_1!F134 + 1*D_GR_1!F134 + 1*D_LU_1!F134 + 1*D_LU_2!F134 + 1*D_NE_1!F134 + 1*D_NE_2!F134 + D_SG_1!F134 + D_SG_2!F134 + D_SG_3!F134 + D_SO_1!F134 + D_TG_1!F134 + D_TI_1!F134 + D_VD_2!F134 + D_VS_1!F134 + D_VS_2!F134 + D_VS_3!F134 + D_ZH_1!F134 + D_ZH_2!F134 + D_ZH_3!F134 + D_ZH_4!F134 + D_ZH_5!F134 + D_ZH_6!F134</f>
        <v>0</v>
      </c>
      <c r="G133" s="62">
        <f xml:space="preserve"> 1*D_AG_1!G134 + 1*D_AG_2!G134 + 1*D_AG_3!G134 + 1*D_BE_1!G134 + 1*D_BE_2!G134 + 1*D_BE_3!G134 + 1*D_BS_1!G134 + 1*D_FR_1!G134 + 1*D_GE_1!G134 + 1*D_GL_1!G134 + 1*D_GR_1!G134 + 1*D_LU_1!G134 + 1*D_LU_2!G134 + 1*D_NE_1!G134 + 1*D_NE_2!G134 + D_SG_1!G134 + D_SG_2!G134 + D_SG_3!G134 + D_SO_1!G134 + D_TG_1!G134 + D_TI_1!G134 + D_VD_2!G134 + D_VS_1!G134 + D_VS_2!G134 + D_VS_3!G134 + D_ZH_1!G134 + D_ZH_2!G134 + D_ZH_3!G134 + D_ZH_4!G134 + D_ZH_5!G134 + D_ZH_6!G134</f>
        <v>0</v>
      </c>
      <c r="H133" s="62">
        <f xml:space="preserve"> 1*D_AG_1!H134 + 1*D_AG_2!H134 + 1*D_AG_3!H134 + 1*D_BE_1!H134 + 1*D_BE_2!H134 + 1*D_BE_3!H134 + 1*D_BS_1!H134 + 1*D_FR_1!H134 + 1*D_GE_1!H134 + 1*D_GL_1!H134 + 1*D_GR_1!H134 + 1*D_LU_1!H134 + 1*D_LU_2!H134 + 1*D_NE_1!H134 + 1*D_NE_2!H134 + D_SG_1!H134 + D_SG_2!H134 + D_SG_3!H134 + D_SO_1!H134 + D_TG_1!H134 + D_TI_1!H134 + D_VD_2!H134 + D_VS_1!H134 + D_VS_2!H134 + D_VS_3!H134 + D_ZH_1!H134 + D_ZH_2!H134 + D_ZH_3!H134 + D_ZH_4!H134 + D_ZH_5!H134 + D_ZH_6!H134</f>
        <v>0</v>
      </c>
      <c r="I133" s="62">
        <f xml:space="preserve"> 1*D_AG_1!I134 + 1*D_AG_2!I134 + 1*D_AG_3!I134 + 1*D_BE_1!I134 + 1*D_BE_2!I134 + 1*D_BE_3!I134 + 1*D_BS_1!I134 + 1*D_FR_1!I134 + 1*D_GE_1!I134 + 1*D_GL_1!I134 + 1*D_GR_1!I134 + 1*D_LU_1!I134 + 1*D_LU_2!I134 + 1*D_NE_1!I134 + 1*D_NE_2!I134 + D_SG_1!I134 + D_SG_2!I134 + D_SG_3!I134 + D_SO_1!I134 + D_TG_1!I134 + D_TI_1!I134 + D_VD_2!I134 + D_VS_1!I134 + D_VS_2!I134 + D_VS_3!I134 + D_ZH_1!I134 + D_ZH_2!I134 + D_ZH_3!I134 + D_ZH_4!I134 + D_ZH_5!I134 + D_ZH_6!I134</f>
        <v>0</v>
      </c>
      <c r="J133" s="62">
        <f xml:space="preserve"> 1*D_AG_1!J134 + 1*D_AG_2!J134 + 1*D_AG_3!J134 + 1*D_BE_1!J134 + 1*D_BE_2!J134 + 1*D_BE_3!J134 + 1*D_BS_1!J134 + 1*D_FR_1!J134 + 1*D_GE_1!J134 + 1*D_GL_1!J134 + 1*D_GR_1!J134 + 1*D_LU_1!J134 + 1*D_LU_2!J134 + 1*D_NE_1!J134 + 1*D_NE_2!J134 + D_SG_1!J134 + D_SG_2!J134 + D_SG_3!J134 + D_SO_1!J134 + D_TG_1!J134 + D_TI_1!J134 + D_VD_2!J134 + D_VS_1!J134 + D_VS_2!J134 + D_VS_3!J134 + D_ZH_1!J134 + D_ZH_2!J134 + D_ZH_3!J134 + D_ZH_4!J134 + D_ZH_5!J134 + D_ZH_6!J134</f>
        <v>0</v>
      </c>
      <c r="K133" s="62">
        <f xml:space="preserve"> 1*D_AG_1!K134 + 1*D_AG_2!K134 + 1*D_AG_3!K134 + 1*D_BE_1!K134 + 1*D_BE_2!K134 + 1*D_BE_3!K134 + 1*D_BS_1!K134 + 1*D_FR_1!K134 + 1*D_GE_1!K134 + 1*D_GL_1!K134 + 1*D_GR_1!K134 + 1*D_LU_1!K134 + 1*D_LU_2!K134 + 1*D_NE_1!K134 + 1*D_NE_2!K134 + D_SG_1!K134 + D_SG_2!K134 + D_SG_3!K134 + D_SO_1!K134 + D_TG_1!K134 + D_TI_1!K134 + D_VD_2!K134 + D_VS_1!K134 + D_VS_2!K134 + D_VS_3!K134 + D_ZH_1!K134 + D_ZH_2!K134 + D_ZH_3!K134 + D_ZH_4!K134 + D_ZH_5!K134 + D_ZH_6!K134</f>
        <v>0</v>
      </c>
      <c r="L133" s="62">
        <f xml:space="preserve"> 1*D_AG_1!L134 + 1*D_AG_2!L134 + 1*D_AG_3!L134 + 1*D_BE_1!L134 + 1*D_BE_2!L134 + 1*D_BE_3!L134 + 1*D_BS_1!L134 + 1*D_FR_1!L134 + 1*D_GE_1!L134 + 1*D_GL_1!L134 + 1*D_GR_1!L134 + 1*D_LU_1!L134 + 1*D_LU_2!L134 + 1*D_NE_1!L134 + 1*D_NE_2!L134 + D_SG_1!L134 + D_SG_2!L134 + D_SG_3!L134 + D_SO_1!L134 + D_TG_1!L134 + D_TI_1!L134 + D_VD_2!L134 + D_VS_1!L134 + D_VS_2!L134 + D_VS_3!L134 + D_ZH_1!L134 + D_ZH_2!L134 + D_ZH_3!L134 + D_ZH_4!L134 + D_ZH_5!L134 + D_ZH_6!L134</f>
        <v>0</v>
      </c>
      <c r="M133" s="62">
        <f xml:space="preserve"> 1*D_AG_1!M134 + 1*D_AG_2!M134 + 1*D_AG_3!M134 + 1*D_BE_1!M134 + 1*D_BE_2!M134 + 1*D_BE_3!M134 + 1*D_BS_1!M134 + 1*D_FR_1!M134 + 1*D_GE_1!M134 + 1*D_GL_1!M134 + 1*D_GR_1!M134 + 1*D_LU_1!M134 + 1*D_LU_2!M134 + 1*D_NE_1!M134 + 1*D_NE_2!M134 + D_SG_1!M134 + D_SG_2!M134 + D_SG_3!M134 + D_SO_1!M134 + D_TG_1!M134 + D_TI_1!M134 + D_VD_2!M134 + D_VS_1!M134 + D_VS_2!M134 + D_VS_3!M134 + D_ZH_1!M134 + D_ZH_2!M134 + D_ZH_3!M134 + D_ZH_4!M134 + D_ZH_5!M134 + D_ZH_6!M134</f>
        <v>0</v>
      </c>
      <c r="N133" s="62">
        <f xml:space="preserve"> 1*D_AG_1!N134 + 1*D_AG_2!N134 + 1*D_AG_3!N134 + 1*D_BE_1!N134 + 1*D_BE_2!N134 + 1*D_BE_3!N134 + 1*D_BS_1!N134 + 1*D_FR_1!N134 + 1*D_GE_1!N134 + 1*D_GL_1!N134 + 1*D_GR_1!N134 + 1*D_LU_1!N134 + 1*D_LU_2!N134 + 1*D_NE_1!N134 + 1*D_NE_2!N134 + D_SG_1!N134 + D_SG_2!N134 + D_SG_3!N134 + D_SO_1!N134 + D_TG_1!N134 + D_TI_1!N134 + D_VD_2!N134 + D_VS_1!N134 + D_VS_2!N134 + D_VS_3!N134 + D_ZH_1!N134 + D_ZH_2!N134 + D_ZH_3!N134 + D_ZH_4!N134 + D_ZH_5!N134 + D_ZH_6!N134</f>
        <v>0</v>
      </c>
      <c r="O133" s="62">
        <f xml:space="preserve"> 1*D_AG_1!O134 + 1*D_AG_2!O134 + 1*D_AG_3!O134 + 1*D_BE_1!O134 + 1*D_BE_2!O134 + 1*D_BE_3!O134 + 1*D_BS_1!O134 + 1*D_FR_1!O134 + 1*D_GE_1!O134 + 1*D_GL_1!O134 + 1*D_GR_1!O134 + 1*D_LU_1!O134 + 1*D_LU_2!O134 + 1*D_NE_1!O134 + 1*D_NE_2!O134 + D_SG_1!O134 + D_SG_2!O134 + D_SG_3!O134 + D_SO_1!O134 + D_TG_1!O134 + D_TI_1!O134 + D_VD_2!O134 + D_VS_1!O134 + D_VS_2!O134 + D_VS_3!O134 + D_ZH_1!O134 + D_ZH_2!O134 + D_ZH_3!O134 + D_ZH_4!O134 + D_ZH_5!O134 + D_ZH_6!O134</f>
        <v>0</v>
      </c>
      <c r="P133" s="62">
        <f xml:space="preserve"> 1*D_AG_1!P134 + 1*D_AG_2!P134 + 1*D_AG_3!P134 + 1*D_BE_1!P134 + 1*D_BE_2!P134 + 1*D_BE_3!P134 + 1*D_BS_1!P134 + 1*D_FR_1!P134 + 1*D_GE_1!P134 + 1*D_GL_1!P134 + 1*D_GR_1!P134 + 1*D_LU_1!P134 + 1*D_LU_2!P134 + 1*D_NE_1!P134 + 1*D_NE_2!P134 + D_SG_1!P134 + D_SG_2!P134 + D_SG_3!P134 + D_SO_1!P134 + D_TG_1!P134 + D_TI_1!P134 + D_VD_2!P134 + D_VS_1!P134 + D_VS_2!P134 + D_VS_3!P134 + D_ZH_1!P134 + D_ZH_2!P134 + D_ZH_3!P134 + D_ZH_4!P134 + D_ZH_5!P134 + D_ZH_6!P134</f>
        <v>0</v>
      </c>
      <c r="Q133" s="62">
        <f xml:space="preserve"> 1*D_AG_1!Q134 + 1*D_AG_2!Q134 + 1*D_AG_3!Q134 + 1*D_BE_1!Q134 + 1*D_BE_2!Q134 + 1*D_BE_3!Q134 + 1*D_BS_1!Q134 + 1*D_FR_1!Q134 + 1*D_GE_1!Q134 + 1*D_GL_1!Q134 + 1*D_GR_1!Q134 + 1*D_LU_1!Q134 + 1*D_LU_2!Q134 + 1*D_NE_1!Q134 + 1*D_NE_2!Q134 + D_SG_1!Q134 + D_SG_2!Q134 + D_SG_3!Q134 + D_SO_1!Q134 + D_TG_1!Q134 + D_TI_1!Q134 + D_VD_2!Q134 + D_VS_1!Q134 + D_VS_2!Q134 + D_VS_3!Q134 + D_ZH_1!Q134 + D_ZH_2!Q134 + D_ZH_3!Q134 + D_ZH_4!Q134 + D_ZH_5!Q134 + D_ZH_6!Q134</f>
        <v>0</v>
      </c>
      <c r="R133" s="62">
        <f xml:space="preserve"> 1*D_AG_1!R134 + 1*D_AG_2!R134 + 1*D_AG_3!R134 + 1*D_BE_1!R134 + 1*D_BE_2!R134 + 1*D_BE_3!R134 + 1*D_BS_1!R134 + 1*D_FR_1!R134 + 1*D_GE_1!R134 + 1*D_GL_1!R134 + 1*D_GR_1!R134 + 1*D_LU_1!R134 + 1*D_LU_2!R134 + 1*D_NE_1!R134 + 1*D_NE_2!R134 + D_SG_1!R134 + D_SG_2!R134 + D_SG_3!R134 + D_SO_1!R134 + D_TG_1!R134 + D_TI_1!R134 + D_VD_2!R134 + D_VS_1!R134 + D_VS_2!R134 + D_VS_3!R134 + D_ZH_1!R134 + D_ZH_2!R134 + D_ZH_3!R134 + D_ZH_4!R134 + D_ZH_5!R134 + D_ZH_6!R134</f>
        <v>0</v>
      </c>
      <c r="S133" s="62">
        <f xml:space="preserve"> 1*D_AG_1!S134 + 1*D_AG_2!S134 + 1*D_AG_3!S134 + 1*D_BE_1!S134 + 1*D_BE_2!S134 + 1*D_BE_3!S134 + 1*D_BS_1!S134 + 1*D_FR_1!S134 + 1*D_GE_1!S134 + 1*D_GL_1!S134 + 1*D_GR_1!S134 + 1*D_LU_1!S134 + 1*D_LU_2!S134 + 1*D_NE_1!S134 + 1*D_NE_2!S134 + D_SG_1!S134 + D_SG_2!S134 + D_SG_3!S134 + D_SO_1!S134 + D_TG_1!S134 + D_TI_1!S134 + D_VD_2!S134 + D_VS_1!S134 + D_VS_2!S134 + D_VS_3!S134 + D_ZH_1!S134 + D_ZH_2!S134 + D_ZH_3!S134 + D_ZH_4!S134 + D_ZH_5!S134 + D_ZH_6!S134</f>
        <v>0</v>
      </c>
    </row>
    <row r="134" spans="4:19" x14ac:dyDescent="0.3">
      <c r="D134" s="33">
        <f xml:space="preserve"> 1*D_AG_1!D135 + 1*D_AG_2!D135 + 1*D_AG_3!D135 + 1*D_BE_1!D135 + 1*D_BE_2!D135 + 1*D_BE_3!D135 + 1*D_BS_1!D135 + 1*D_FR_1!D135 + 1*D_GE_1!D135 + 1*D_GL_1!D135 + 1*D_GR_1!D135 + 1*D_LU_1!D135 + 1*D_LU_2!D135 + 1*D_NE_1!D135 + 1*D_NE_2!D135 + D_SG_1!D135 + D_SG_2!D135 + D_SG_3!D135 + D_SO_1!D135 + D_TG_1!D135 + D_TI_1!D135 + D_VD_2!D135 + D_VS_1!D135 + D_VS_2!D135 + D_VS_3!D135 + D_ZH_1!D135 + D_ZH_2!D135 + D_ZH_3!D135 + D_ZH_4!D135 + D_ZH_5!D135 + D_ZH_6!D135</f>
        <v>0</v>
      </c>
      <c r="E134" s="33">
        <f xml:space="preserve"> 1*D_AG_1!E135 + 1*D_AG_2!E135 + 1*D_AG_3!E135 + 1*D_BE_1!E135 + 1*D_BE_2!E135 + 1*D_BE_3!E135 + 1*D_BS_1!E135 + 1*D_FR_1!E135 + 1*D_GE_1!E135 + 1*D_GL_1!E135 + 1*D_GR_1!E135 + 1*D_LU_1!E135 + 1*D_LU_2!E135 + 1*D_NE_1!E135 + 1*D_NE_2!E135 + D_SG_1!E135 + D_SG_2!E135 + D_SG_3!E135 + D_SO_1!E135 + D_TG_1!E135 + D_TI_1!E135 + D_VD_2!E135 + D_VS_1!E135 + D_VS_2!E135 + D_VS_3!E135 + D_ZH_1!E135 + D_ZH_2!E135 + D_ZH_3!E135 + D_ZH_4!E135 + D_ZH_5!E135 + D_ZH_6!E135</f>
        <v>0</v>
      </c>
      <c r="F134" s="33">
        <f xml:space="preserve"> 1*D_AG_1!F135 + 1*D_AG_2!F135 + 1*D_AG_3!F135 + 1*D_BE_1!F135 + 1*D_BE_2!F135 + 1*D_BE_3!F135 + 1*D_BS_1!F135 + 1*D_FR_1!F135 + 1*D_GE_1!F135 + 1*D_GL_1!F135 + 1*D_GR_1!F135 + 1*D_LU_1!F135 + 1*D_LU_2!F135 + 1*D_NE_1!F135 + 1*D_NE_2!F135 + D_SG_1!F135 + D_SG_2!F135 + D_SG_3!F135 + D_SO_1!F135 + D_TG_1!F135 + D_TI_1!F135 + D_VD_2!F135 + D_VS_1!F135 + D_VS_2!F135 + D_VS_3!F135 + D_ZH_1!F135 + D_ZH_2!F135 + D_ZH_3!F135 + D_ZH_4!F135 + D_ZH_5!F135 + D_ZH_6!F135</f>
        <v>0</v>
      </c>
      <c r="G134" s="33">
        <f xml:space="preserve"> 1*D_AG_1!G135 + 1*D_AG_2!G135 + 1*D_AG_3!G135 + 1*D_BE_1!G135 + 1*D_BE_2!G135 + 1*D_BE_3!G135 + 1*D_BS_1!G135 + 1*D_FR_1!G135 + 1*D_GE_1!G135 + 1*D_GL_1!G135 + 1*D_GR_1!G135 + 1*D_LU_1!G135 + 1*D_LU_2!G135 + 1*D_NE_1!G135 + 1*D_NE_2!G135 + D_SG_1!G135 + D_SG_2!G135 + D_SG_3!G135 + D_SO_1!G135 + D_TG_1!G135 + D_TI_1!G135 + D_VD_2!G135 + D_VS_1!G135 + D_VS_2!G135 + D_VS_3!G135 + D_ZH_1!G135 + D_ZH_2!G135 + D_ZH_3!G135 + D_ZH_4!G135 + D_ZH_5!G135 + D_ZH_6!G135</f>
        <v>0</v>
      </c>
      <c r="H134" s="33">
        <f xml:space="preserve"> 1*D_AG_1!H135 + 1*D_AG_2!H135 + 1*D_AG_3!H135 + 1*D_BE_1!H135 + 1*D_BE_2!H135 + 1*D_BE_3!H135 + 1*D_BS_1!H135 + 1*D_FR_1!H135 + 1*D_GE_1!H135 + 1*D_GL_1!H135 + 1*D_GR_1!H135 + 1*D_LU_1!H135 + 1*D_LU_2!H135 + 1*D_NE_1!H135 + 1*D_NE_2!H135 + D_SG_1!H135 + D_SG_2!H135 + D_SG_3!H135 + D_SO_1!H135 + D_TG_1!H135 + D_TI_1!H135 + D_VD_2!H135 + D_VS_1!H135 + D_VS_2!H135 + D_VS_3!H135 + D_ZH_1!H135 + D_ZH_2!H135 + D_ZH_3!H135 + D_ZH_4!H135 + D_ZH_5!H135 + D_ZH_6!H135</f>
        <v>0</v>
      </c>
      <c r="I134" s="33">
        <f xml:space="preserve"> 1*D_AG_1!I135 + 1*D_AG_2!I135 + 1*D_AG_3!I135 + 1*D_BE_1!I135 + 1*D_BE_2!I135 + 1*D_BE_3!I135 + 1*D_BS_1!I135 + 1*D_FR_1!I135 + 1*D_GE_1!I135 + 1*D_GL_1!I135 + 1*D_GR_1!I135 + 1*D_LU_1!I135 + 1*D_LU_2!I135 + 1*D_NE_1!I135 + 1*D_NE_2!I135 + D_SG_1!I135 + D_SG_2!I135 + D_SG_3!I135 + D_SO_1!I135 + D_TG_1!I135 + D_TI_1!I135 + D_VD_2!I135 + D_VS_1!I135 + D_VS_2!I135 + D_VS_3!I135 + D_ZH_1!I135 + D_ZH_2!I135 + D_ZH_3!I135 + D_ZH_4!I135 + D_ZH_5!I135 + D_ZH_6!I135</f>
        <v>0</v>
      </c>
      <c r="J134" s="33">
        <f xml:space="preserve"> 1*D_AG_1!J135 + 1*D_AG_2!J135 + 1*D_AG_3!J135 + 1*D_BE_1!J135 + 1*D_BE_2!J135 + 1*D_BE_3!J135 + 1*D_BS_1!J135 + 1*D_FR_1!J135 + 1*D_GE_1!J135 + 1*D_GL_1!J135 + 1*D_GR_1!J135 + 1*D_LU_1!J135 + 1*D_LU_2!J135 + 1*D_NE_1!J135 + 1*D_NE_2!J135 + D_SG_1!J135 + D_SG_2!J135 + D_SG_3!J135 + D_SO_1!J135 + D_TG_1!J135 + D_TI_1!J135 + D_VD_2!J135 + D_VS_1!J135 + D_VS_2!J135 + D_VS_3!J135 + D_ZH_1!J135 + D_ZH_2!J135 + D_ZH_3!J135 + D_ZH_4!J135 + D_ZH_5!J135 + D_ZH_6!J135</f>
        <v>0</v>
      </c>
      <c r="K134" s="33">
        <f xml:space="preserve"> 1*D_AG_1!K135 + 1*D_AG_2!K135 + 1*D_AG_3!K135 + 1*D_BE_1!K135 + 1*D_BE_2!K135 + 1*D_BE_3!K135 + 1*D_BS_1!K135 + 1*D_FR_1!K135 + 1*D_GE_1!K135 + 1*D_GL_1!K135 + 1*D_GR_1!K135 + 1*D_LU_1!K135 + 1*D_LU_2!K135 + 1*D_NE_1!K135 + 1*D_NE_2!K135 + D_SG_1!K135 + D_SG_2!K135 + D_SG_3!K135 + D_SO_1!K135 + D_TG_1!K135 + D_TI_1!K135 + D_VD_2!K135 + D_VS_1!K135 + D_VS_2!K135 + D_VS_3!K135 + D_ZH_1!K135 + D_ZH_2!K135 + D_ZH_3!K135 + D_ZH_4!K135 + D_ZH_5!K135 + D_ZH_6!K135</f>
        <v>0</v>
      </c>
      <c r="L134" s="33">
        <f xml:space="preserve"> 1*D_AG_1!L135 + 1*D_AG_2!L135 + 1*D_AG_3!L135 + 1*D_BE_1!L135 + 1*D_BE_2!L135 + 1*D_BE_3!L135 + 1*D_BS_1!L135 + 1*D_FR_1!L135 + 1*D_GE_1!L135 + 1*D_GL_1!L135 + 1*D_GR_1!L135 + 1*D_LU_1!L135 + 1*D_LU_2!L135 + 1*D_NE_1!L135 + 1*D_NE_2!L135 + D_SG_1!L135 + D_SG_2!L135 + D_SG_3!L135 + D_SO_1!L135 + D_TG_1!L135 + D_TI_1!L135 + D_VD_2!L135 + D_VS_1!L135 + D_VS_2!L135 + D_VS_3!L135 + D_ZH_1!L135 + D_ZH_2!L135 + D_ZH_3!L135 + D_ZH_4!L135 + D_ZH_5!L135 + D_ZH_6!L135</f>
        <v>0</v>
      </c>
      <c r="M134" s="33">
        <f xml:space="preserve"> 1*D_AG_1!M135 + 1*D_AG_2!M135 + 1*D_AG_3!M135 + 1*D_BE_1!M135 + 1*D_BE_2!M135 + 1*D_BE_3!M135 + 1*D_BS_1!M135 + 1*D_FR_1!M135 + 1*D_GE_1!M135 + 1*D_GL_1!M135 + 1*D_GR_1!M135 + 1*D_LU_1!M135 + 1*D_LU_2!M135 + 1*D_NE_1!M135 + 1*D_NE_2!M135 + D_SG_1!M135 + D_SG_2!M135 + D_SG_3!M135 + D_SO_1!M135 + D_TG_1!M135 + D_TI_1!M135 + D_VD_2!M135 + D_VS_1!M135 + D_VS_2!M135 + D_VS_3!M135 + D_ZH_1!M135 + D_ZH_2!M135 + D_ZH_3!M135 + D_ZH_4!M135 + D_ZH_5!M135 + D_ZH_6!M135</f>
        <v>0</v>
      </c>
      <c r="N134" s="33">
        <f xml:space="preserve"> 1*D_AG_1!N135 + 1*D_AG_2!N135 + 1*D_AG_3!N135 + 1*D_BE_1!N135 + 1*D_BE_2!N135 + 1*D_BE_3!N135 + 1*D_BS_1!N135 + 1*D_FR_1!N135 + 1*D_GE_1!N135 + 1*D_GL_1!N135 + 1*D_GR_1!N135 + 1*D_LU_1!N135 + 1*D_LU_2!N135 + 1*D_NE_1!N135 + 1*D_NE_2!N135 + D_SG_1!N135 + D_SG_2!N135 + D_SG_3!N135 + D_SO_1!N135 + D_TG_1!N135 + D_TI_1!N135 + D_VD_2!N135 + D_VS_1!N135 + D_VS_2!N135 + D_VS_3!N135 + D_ZH_1!N135 + D_ZH_2!N135 + D_ZH_3!N135 + D_ZH_4!N135 + D_ZH_5!N135 + D_ZH_6!N135</f>
        <v>0</v>
      </c>
      <c r="O134" s="33">
        <f xml:space="preserve"> 1*D_AG_1!O135 + 1*D_AG_2!O135 + 1*D_AG_3!O135 + 1*D_BE_1!O135 + 1*D_BE_2!O135 + 1*D_BE_3!O135 + 1*D_BS_1!O135 + 1*D_FR_1!O135 + 1*D_GE_1!O135 + 1*D_GL_1!O135 + 1*D_GR_1!O135 + 1*D_LU_1!O135 + 1*D_LU_2!O135 + 1*D_NE_1!O135 + 1*D_NE_2!O135 + D_SG_1!O135 + D_SG_2!O135 + D_SG_3!O135 + D_SO_1!O135 + D_TG_1!O135 + D_TI_1!O135 + D_VD_2!O135 + D_VS_1!O135 + D_VS_2!O135 + D_VS_3!O135 + D_ZH_1!O135 + D_ZH_2!O135 + D_ZH_3!O135 + D_ZH_4!O135 + D_ZH_5!O135 + D_ZH_6!O135</f>
        <v>0</v>
      </c>
      <c r="P134" s="33">
        <f xml:space="preserve"> 1*D_AG_1!P135 + 1*D_AG_2!P135 + 1*D_AG_3!P135 + 1*D_BE_1!P135 + 1*D_BE_2!P135 + 1*D_BE_3!P135 + 1*D_BS_1!P135 + 1*D_FR_1!P135 + 1*D_GE_1!P135 + 1*D_GL_1!P135 + 1*D_GR_1!P135 + 1*D_LU_1!P135 + 1*D_LU_2!P135 + 1*D_NE_1!P135 + 1*D_NE_2!P135 + D_SG_1!P135 + D_SG_2!P135 + D_SG_3!P135 + D_SO_1!P135 + D_TG_1!P135 + D_TI_1!P135 + D_VD_2!P135 + D_VS_1!P135 + D_VS_2!P135 + D_VS_3!P135 + D_ZH_1!P135 + D_ZH_2!P135 + D_ZH_3!P135 + D_ZH_4!P135 + D_ZH_5!P135 + D_ZH_6!P135</f>
        <v>0</v>
      </c>
      <c r="Q134" s="33">
        <f xml:space="preserve"> 1*D_AG_1!Q135 + 1*D_AG_2!Q135 + 1*D_AG_3!Q135 + 1*D_BE_1!Q135 + 1*D_BE_2!Q135 + 1*D_BE_3!Q135 + 1*D_BS_1!Q135 + 1*D_FR_1!Q135 + 1*D_GE_1!Q135 + 1*D_GL_1!Q135 + 1*D_GR_1!Q135 + 1*D_LU_1!Q135 + 1*D_LU_2!Q135 + 1*D_NE_1!Q135 + 1*D_NE_2!Q135 + D_SG_1!Q135 + D_SG_2!Q135 + D_SG_3!Q135 + D_SO_1!Q135 + D_TG_1!Q135 + D_TI_1!Q135 + D_VD_2!Q135 + D_VS_1!Q135 + D_VS_2!Q135 + D_VS_3!Q135 + D_ZH_1!Q135 + D_ZH_2!Q135 + D_ZH_3!Q135 + D_ZH_4!Q135 + D_ZH_5!Q135 + D_ZH_6!Q135</f>
        <v>0</v>
      </c>
      <c r="R134" s="33">
        <f xml:space="preserve"> 1*D_AG_1!R135 + 1*D_AG_2!R135 + 1*D_AG_3!R135 + 1*D_BE_1!R135 + 1*D_BE_2!R135 + 1*D_BE_3!R135 + 1*D_BS_1!R135 + 1*D_FR_1!R135 + 1*D_GE_1!R135 + 1*D_GL_1!R135 + 1*D_GR_1!R135 + 1*D_LU_1!R135 + 1*D_LU_2!R135 + 1*D_NE_1!R135 + 1*D_NE_2!R135 + D_SG_1!R135 + D_SG_2!R135 + D_SG_3!R135 + D_SO_1!R135 + D_TG_1!R135 + D_TI_1!R135 + D_VD_2!R135 + D_VS_1!R135 + D_VS_2!R135 + D_VS_3!R135 + D_ZH_1!R135 + D_ZH_2!R135 + D_ZH_3!R135 + D_ZH_4!R135 + D_ZH_5!R135 + D_ZH_6!R135</f>
        <v>0</v>
      </c>
      <c r="S134" s="33">
        <f xml:space="preserve"> 1*D_AG_1!S135 + 1*D_AG_2!S135 + 1*D_AG_3!S135 + 1*D_BE_1!S135 + 1*D_BE_2!S135 + 1*D_BE_3!S135 + 1*D_BS_1!S135 + 1*D_FR_1!S135 + 1*D_GE_1!S135 + 1*D_GL_1!S135 + 1*D_GR_1!S135 + 1*D_LU_1!S135 + 1*D_LU_2!S135 + 1*D_NE_1!S135 + 1*D_NE_2!S135 + D_SG_1!S135 + D_SG_2!S135 + D_SG_3!S135 + D_SO_1!S135 + D_TG_1!S135 + D_TI_1!S135 + D_VD_2!S135 + D_VS_1!S135 + D_VS_2!S135 + D_VS_3!S135 + D_ZH_1!S135 + D_ZH_2!S135 + D_ZH_3!S135 + D_ZH_4!S135 + D_ZH_5!S135 + D_ZH_6!S135</f>
        <v>0</v>
      </c>
    </row>
    <row r="135" spans="4:19" x14ac:dyDescent="0.3">
      <c r="D135" s="33">
        <f xml:space="preserve"> 1*D_AG_1!D136 + 1*D_AG_2!D136 + 1*D_AG_3!D136 + 1*D_BE_1!D136 + 1*D_BE_2!D136 + 1*D_BE_3!D136 + 1*D_BS_1!D136 + 1*D_FR_1!D136 + 1*D_GE_1!D136 + 1*D_GL_1!D136 + 1*D_GR_1!D136 + 1*D_LU_1!D136 + 1*D_LU_2!D136 + 1*D_NE_1!D136 + 1*D_NE_2!D136 + D_SG_1!D136 + D_SG_2!D136 + D_SG_3!D136 + D_SO_1!D136 + D_TG_1!D136 + D_TI_1!D136 + D_VD_2!D136 + D_VS_1!D136 + D_VS_2!D136 + D_VS_3!D136 + D_ZH_1!D136 + D_ZH_2!D136 + D_ZH_3!D136 + D_ZH_4!D136 + D_ZH_5!D136 + D_ZH_6!D136</f>
        <v>0</v>
      </c>
      <c r="E135" s="33">
        <f xml:space="preserve"> 1*D_AG_1!E136 + 1*D_AG_2!E136 + 1*D_AG_3!E136 + 1*D_BE_1!E136 + 1*D_BE_2!E136 + 1*D_BE_3!E136 + 1*D_BS_1!E136 + 1*D_FR_1!E136 + 1*D_GE_1!E136 + 1*D_GL_1!E136 + 1*D_GR_1!E136 + 1*D_LU_1!E136 + 1*D_LU_2!E136 + 1*D_NE_1!E136 + 1*D_NE_2!E136 + D_SG_1!E136 + D_SG_2!E136 + D_SG_3!E136 + D_SO_1!E136 + D_TG_1!E136 + D_TI_1!E136 + D_VD_2!E136 + D_VS_1!E136 + D_VS_2!E136 + D_VS_3!E136 + D_ZH_1!E136 + D_ZH_2!E136 + D_ZH_3!E136 + D_ZH_4!E136 + D_ZH_5!E136 + D_ZH_6!E136</f>
        <v>0</v>
      </c>
      <c r="F135" s="33">
        <f xml:space="preserve"> 1*D_AG_1!F136 + 1*D_AG_2!F136 + 1*D_AG_3!F136 + 1*D_BE_1!F136 + 1*D_BE_2!F136 + 1*D_BE_3!F136 + 1*D_BS_1!F136 + 1*D_FR_1!F136 + 1*D_GE_1!F136 + 1*D_GL_1!F136 + 1*D_GR_1!F136 + 1*D_LU_1!F136 + 1*D_LU_2!F136 + 1*D_NE_1!F136 + 1*D_NE_2!F136 + D_SG_1!F136 + D_SG_2!F136 + D_SG_3!F136 + D_SO_1!F136 + D_TG_1!F136 + D_TI_1!F136 + D_VD_2!F136 + D_VS_1!F136 + D_VS_2!F136 + D_VS_3!F136 + D_ZH_1!F136 + D_ZH_2!F136 + D_ZH_3!F136 + D_ZH_4!F136 + D_ZH_5!F136 + D_ZH_6!F136</f>
        <v>0</v>
      </c>
      <c r="G135" s="33">
        <f xml:space="preserve"> 1*D_AG_1!G136 + 1*D_AG_2!G136 + 1*D_AG_3!G136 + 1*D_BE_1!G136 + 1*D_BE_2!G136 + 1*D_BE_3!G136 + 1*D_BS_1!G136 + 1*D_FR_1!G136 + 1*D_GE_1!G136 + 1*D_GL_1!G136 + 1*D_GR_1!G136 + 1*D_LU_1!G136 + 1*D_LU_2!G136 + 1*D_NE_1!G136 + 1*D_NE_2!G136 + D_SG_1!G136 + D_SG_2!G136 + D_SG_3!G136 + D_SO_1!G136 + D_TG_1!G136 + D_TI_1!G136 + D_VD_2!G136 + D_VS_1!G136 + D_VS_2!G136 + D_VS_3!G136 + D_ZH_1!G136 + D_ZH_2!G136 + D_ZH_3!G136 + D_ZH_4!G136 + D_ZH_5!G136 + D_ZH_6!G136</f>
        <v>0</v>
      </c>
      <c r="H135" s="33">
        <f xml:space="preserve"> 1*D_AG_1!H136 + 1*D_AG_2!H136 + 1*D_AG_3!H136 + 1*D_BE_1!H136 + 1*D_BE_2!H136 + 1*D_BE_3!H136 + 1*D_BS_1!H136 + 1*D_FR_1!H136 + 1*D_GE_1!H136 + 1*D_GL_1!H136 + 1*D_GR_1!H136 + 1*D_LU_1!H136 + 1*D_LU_2!H136 + 1*D_NE_1!H136 + 1*D_NE_2!H136 + D_SG_1!H136 + D_SG_2!H136 + D_SG_3!H136 + D_SO_1!H136 + D_TG_1!H136 + D_TI_1!H136 + D_VD_2!H136 + D_VS_1!H136 + D_VS_2!H136 + D_VS_3!H136 + D_ZH_1!H136 + D_ZH_2!H136 + D_ZH_3!H136 + D_ZH_4!H136 + D_ZH_5!H136 + D_ZH_6!H136</f>
        <v>0</v>
      </c>
      <c r="I135" s="33">
        <f xml:space="preserve"> 1*D_AG_1!I136 + 1*D_AG_2!I136 + 1*D_AG_3!I136 + 1*D_BE_1!I136 + 1*D_BE_2!I136 + 1*D_BE_3!I136 + 1*D_BS_1!I136 + 1*D_FR_1!I136 + 1*D_GE_1!I136 + 1*D_GL_1!I136 + 1*D_GR_1!I136 + 1*D_LU_1!I136 + 1*D_LU_2!I136 + 1*D_NE_1!I136 + 1*D_NE_2!I136 + D_SG_1!I136 + D_SG_2!I136 + D_SG_3!I136 + D_SO_1!I136 + D_TG_1!I136 + D_TI_1!I136 + D_VD_2!I136 + D_VS_1!I136 + D_VS_2!I136 + D_VS_3!I136 + D_ZH_1!I136 + D_ZH_2!I136 + D_ZH_3!I136 + D_ZH_4!I136 + D_ZH_5!I136 + D_ZH_6!I136</f>
        <v>0</v>
      </c>
      <c r="J135" s="33">
        <f xml:space="preserve"> 1*D_AG_1!J136 + 1*D_AG_2!J136 + 1*D_AG_3!J136 + 1*D_BE_1!J136 + 1*D_BE_2!J136 + 1*D_BE_3!J136 + 1*D_BS_1!J136 + 1*D_FR_1!J136 + 1*D_GE_1!J136 + 1*D_GL_1!J136 + 1*D_GR_1!J136 + 1*D_LU_1!J136 + 1*D_LU_2!J136 + 1*D_NE_1!J136 + 1*D_NE_2!J136 + D_SG_1!J136 + D_SG_2!J136 + D_SG_3!J136 + D_SO_1!J136 + D_TG_1!J136 + D_TI_1!J136 + D_VD_2!J136 + D_VS_1!J136 + D_VS_2!J136 + D_VS_3!J136 + D_ZH_1!J136 + D_ZH_2!J136 + D_ZH_3!J136 + D_ZH_4!J136 + D_ZH_5!J136 + D_ZH_6!J136</f>
        <v>0</v>
      </c>
      <c r="K135" s="33">
        <f xml:space="preserve"> 1*D_AG_1!K136 + 1*D_AG_2!K136 + 1*D_AG_3!K136 + 1*D_BE_1!K136 + 1*D_BE_2!K136 + 1*D_BE_3!K136 + 1*D_BS_1!K136 + 1*D_FR_1!K136 + 1*D_GE_1!K136 + 1*D_GL_1!K136 + 1*D_GR_1!K136 + 1*D_LU_1!K136 + 1*D_LU_2!K136 + 1*D_NE_1!K136 + 1*D_NE_2!K136 + D_SG_1!K136 + D_SG_2!K136 + D_SG_3!K136 + D_SO_1!K136 + D_TG_1!K136 + D_TI_1!K136 + D_VD_2!K136 + D_VS_1!K136 + D_VS_2!K136 + D_VS_3!K136 + D_ZH_1!K136 + D_ZH_2!K136 + D_ZH_3!K136 + D_ZH_4!K136 + D_ZH_5!K136 + D_ZH_6!K136</f>
        <v>0</v>
      </c>
      <c r="L135" s="33">
        <f xml:space="preserve"> 1*D_AG_1!L136 + 1*D_AG_2!L136 + 1*D_AG_3!L136 + 1*D_BE_1!L136 + 1*D_BE_2!L136 + 1*D_BE_3!L136 + 1*D_BS_1!L136 + 1*D_FR_1!L136 + 1*D_GE_1!L136 + 1*D_GL_1!L136 + 1*D_GR_1!L136 + 1*D_LU_1!L136 + 1*D_LU_2!L136 + 1*D_NE_1!L136 + 1*D_NE_2!L136 + D_SG_1!L136 + D_SG_2!L136 + D_SG_3!L136 + D_SO_1!L136 + D_TG_1!L136 + D_TI_1!L136 + D_VD_2!L136 + D_VS_1!L136 + D_VS_2!L136 + D_VS_3!L136 + D_ZH_1!L136 + D_ZH_2!L136 + D_ZH_3!L136 + D_ZH_4!L136 + D_ZH_5!L136 + D_ZH_6!L136</f>
        <v>0</v>
      </c>
      <c r="M135" s="33">
        <f xml:space="preserve"> 1*D_AG_1!M136 + 1*D_AG_2!M136 + 1*D_AG_3!M136 + 1*D_BE_1!M136 + 1*D_BE_2!M136 + 1*D_BE_3!M136 + 1*D_BS_1!M136 + 1*D_FR_1!M136 + 1*D_GE_1!M136 + 1*D_GL_1!M136 + 1*D_GR_1!M136 + 1*D_LU_1!M136 + 1*D_LU_2!M136 + 1*D_NE_1!M136 + 1*D_NE_2!M136 + D_SG_1!M136 + D_SG_2!M136 + D_SG_3!M136 + D_SO_1!M136 + D_TG_1!M136 + D_TI_1!M136 + D_VD_2!M136 + D_VS_1!M136 + D_VS_2!M136 + D_VS_3!M136 + D_ZH_1!M136 + D_ZH_2!M136 + D_ZH_3!M136 + D_ZH_4!M136 + D_ZH_5!M136 + D_ZH_6!M136</f>
        <v>0</v>
      </c>
      <c r="N135" s="33">
        <f xml:space="preserve"> 1*D_AG_1!N136 + 1*D_AG_2!N136 + 1*D_AG_3!N136 + 1*D_BE_1!N136 + 1*D_BE_2!N136 + 1*D_BE_3!N136 + 1*D_BS_1!N136 + 1*D_FR_1!N136 + 1*D_GE_1!N136 + 1*D_GL_1!N136 + 1*D_GR_1!N136 + 1*D_LU_1!N136 + 1*D_LU_2!N136 + 1*D_NE_1!N136 + 1*D_NE_2!N136 + D_SG_1!N136 + D_SG_2!N136 + D_SG_3!N136 + D_SO_1!N136 + D_TG_1!N136 + D_TI_1!N136 + D_VD_2!N136 + D_VS_1!N136 + D_VS_2!N136 + D_VS_3!N136 + D_ZH_1!N136 + D_ZH_2!N136 + D_ZH_3!N136 + D_ZH_4!N136 + D_ZH_5!N136 + D_ZH_6!N136</f>
        <v>0</v>
      </c>
      <c r="O135" s="33">
        <f xml:space="preserve"> 1*D_AG_1!O136 + 1*D_AG_2!O136 + 1*D_AG_3!O136 + 1*D_BE_1!O136 + 1*D_BE_2!O136 + 1*D_BE_3!O136 + 1*D_BS_1!O136 + 1*D_FR_1!O136 + 1*D_GE_1!O136 + 1*D_GL_1!O136 + 1*D_GR_1!O136 + 1*D_LU_1!O136 + 1*D_LU_2!O136 + 1*D_NE_1!O136 + 1*D_NE_2!O136 + D_SG_1!O136 + D_SG_2!O136 + D_SG_3!O136 + D_SO_1!O136 + D_TG_1!O136 + D_TI_1!O136 + D_VD_2!O136 + D_VS_1!O136 + D_VS_2!O136 + D_VS_3!O136 + D_ZH_1!O136 + D_ZH_2!O136 + D_ZH_3!O136 + D_ZH_4!O136 + D_ZH_5!O136 + D_ZH_6!O136</f>
        <v>0</v>
      </c>
      <c r="P135" s="33">
        <f xml:space="preserve"> 1*D_AG_1!P136 + 1*D_AG_2!P136 + 1*D_AG_3!P136 + 1*D_BE_1!P136 + 1*D_BE_2!P136 + 1*D_BE_3!P136 + 1*D_BS_1!P136 + 1*D_FR_1!P136 + 1*D_GE_1!P136 + 1*D_GL_1!P136 + 1*D_GR_1!P136 + 1*D_LU_1!P136 + 1*D_LU_2!P136 + 1*D_NE_1!P136 + 1*D_NE_2!P136 + D_SG_1!P136 + D_SG_2!P136 + D_SG_3!P136 + D_SO_1!P136 + D_TG_1!P136 + D_TI_1!P136 + D_VD_2!P136 + D_VS_1!P136 + D_VS_2!P136 + D_VS_3!P136 + D_ZH_1!P136 + D_ZH_2!P136 + D_ZH_3!P136 + D_ZH_4!P136 + D_ZH_5!P136 + D_ZH_6!P136</f>
        <v>0</v>
      </c>
      <c r="Q135" s="33">
        <f xml:space="preserve"> 1*D_AG_1!Q136 + 1*D_AG_2!Q136 + 1*D_AG_3!Q136 + 1*D_BE_1!Q136 + 1*D_BE_2!Q136 + 1*D_BE_3!Q136 + 1*D_BS_1!Q136 + 1*D_FR_1!Q136 + 1*D_GE_1!Q136 + 1*D_GL_1!Q136 + 1*D_GR_1!Q136 + 1*D_LU_1!Q136 + 1*D_LU_2!Q136 + 1*D_NE_1!Q136 + 1*D_NE_2!Q136 + D_SG_1!Q136 + D_SG_2!Q136 + D_SG_3!Q136 + D_SO_1!Q136 + D_TG_1!Q136 + D_TI_1!Q136 + D_VD_2!Q136 + D_VS_1!Q136 + D_VS_2!Q136 + D_VS_3!Q136 + D_ZH_1!Q136 + D_ZH_2!Q136 + D_ZH_3!Q136 + D_ZH_4!Q136 + D_ZH_5!Q136 + D_ZH_6!Q136</f>
        <v>0</v>
      </c>
      <c r="R135" s="33">
        <f xml:space="preserve"> 1*D_AG_1!R136 + 1*D_AG_2!R136 + 1*D_AG_3!R136 + 1*D_BE_1!R136 + 1*D_BE_2!R136 + 1*D_BE_3!R136 + 1*D_BS_1!R136 + 1*D_FR_1!R136 + 1*D_GE_1!R136 + 1*D_GL_1!R136 + 1*D_GR_1!R136 + 1*D_LU_1!R136 + 1*D_LU_2!R136 + 1*D_NE_1!R136 + 1*D_NE_2!R136 + D_SG_1!R136 + D_SG_2!R136 + D_SG_3!R136 + D_SO_1!R136 + D_TG_1!R136 + D_TI_1!R136 + D_VD_2!R136 + D_VS_1!R136 + D_VS_2!R136 + D_VS_3!R136 + D_ZH_1!R136 + D_ZH_2!R136 + D_ZH_3!R136 + D_ZH_4!R136 + D_ZH_5!R136 + D_ZH_6!R136</f>
        <v>0</v>
      </c>
      <c r="S135" s="33">
        <f xml:space="preserve"> 1*D_AG_1!S136 + 1*D_AG_2!S136 + 1*D_AG_3!S136 + 1*D_BE_1!S136 + 1*D_BE_2!S136 + 1*D_BE_3!S136 + 1*D_BS_1!S136 + 1*D_FR_1!S136 + 1*D_GE_1!S136 + 1*D_GL_1!S136 + 1*D_GR_1!S136 + 1*D_LU_1!S136 + 1*D_LU_2!S136 + 1*D_NE_1!S136 + 1*D_NE_2!S136 + D_SG_1!S136 + D_SG_2!S136 + D_SG_3!S136 + D_SO_1!S136 + D_TG_1!S136 + D_TI_1!S136 + D_VD_2!S136 + D_VS_1!S136 + D_VS_2!S136 + D_VS_3!S136 + D_ZH_1!S136 + D_ZH_2!S136 + D_ZH_3!S136 + D_ZH_4!S136 + D_ZH_5!S136 + D_ZH_6!S136</f>
        <v>0</v>
      </c>
    </row>
    <row r="136" spans="4:19" x14ac:dyDescent="0.3">
      <c r="D136" s="33">
        <f xml:space="preserve"> 1*D_AG_1!D137 + 1*D_AG_2!D137 + 1*D_AG_3!D137 + 1*D_BE_1!D137 + 1*D_BE_2!D137 + 1*D_BE_3!D137 + 1*D_BS_1!D137 + 1*D_FR_1!D137 + 1*D_GE_1!D137 + 1*D_GL_1!D137 + 1*D_GR_1!D137 + 1*D_LU_1!D137 + 1*D_LU_2!D137 + 1*D_NE_1!D137 + 1*D_NE_2!D137 + D_SG_1!D137 + D_SG_2!D137 + D_SG_3!D137 + D_SO_1!D137 + D_TG_1!D137 + D_TI_1!D137 + D_VD_2!D137 + D_VS_1!D137 + D_VS_2!D137 + D_VS_3!D137 + D_ZH_1!D137 + D_ZH_2!D137 + D_ZH_3!D137 + D_ZH_4!D137 + D_ZH_5!D137 + D_ZH_6!D137</f>
        <v>0</v>
      </c>
      <c r="E136" s="33">
        <f xml:space="preserve"> 1*D_AG_1!E137 + 1*D_AG_2!E137 + 1*D_AG_3!E137 + 1*D_BE_1!E137 + 1*D_BE_2!E137 + 1*D_BE_3!E137 + 1*D_BS_1!E137 + 1*D_FR_1!E137 + 1*D_GE_1!E137 + 1*D_GL_1!E137 + 1*D_GR_1!E137 + 1*D_LU_1!E137 + 1*D_LU_2!E137 + 1*D_NE_1!E137 + 1*D_NE_2!E137 + D_SG_1!E137 + D_SG_2!E137 + D_SG_3!E137 + D_SO_1!E137 + D_TG_1!E137 + D_TI_1!E137 + D_VD_2!E137 + D_VS_1!E137 + D_VS_2!E137 + D_VS_3!E137 + D_ZH_1!E137 + D_ZH_2!E137 + D_ZH_3!E137 + D_ZH_4!E137 + D_ZH_5!E137 + D_ZH_6!E137</f>
        <v>0</v>
      </c>
      <c r="F136" s="33">
        <f xml:space="preserve"> 1*D_AG_1!F137 + 1*D_AG_2!F137 + 1*D_AG_3!F137 + 1*D_BE_1!F137 + 1*D_BE_2!F137 + 1*D_BE_3!F137 + 1*D_BS_1!F137 + 1*D_FR_1!F137 + 1*D_GE_1!F137 + 1*D_GL_1!F137 + 1*D_GR_1!F137 + 1*D_LU_1!F137 + 1*D_LU_2!F137 + 1*D_NE_1!F137 + 1*D_NE_2!F137 + D_SG_1!F137 + D_SG_2!F137 + D_SG_3!F137 + D_SO_1!F137 + D_TG_1!F137 + D_TI_1!F137 + D_VD_2!F137 + D_VS_1!F137 + D_VS_2!F137 + D_VS_3!F137 + D_ZH_1!F137 + D_ZH_2!F137 + D_ZH_3!F137 + D_ZH_4!F137 + D_ZH_5!F137 + D_ZH_6!F137</f>
        <v>0</v>
      </c>
      <c r="G136" s="33">
        <f xml:space="preserve"> 1*D_AG_1!G137 + 1*D_AG_2!G137 + 1*D_AG_3!G137 + 1*D_BE_1!G137 + 1*D_BE_2!G137 + 1*D_BE_3!G137 + 1*D_BS_1!G137 + 1*D_FR_1!G137 + 1*D_GE_1!G137 + 1*D_GL_1!G137 + 1*D_GR_1!G137 + 1*D_LU_1!G137 + 1*D_LU_2!G137 + 1*D_NE_1!G137 + 1*D_NE_2!G137 + D_SG_1!G137 + D_SG_2!G137 + D_SG_3!G137 + D_SO_1!G137 + D_TG_1!G137 + D_TI_1!G137 + D_VD_2!G137 + D_VS_1!G137 + D_VS_2!G137 + D_VS_3!G137 + D_ZH_1!G137 + D_ZH_2!G137 + D_ZH_3!G137 + D_ZH_4!G137 + D_ZH_5!G137 + D_ZH_6!G137</f>
        <v>0</v>
      </c>
      <c r="H136" s="33">
        <f xml:space="preserve"> 1*D_AG_1!H137 + 1*D_AG_2!H137 + 1*D_AG_3!H137 + 1*D_BE_1!H137 + 1*D_BE_2!H137 + 1*D_BE_3!H137 + 1*D_BS_1!H137 + 1*D_FR_1!H137 + 1*D_GE_1!H137 + 1*D_GL_1!H137 + 1*D_GR_1!H137 + 1*D_LU_1!H137 + 1*D_LU_2!H137 + 1*D_NE_1!H137 + 1*D_NE_2!H137 + D_SG_1!H137 + D_SG_2!H137 + D_SG_3!H137 + D_SO_1!H137 + D_TG_1!H137 + D_TI_1!H137 + D_VD_2!H137 + D_VS_1!H137 + D_VS_2!H137 + D_VS_3!H137 + D_ZH_1!H137 + D_ZH_2!H137 + D_ZH_3!H137 + D_ZH_4!H137 + D_ZH_5!H137 + D_ZH_6!H137</f>
        <v>0</v>
      </c>
      <c r="I136" s="33">
        <f xml:space="preserve"> 1*D_AG_1!I137 + 1*D_AG_2!I137 + 1*D_AG_3!I137 + 1*D_BE_1!I137 + 1*D_BE_2!I137 + 1*D_BE_3!I137 + 1*D_BS_1!I137 + 1*D_FR_1!I137 + 1*D_GE_1!I137 + 1*D_GL_1!I137 + 1*D_GR_1!I137 + 1*D_LU_1!I137 + 1*D_LU_2!I137 + 1*D_NE_1!I137 + 1*D_NE_2!I137 + D_SG_1!I137 + D_SG_2!I137 + D_SG_3!I137 + D_SO_1!I137 + D_TG_1!I137 + D_TI_1!I137 + D_VD_2!I137 + D_VS_1!I137 + D_VS_2!I137 + D_VS_3!I137 + D_ZH_1!I137 + D_ZH_2!I137 + D_ZH_3!I137 + D_ZH_4!I137 + D_ZH_5!I137 + D_ZH_6!I137</f>
        <v>0</v>
      </c>
      <c r="J136" s="33">
        <f xml:space="preserve"> 1*D_AG_1!J137 + 1*D_AG_2!J137 + 1*D_AG_3!J137 + 1*D_BE_1!J137 + 1*D_BE_2!J137 + 1*D_BE_3!J137 + 1*D_BS_1!J137 + 1*D_FR_1!J137 + 1*D_GE_1!J137 + 1*D_GL_1!J137 + 1*D_GR_1!J137 + 1*D_LU_1!J137 + 1*D_LU_2!J137 + 1*D_NE_1!J137 + 1*D_NE_2!J137 + D_SG_1!J137 + D_SG_2!J137 + D_SG_3!J137 + D_SO_1!J137 + D_TG_1!J137 + D_TI_1!J137 + D_VD_2!J137 + D_VS_1!J137 + D_VS_2!J137 + D_VS_3!J137 + D_ZH_1!J137 + D_ZH_2!J137 + D_ZH_3!J137 + D_ZH_4!J137 + D_ZH_5!J137 + D_ZH_6!J137</f>
        <v>0</v>
      </c>
      <c r="K136" s="33">
        <f xml:space="preserve"> 1*D_AG_1!K137 + 1*D_AG_2!K137 + 1*D_AG_3!K137 + 1*D_BE_1!K137 + 1*D_BE_2!K137 + 1*D_BE_3!K137 + 1*D_BS_1!K137 + 1*D_FR_1!K137 + 1*D_GE_1!K137 + 1*D_GL_1!K137 + 1*D_GR_1!K137 + 1*D_LU_1!K137 + 1*D_LU_2!K137 + 1*D_NE_1!K137 + 1*D_NE_2!K137 + D_SG_1!K137 + D_SG_2!K137 + D_SG_3!K137 + D_SO_1!K137 + D_TG_1!K137 + D_TI_1!K137 + D_VD_2!K137 + D_VS_1!K137 + D_VS_2!K137 + D_VS_3!K137 + D_ZH_1!K137 + D_ZH_2!K137 + D_ZH_3!K137 + D_ZH_4!K137 + D_ZH_5!K137 + D_ZH_6!K137</f>
        <v>0</v>
      </c>
      <c r="L136" s="33">
        <f xml:space="preserve"> 1*D_AG_1!L137 + 1*D_AG_2!L137 + 1*D_AG_3!L137 + 1*D_BE_1!L137 + 1*D_BE_2!L137 + 1*D_BE_3!L137 + 1*D_BS_1!L137 + 1*D_FR_1!L137 + 1*D_GE_1!L137 + 1*D_GL_1!L137 + 1*D_GR_1!L137 + 1*D_LU_1!L137 + 1*D_LU_2!L137 + 1*D_NE_1!L137 + 1*D_NE_2!L137 + D_SG_1!L137 + D_SG_2!L137 + D_SG_3!L137 + D_SO_1!L137 + D_TG_1!L137 + D_TI_1!L137 + D_VD_2!L137 + D_VS_1!L137 + D_VS_2!L137 + D_VS_3!L137 + D_ZH_1!L137 + D_ZH_2!L137 + D_ZH_3!L137 + D_ZH_4!L137 + D_ZH_5!L137 + D_ZH_6!L137</f>
        <v>0</v>
      </c>
      <c r="M136" s="33">
        <f xml:space="preserve"> 1*D_AG_1!M137 + 1*D_AG_2!M137 + 1*D_AG_3!M137 + 1*D_BE_1!M137 + 1*D_BE_2!M137 + 1*D_BE_3!M137 + 1*D_BS_1!M137 + 1*D_FR_1!M137 + 1*D_GE_1!M137 + 1*D_GL_1!M137 + 1*D_GR_1!M137 + 1*D_LU_1!M137 + 1*D_LU_2!M137 + 1*D_NE_1!M137 + 1*D_NE_2!M137 + D_SG_1!M137 + D_SG_2!M137 + D_SG_3!M137 + D_SO_1!M137 + D_TG_1!M137 + D_TI_1!M137 + D_VD_2!M137 + D_VS_1!M137 + D_VS_2!M137 + D_VS_3!M137 + D_ZH_1!M137 + D_ZH_2!M137 + D_ZH_3!M137 + D_ZH_4!M137 + D_ZH_5!M137 + D_ZH_6!M137</f>
        <v>0</v>
      </c>
      <c r="N136" s="33">
        <f xml:space="preserve"> 1*D_AG_1!N137 + 1*D_AG_2!N137 + 1*D_AG_3!N137 + 1*D_BE_1!N137 + 1*D_BE_2!N137 + 1*D_BE_3!N137 + 1*D_BS_1!N137 + 1*D_FR_1!N137 + 1*D_GE_1!N137 + 1*D_GL_1!N137 + 1*D_GR_1!N137 + 1*D_LU_1!N137 + 1*D_LU_2!N137 + 1*D_NE_1!N137 + 1*D_NE_2!N137 + D_SG_1!N137 + D_SG_2!N137 + D_SG_3!N137 + D_SO_1!N137 + D_TG_1!N137 + D_TI_1!N137 + D_VD_2!N137 + D_VS_1!N137 + D_VS_2!N137 + D_VS_3!N137 + D_ZH_1!N137 + D_ZH_2!N137 + D_ZH_3!N137 + D_ZH_4!N137 + D_ZH_5!N137 + D_ZH_6!N137</f>
        <v>0</v>
      </c>
      <c r="O136" s="33">
        <f xml:space="preserve"> 1*D_AG_1!O137 + 1*D_AG_2!O137 + 1*D_AG_3!O137 + 1*D_BE_1!O137 + 1*D_BE_2!O137 + 1*D_BE_3!O137 + 1*D_BS_1!O137 + 1*D_FR_1!O137 + 1*D_GE_1!O137 + 1*D_GL_1!O137 + 1*D_GR_1!O137 + 1*D_LU_1!O137 + 1*D_LU_2!O137 + 1*D_NE_1!O137 + 1*D_NE_2!O137 + D_SG_1!O137 + D_SG_2!O137 + D_SG_3!O137 + D_SO_1!O137 + D_TG_1!O137 + D_TI_1!O137 + D_VD_2!O137 + D_VS_1!O137 + D_VS_2!O137 + D_VS_3!O137 + D_ZH_1!O137 + D_ZH_2!O137 + D_ZH_3!O137 + D_ZH_4!O137 + D_ZH_5!O137 + D_ZH_6!O137</f>
        <v>0</v>
      </c>
      <c r="P136" s="33">
        <f xml:space="preserve"> 1*D_AG_1!P137 + 1*D_AG_2!P137 + 1*D_AG_3!P137 + 1*D_BE_1!P137 + 1*D_BE_2!P137 + 1*D_BE_3!P137 + 1*D_BS_1!P137 + 1*D_FR_1!P137 + 1*D_GE_1!P137 + 1*D_GL_1!P137 + 1*D_GR_1!P137 + 1*D_LU_1!P137 + 1*D_LU_2!P137 + 1*D_NE_1!P137 + 1*D_NE_2!P137 + D_SG_1!P137 + D_SG_2!P137 + D_SG_3!P137 + D_SO_1!P137 + D_TG_1!P137 + D_TI_1!P137 + D_VD_2!P137 + D_VS_1!P137 + D_VS_2!P137 + D_VS_3!P137 + D_ZH_1!P137 + D_ZH_2!P137 + D_ZH_3!P137 + D_ZH_4!P137 + D_ZH_5!P137 + D_ZH_6!P137</f>
        <v>0</v>
      </c>
      <c r="Q136" s="33">
        <f xml:space="preserve"> 1*D_AG_1!Q137 + 1*D_AG_2!Q137 + 1*D_AG_3!Q137 + 1*D_BE_1!Q137 + 1*D_BE_2!Q137 + 1*D_BE_3!Q137 + 1*D_BS_1!Q137 + 1*D_FR_1!Q137 + 1*D_GE_1!Q137 + 1*D_GL_1!Q137 + 1*D_GR_1!Q137 + 1*D_LU_1!Q137 + 1*D_LU_2!Q137 + 1*D_NE_1!Q137 + 1*D_NE_2!Q137 + D_SG_1!Q137 + D_SG_2!Q137 + D_SG_3!Q137 + D_SO_1!Q137 + D_TG_1!Q137 + D_TI_1!Q137 + D_VD_2!Q137 + D_VS_1!Q137 + D_VS_2!Q137 + D_VS_3!Q137 + D_ZH_1!Q137 + D_ZH_2!Q137 + D_ZH_3!Q137 + D_ZH_4!Q137 + D_ZH_5!Q137 + D_ZH_6!Q137</f>
        <v>0</v>
      </c>
      <c r="R136" s="33">
        <f xml:space="preserve"> 1*D_AG_1!R137 + 1*D_AG_2!R137 + 1*D_AG_3!R137 + 1*D_BE_1!R137 + 1*D_BE_2!R137 + 1*D_BE_3!R137 + 1*D_BS_1!R137 + 1*D_FR_1!R137 + 1*D_GE_1!R137 + 1*D_GL_1!R137 + 1*D_GR_1!R137 + 1*D_LU_1!R137 + 1*D_LU_2!R137 + 1*D_NE_1!R137 + 1*D_NE_2!R137 + D_SG_1!R137 + D_SG_2!R137 + D_SG_3!R137 + D_SO_1!R137 + D_TG_1!R137 + D_TI_1!R137 + D_VD_2!R137 + D_VS_1!R137 + D_VS_2!R137 + D_VS_3!R137 + D_ZH_1!R137 + D_ZH_2!R137 + D_ZH_3!R137 + D_ZH_4!R137 + D_ZH_5!R137 + D_ZH_6!R137</f>
        <v>0</v>
      </c>
      <c r="S136" s="33">
        <f xml:space="preserve"> 1*D_AG_1!S137 + 1*D_AG_2!S137 + 1*D_AG_3!S137 + 1*D_BE_1!S137 + 1*D_BE_2!S137 + 1*D_BE_3!S137 + 1*D_BS_1!S137 + 1*D_FR_1!S137 + 1*D_GE_1!S137 + 1*D_GL_1!S137 + 1*D_GR_1!S137 + 1*D_LU_1!S137 + 1*D_LU_2!S137 + 1*D_NE_1!S137 + 1*D_NE_2!S137 + D_SG_1!S137 + D_SG_2!S137 + D_SG_3!S137 + D_SO_1!S137 + D_TG_1!S137 + D_TI_1!S137 + D_VD_2!S137 + D_VS_1!S137 + D_VS_2!S137 + D_VS_3!S137 + D_ZH_1!S137 + D_ZH_2!S137 + D_ZH_3!S137 + D_ZH_4!S137 + D_ZH_5!S137 + D_ZH_6!S137</f>
        <v>0</v>
      </c>
    </row>
    <row r="137" spans="4:19" x14ac:dyDescent="0.3">
      <c r="D137" s="33">
        <f xml:space="preserve"> 1*D_AG_1!D138 + 1*D_AG_2!D138 + 1*D_AG_3!D138 + 1*D_BE_1!D138 + 1*D_BE_2!D138 + 1*D_BE_3!D138 + 1*D_BS_1!D138 + 1*D_FR_1!D138 + 1*D_GE_1!D138 + 1*D_GL_1!D138 + 1*D_GR_1!D138 + 1*D_LU_1!D138 + 1*D_LU_2!D138 + 1*D_NE_1!D138 + 1*D_NE_2!D138 + D_SG_1!D138 + D_SG_2!D138 + D_SG_3!D138 + D_SO_1!D138 + D_TG_1!D138 + D_TI_1!D138 + D_VD_2!D138 + D_VS_1!D138 + D_VS_2!D138 + D_VS_3!D138 + D_ZH_1!D138 + D_ZH_2!D138 + D_ZH_3!D138 + D_ZH_4!D138 + D_ZH_5!D138 + D_ZH_6!D138</f>
        <v>0</v>
      </c>
      <c r="E137" s="33">
        <f xml:space="preserve"> 1*D_AG_1!E138 + 1*D_AG_2!E138 + 1*D_AG_3!E138 + 1*D_BE_1!E138 + 1*D_BE_2!E138 + 1*D_BE_3!E138 + 1*D_BS_1!E138 + 1*D_FR_1!E138 + 1*D_GE_1!E138 + 1*D_GL_1!E138 + 1*D_GR_1!E138 + 1*D_LU_1!E138 + 1*D_LU_2!E138 + 1*D_NE_1!E138 + 1*D_NE_2!E138 + D_SG_1!E138 + D_SG_2!E138 + D_SG_3!E138 + D_SO_1!E138 + D_TG_1!E138 + D_TI_1!E138 + D_VD_2!E138 + D_VS_1!E138 + D_VS_2!E138 + D_VS_3!E138 + D_ZH_1!E138 + D_ZH_2!E138 + D_ZH_3!E138 + D_ZH_4!E138 + D_ZH_5!E138 + D_ZH_6!E138</f>
        <v>0</v>
      </c>
      <c r="F137" s="33">
        <f xml:space="preserve"> 1*D_AG_1!F138 + 1*D_AG_2!F138 + 1*D_AG_3!F138 + 1*D_BE_1!F138 + 1*D_BE_2!F138 + 1*D_BE_3!F138 + 1*D_BS_1!F138 + 1*D_FR_1!F138 + 1*D_GE_1!F138 + 1*D_GL_1!F138 + 1*D_GR_1!F138 + 1*D_LU_1!F138 + 1*D_LU_2!F138 + 1*D_NE_1!F138 + 1*D_NE_2!F138 + D_SG_1!F138 + D_SG_2!F138 + D_SG_3!F138 + D_SO_1!F138 + D_TG_1!F138 + D_TI_1!F138 + D_VD_2!F138 + D_VS_1!F138 + D_VS_2!F138 + D_VS_3!F138 + D_ZH_1!F138 + D_ZH_2!F138 + D_ZH_3!F138 + D_ZH_4!F138 + D_ZH_5!F138 + D_ZH_6!F138</f>
        <v>0</v>
      </c>
      <c r="G137" s="33">
        <f xml:space="preserve"> 1*D_AG_1!G138 + 1*D_AG_2!G138 + 1*D_AG_3!G138 + 1*D_BE_1!G138 + 1*D_BE_2!G138 + 1*D_BE_3!G138 + 1*D_BS_1!G138 + 1*D_FR_1!G138 + 1*D_GE_1!G138 + 1*D_GL_1!G138 + 1*D_GR_1!G138 + 1*D_LU_1!G138 + 1*D_LU_2!G138 + 1*D_NE_1!G138 + 1*D_NE_2!G138 + D_SG_1!G138 + D_SG_2!G138 + D_SG_3!G138 + D_SO_1!G138 + D_TG_1!G138 + D_TI_1!G138 + D_VD_2!G138 + D_VS_1!G138 + D_VS_2!G138 + D_VS_3!G138 + D_ZH_1!G138 + D_ZH_2!G138 + D_ZH_3!G138 + D_ZH_4!G138 + D_ZH_5!G138 + D_ZH_6!G138</f>
        <v>0</v>
      </c>
      <c r="H137" s="33">
        <f xml:space="preserve"> 1*D_AG_1!H138 + 1*D_AG_2!H138 + 1*D_AG_3!H138 + 1*D_BE_1!H138 + 1*D_BE_2!H138 + 1*D_BE_3!H138 + 1*D_BS_1!H138 + 1*D_FR_1!H138 + 1*D_GE_1!H138 + 1*D_GL_1!H138 + 1*D_GR_1!H138 + 1*D_LU_1!H138 + 1*D_LU_2!H138 + 1*D_NE_1!H138 + 1*D_NE_2!H138 + D_SG_1!H138 + D_SG_2!H138 + D_SG_3!H138 + D_SO_1!H138 + D_TG_1!H138 + D_TI_1!H138 + D_VD_2!H138 + D_VS_1!H138 + D_VS_2!H138 + D_VS_3!H138 + D_ZH_1!H138 + D_ZH_2!H138 + D_ZH_3!H138 + D_ZH_4!H138 + D_ZH_5!H138 + D_ZH_6!H138</f>
        <v>0</v>
      </c>
      <c r="I137" s="33">
        <f xml:space="preserve"> 1*D_AG_1!I138 + 1*D_AG_2!I138 + 1*D_AG_3!I138 + 1*D_BE_1!I138 + 1*D_BE_2!I138 + 1*D_BE_3!I138 + 1*D_BS_1!I138 + 1*D_FR_1!I138 + 1*D_GE_1!I138 + 1*D_GL_1!I138 + 1*D_GR_1!I138 + 1*D_LU_1!I138 + 1*D_LU_2!I138 + 1*D_NE_1!I138 + 1*D_NE_2!I138 + D_SG_1!I138 + D_SG_2!I138 + D_SG_3!I138 + D_SO_1!I138 + D_TG_1!I138 + D_TI_1!I138 + D_VD_2!I138 + D_VS_1!I138 + D_VS_2!I138 + D_VS_3!I138 + D_ZH_1!I138 + D_ZH_2!I138 + D_ZH_3!I138 + D_ZH_4!I138 + D_ZH_5!I138 + D_ZH_6!I138</f>
        <v>0</v>
      </c>
      <c r="J137" s="33">
        <f xml:space="preserve"> 1*D_AG_1!J138 + 1*D_AG_2!J138 + 1*D_AG_3!J138 + 1*D_BE_1!J138 + 1*D_BE_2!J138 + 1*D_BE_3!J138 + 1*D_BS_1!J138 + 1*D_FR_1!J138 + 1*D_GE_1!J138 + 1*D_GL_1!J138 + 1*D_GR_1!J138 + 1*D_LU_1!J138 + 1*D_LU_2!J138 + 1*D_NE_1!J138 + 1*D_NE_2!J138 + D_SG_1!J138 + D_SG_2!J138 + D_SG_3!J138 + D_SO_1!J138 + D_TG_1!J138 + D_TI_1!J138 + D_VD_2!J138 + D_VS_1!J138 + D_VS_2!J138 + D_VS_3!J138 + D_ZH_1!J138 + D_ZH_2!J138 + D_ZH_3!J138 + D_ZH_4!J138 + D_ZH_5!J138 + D_ZH_6!J138</f>
        <v>0</v>
      </c>
      <c r="K137" s="33">
        <f xml:space="preserve"> 1*D_AG_1!K138 + 1*D_AG_2!K138 + 1*D_AG_3!K138 + 1*D_BE_1!K138 + 1*D_BE_2!K138 + 1*D_BE_3!K138 + 1*D_BS_1!K138 + 1*D_FR_1!K138 + 1*D_GE_1!K138 + 1*D_GL_1!K138 + 1*D_GR_1!K138 + 1*D_LU_1!K138 + 1*D_LU_2!K138 + 1*D_NE_1!K138 + 1*D_NE_2!K138 + D_SG_1!K138 + D_SG_2!K138 + D_SG_3!K138 + D_SO_1!K138 + D_TG_1!K138 + D_TI_1!K138 + D_VD_2!K138 + D_VS_1!K138 + D_VS_2!K138 + D_VS_3!K138 + D_ZH_1!K138 + D_ZH_2!K138 + D_ZH_3!K138 + D_ZH_4!K138 + D_ZH_5!K138 + D_ZH_6!K138</f>
        <v>0</v>
      </c>
      <c r="L137" s="33">
        <f xml:space="preserve"> 1*D_AG_1!L138 + 1*D_AG_2!L138 + 1*D_AG_3!L138 + 1*D_BE_1!L138 + 1*D_BE_2!L138 + 1*D_BE_3!L138 + 1*D_BS_1!L138 + 1*D_FR_1!L138 + 1*D_GE_1!L138 + 1*D_GL_1!L138 + 1*D_GR_1!L138 + 1*D_LU_1!L138 + 1*D_LU_2!L138 + 1*D_NE_1!L138 + 1*D_NE_2!L138 + D_SG_1!L138 + D_SG_2!L138 + D_SG_3!L138 + D_SO_1!L138 + D_TG_1!L138 + D_TI_1!L138 + D_VD_2!L138 + D_VS_1!L138 + D_VS_2!L138 + D_VS_3!L138 + D_ZH_1!L138 + D_ZH_2!L138 + D_ZH_3!L138 + D_ZH_4!L138 + D_ZH_5!L138 + D_ZH_6!L138</f>
        <v>0</v>
      </c>
      <c r="M137" s="33">
        <f xml:space="preserve"> 1*D_AG_1!M138 + 1*D_AG_2!M138 + 1*D_AG_3!M138 + 1*D_BE_1!M138 + 1*D_BE_2!M138 + 1*D_BE_3!M138 + 1*D_BS_1!M138 + 1*D_FR_1!M138 + 1*D_GE_1!M138 + 1*D_GL_1!M138 + 1*D_GR_1!M138 + 1*D_LU_1!M138 + 1*D_LU_2!M138 + 1*D_NE_1!M138 + 1*D_NE_2!M138 + D_SG_1!M138 + D_SG_2!M138 + D_SG_3!M138 + D_SO_1!M138 + D_TG_1!M138 + D_TI_1!M138 + D_VD_2!M138 + D_VS_1!M138 + D_VS_2!M138 + D_VS_3!M138 + D_ZH_1!M138 + D_ZH_2!M138 + D_ZH_3!M138 + D_ZH_4!M138 + D_ZH_5!M138 + D_ZH_6!M138</f>
        <v>0</v>
      </c>
      <c r="N137" s="33">
        <f xml:space="preserve"> 1*D_AG_1!N138 + 1*D_AG_2!N138 + 1*D_AG_3!N138 + 1*D_BE_1!N138 + 1*D_BE_2!N138 + 1*D_BE_3!N138 + 1*D_BS_1!N138 + 1*D_FR_1!N138 + 1*D_GE_1!N138 + 1*D_GL_1!N138 + 1*D_GR_1!N138 + 1*D_LU_1!N138 + 1*D_LU_2!N138 + 1*D_NE_1!N138 + 1*D_NE_2!N138 + D_SG_1!N138 + D_SG_2!N138 + D_SG_3!N138 + D_SO_1!N138 + D_TG_1!N138 + D_TI_1!N138 + D_VD_2!N138 + D_VS_1!N138 + D_VS_2!N138 + D_VS_3!N138 + D_ZH_1!N138 + D_ZH_2!N138 + D_ZH_3!N138 + D_ZH_4!N138 + D_ZH_5!N138 + D_ZH_6!N138</f>
        <v>0</v>
      </c>
      <c r="O137" s="33">
        <f xml:space="preserve"> 1*D_AG_1!O138 + 1*D_AG_2!O138 + 1*D_AG_3!O138 + 1*D_BE_1!O138 + 1*D_BE_2!O138 + 1*D_BE_3!O138 + 1*D_BS_1!O138 + 1*D_FR_1!O138 + 1*D_GE_1!O138 + 1*D_GL_1!O138 + 1*D_GR_1!O138 + 1*D_LU_1!O138 + 1*D_LU_2!O138 + 1*D_NE_1!O138 + 1*D_NE_2!O138 + D_SG_1!O138 + D_SG_2!O138 + D_SG_3!O138 + D_SO_1!O138 + D_TG_1!O138 + D_TI_1!O138 + D_VD_2!O138 + D_VS_1!O138 + D_VS_2!O138 + D_VS_3!O138 + D_ZH_1!O138 + D_ZH_2!O138 + D_ZH_3!O138 + D_ZH_4!O138 + D_ZH_5!O138 + D_ZH_6!O138</f>
        <v>0</v>
      </c>
      <c r="P137" s="33">
        <f xml:space="preserve"> 1*D_AG_1!P138 + 1*D_AG_2!P138 + 1*D_AG_3!P138 + 1*D_BE_1!P138 + 1*D_BE_2!P138 + 1*D_BE_3!P138 + 1*D_BS_1!P138 + 1*D_FR_1!P138 + 1*D_GE_1!P138 + 1*D_GL_1!P138 + 1*D_GR_1!P138 + 1*D_LU_1!P138 + 1*D_LU_2!P138 + 1*D_NE_1!P138 + 1*D_NE_2!P138 + D_SG_1!P138 + D_SG_2!P138 + D_SG_3!P138 + D_SO_1!P138 + D_TG_1!P138 + D_TI_1!P138 + D_VD_2!P138 + D_VS_1!P138 + D_VS_2!P138 + D_VS_3!P138 + D_ZH_1!P138 + D_ZH_2!P138 + D_ZH_3!P138 + D_ZH_4!P138 + D_ZH_5!P138 + D_ZH_6!P138</f>
        <v>0</v>
      </c>
      <c r="Q137" s="33">
        <f xml:space="preserve"> 1*D_AG_1!Q138 + 1*D_AG_2!Q138 + 1*D_AG_3!Q138 + 1*D_BE_1!Q138 + 1*D_BE_2!Q138 + 1*D_BE_3!Q138 + 1*D_BS_1!Q138 + 1*D_FR_1!Q138 + 1*D_GE_1!Q138 + 1*D_GL_1!Q138 + 1*D_GR_1!Q138 + 1*D_LU_1!Q138 + 1*D_LU_2!Q138 + 1*D_NE_1!Q138 + 1*D_NE_2!Q138 + D_SG_1!Q138 + D_SG_2!Q138 + D_SG_3!Q138 + D_SO_1!Q138 + D_TG_1!Q138 + D_TI_1!Q138 + D_VD_2!Q138 + D_VS_1!Q138 + D_VS_2!Q138 + D_VS_3!Q138 + D_ZH_1!Q138 + D_ZH_2!Q138 + D_ZH_3!Q138 + D_ZH_4!Q138 + D_ZH_5!Q138 + D_ZH_6!Q138</f>
        <v>0</v>
      </c>
      <c r="R137" s="33">
        <f xml:space="preserve"> 1*D_AG_1!R138 + 1*D_AG_2!R138 + 1*D_AG_3!R138 + 1*D_BE_1!R138 + 1*D_BE_2!R138 + 1*D_BE_3!R138 + 1*D_BS_1!R138 + 1*D_FR_1!R138 + 1*D_GE_1!R138 + 1*D_GL_1!R138 + 1*D_GR_1!R138 + 1*D_LU_1!R138 + 1*D_LU_2!R138 + 1*D_NE_1!R138 + 1*D_NE_2!R138 + D_SG_1!R138 + D_SG_2!R138 + D_SG_3!R138 + D_SO_1!R138 + D_TG_1!R138 + D_TI_1!R138 + D_VD_2!R138 + D_VS_1!R138 + D_VS_2!R138 + D_VS_3!R138 + D_ZH_1!R138 + D_ZH_2!R138 + D_ZH_3!R138 + D_ZH_4!R138 + D_ZH_5!R138 + D_ZH_6!R138</f>
        <v>0</v>
      </c>
      <c r="S137" s="33">
        <f xml:space="preserve"> 1*D_AG_1!S138 + 1*D_AG_2!S138 + 1*D_AG_3!S138 + 1*D_BE_1!S138 + 1*D_BE_2!S138 + 1*D_BE_3!S138 + 1*D_BS_1!S138 + 1*D_FR_1!S138 + 1*D_GE_1!S138 + 1*D_GL_1!S138 + 1*D_GR_1!S138 + 1*D_LU_1!S138 + 1*D_LU_2!S138 + 1*D_NE_1!S138 + 1*D_NE_2!S138 + D_SG_1!S138 + D_SG_2!S138 + D_SG_3!S138 + D_SO_1!S138 + D_TG_1!S138 + D_TI_1!S138 + D_VD_2!S138 + D_VS_1!S138 + D_VS_2!S138 + D_VS_3!S138 + D_ZH_1!S138 + D_ZH_2!S138 + D_ZH_3!S138 + D_ZH_4!S138 + D_ZH_5!S138 + D_ZH_6!S138</f>
        <v>0</v>
      </c>
    </row>
    <row r="138" spans="4:19" x14ac:dyDescent="0.3">
      <c r="D138" s="33">
        <f xml:space="preserve"> 1*D_AG_1!D139 + 1*D_AG_2!D139 + 1*D_AG_3!D139 + 1*D_BE_1!D139 + 1*D_BE_2!D139 + 1*D_BE_3!D139 + 1*D_BS_1!D139 + 1*D_FR_1!D139 + 1*D_GE_1!D139 + 1*D_GL_1!D139 + 1*D_GR_1!D139 + 1*D_LU_1!D139 + 1*D_LU_2!D139 + 1*D_NE_1!D139 + 1*D_NE_2!D139 + D_SG_1!D139 + D_SG_2!D139 + D_SG_3!D139 + D_SO_1!D139 + D_TG_1!D139 + D_TI_1!D139 + D_VD_2!D139 + D_VS_1!D139 + D_VS_2!D139 + D_VS_3!D139 + D_ZH_1!D139 + D_ZH_2!D139 + D_ZH_3!D139 + D_ZH_4!D139 + D_ZH_5!D139 + D_ZH_6!D139</f>
        <v>0</v>
      </c>
      <c r="E138" s="33">
        <f xml:space="preserve"> 1*D_AG_1!E139 + 1*D_AG_2!E139 + 1*D_AG_3!E139 + 1*D_BE_1!E139 + 1*D_BE_2!E139 + 1*D_BE_3!E139 + 1*D_BS_1!E139 + 1*D_FR_1!E139 + 1*D_GE_1!E139 + 1*D_GL_1!E139 + 1*D_GR_1!E139 + 1*D_LU_1!E139 + 1*D_LU_2!E139 + 1*D_NE_1!E139 + 1*D_NE_2!E139 + D_SG_1!E139 + D_SG_2!E139 + D_SG_3!E139 + D_SO_1!E139 + D_TG_1!E139 + D_TI_1!E139 + D_VD_2!E139 + D_VS_1!E139 + D_VS_2!E139 + D_VS_3!E139 + D_ZH_1!E139 + D_ZH_2!E139 + D_ZH_3!E139 + D_ZH_4!E139 + D_ZH_5!E139 + D_ZH_6!E139</f>
        <v>0</v>
      </c>
      <c r="F138" s="33">
        <f xml:space="preserve"> 1*D_AG_1!F139 + 1*D_AG_2!F139 + 1*D_AG_3!F139 + 1*D_BE_1!F139 + 1*D_BE_2!F139 + 1*D_BE_3!F139 + 1*D_BS_1!F139 + 1*D_FR_1!F139 + 1*D_GE_1!F139 + 1*D_GL_1!F139 + 1*D_GR_1!F139 + 1*D_LU_1!F139 + 1*D_LU_2!F139 + 1*D_NE_1!F139 + 1*D_NE_2!F139 + D_SG_1!F139 + D_SG_2!F139 + D_SG_3!F139 + D_SO_1!F139 + D_TG_1!F139 + D_TI_1!F139 + D_VD_2!F139 + D_VS_1!F139 + D_VS_2!F139 + D_VS_3!F139 + D_ZH_1!F139 + D_ZH_2!F139 + D_ZH_3!F139 + D_ZH_4!F139 + D_ZH_5!F139 + D_ZH_6!F139</f>
        <v>0</v>
      </c>
      <c r="G138" s="33">
        <f xml:space="preserve"> 1*D_AG_1!G139 + 1*D_AG_2!G139 + 1*D_AG_3!G139 + 1*D_BE_1!G139 + 1*D_BE_2!G139 + 1*D_BE_3!G139 + 1*D_BS_1!G139 + 1*D_FR_1!G139 + 1*D_GE_1!G139 + 1*D_GL_1!G139 + 1*D_GR_1!G139 + 1*D_LU_1!G139 + 1*D_LU_2!G139 + 1*D_NE_1!G139 + 1*D_NE_2!G139 + D_SG_1!G139 + D_SG_2!G139 + D_SG_3!G139 + D_SO_1!G139 + D_TG_1!G139 + D_TI_1!G139 + D_VD_2!G139 + D_VS_1!G139 + D_VS_2!G139 + D_VS_3!G139 + D_ZH_1!G139 + D_ZH_2!G139 + D_ZH_3!G139 + D_ZH_4!G139 + D_ZH_5!G139 + D_ZH_6!G139</f>
        <v>0</v>
      </c>
      <c r="H138" s="33">
        <f xml:space="preserve"> 1*D_AG_1!H139 + 1*D_AG_2!H139 + 1*D_AG_3!H139 + 1*D_BE_1!H139 + 1*D_BE_2!H139 + 1*D_BE_3!H139 + 1*D_BS_1!H139 + 1*D_FR_1!H139 + 1*D_GE_1!H139 + 1*D_GL_1!H139 + 1*D_GR_1!H139 + 1*D_LU_1!H139 + 1*D_LU_2!H139 + 1*D_NE_1!H139 + 1*D_NE_2!H139 + D_SG_1!H139 + D_SG_2!H139 + D_SG_3!H139 + D_SO_1!H139 + D_TG_1!H139 + D_TI_1!H139 + D_VD_2!H139 + D_VS_1!H139 + D_VS_2!H139 + D_VS_3!H139 + D_ZH_1!H139 + D_ZH_2!H139 + D_ZH_3!H139 + D_ZH_4!H139 + D_ZH_5!H139 + D_ZH_6!H139</f>
        <v>0</v>
      </c>
      <c r="I138" s="33">
        <f xml:space="preserve"> 1*D_AG_1!I139 + 1*D_AG_2!I139 + 1*D_AG_3!I139 + 1*D_BE_1!I139 + 1*D_BE_2!I139 + 1*D_BE_3!I139 + 1*D_BS_1!I139 + 1*D_FR_1!I139 + 1*D_GE_1!I139 + 1*D_GL_1!I139 + 1*D_GR_1!I139 + 1*D_LU_1!I139 + 1*D_LU_2!I139 + 1*D_NE_1!I139 + 1*D_NE_2!I139 + D_SG_1!I139 + D_SG_2!I139 + D_SG_3!I139 + D_SO_1!I139 + D_TG_1!I139 + D_TI_1!I139 + D_VD_2!I139 + D_VS_1!I139 + D_VS_2!I139 + D_VS_3!I139 + D_ZH_1!I139 + D_ZH_2!I139 + D_ZH_3!I139 + D_ZH_4!I139 + D_ZH_5!I139 + D_ZH_6!I139</f>
        <v>0</v>
      </c>
      <c r="J138" s="33">
        <f xml:space="preserve"> 1*D_AG_1!J139 + 1*D_AG_2!J139 + 1*D_AG_3!J139 + 1*D_BE_1!J139 + 1*D_BE_2!J139 + 1*D_BE_3!J139 + 1*D_BS_1!J139 + 1*D_FR_1!J139 + 1*D_GE_1!J139 + 1*D_GL_1!J139 + 1*D_GR_1!J139 + 1*D_LU_1!J139 + 1*D_LU_2!J139 + 1*D_NE_1!J139 + 1*D_NE_2!J139 + D_SG_1!J139 + D_SG_2!J139 + D_SG_3!J139 + D_SO_1!J139 + D_TG_1!J139 + D_TI_1!J139 + D_VD_2!J139 + D_VS_1!J139 + D_VS_2!J139 + D_VS_3!J139 + D_ZH_1!J139 + D_ZH_2!J139 + D_ZH_3!J139 + D_ZH_4!J139 + D_ZH_5!J139 + D_ZH_6!J139</f>
        <v>0</v>
      </c>
      <c r="K138" s="33">
        <f xml:space="preserve"> 1*D_AG_1!K139 + 1*D_AG_2!K139 + 1*D_AG_3!K139 + 1*D_BE_1!K139 + 1*D_BE_2!K139 + 1*D_BE_3!K139 + 1*D_BS_1!K139 + 1*D_FR_1!K139 + 1*D_GE_1!K139 + 1*D_GL_1!K139 + 1*D_GR_1!K139 + 1*D_LU_1!K139 + 1*D_LU_2!K139 + 1*D_NE_1!K139 + 1*D_NE_2!K139 + D_SG_1!K139 + D_SG_2!K139 + D_SG_3!K139 + D_SO_1!K139 + D_TG_1!K139 + D_TI_1!K139 + D_VD_2!K139 + D_VS_1!K139 + D_VS_2!K139 + D_VS_3!K139 + D_ZH_1!K139 + D_ZH_2!K139 + D_ZH_3!K139 + D_ZH_4!K139 + D_ZH_5!K139 + D_ZH_6!K139</f>
        <v>0</v>
      </c>
      <c r="L138" s="33">
        <f xml:space="preserve"> 1*D_AG_1!L139 + 1*D_AG_2!L139 + 1*D_AG_3!L139 + 1*D_BE_1!L139 + 1*D_BE_2!L139 + 1*D_BE_3!L139 + 1*D_BS_1!L139 + 1*D_FR_1!L139 + 1*D_GE_1!L139 + 1*D_GL_1!L139 + 1*D_GR_1!L139 + 1*D_LU_1!L139 + 1*D_LU_2!L139 + 1*D_NE_1!L139 + 1*D_NE_2!L139 + D_SG_1!L139 + D_SG_2!L139 + D_SG_3!L139 + D_SO_1!L139 + D_TG_1!L139 + D_TI_1!L139 + D_VD_2!L139 + D_VS_1!L139 + D_VS_2!L139 + D_VS_3!L139 + D_ZH_1!L139 + D_ZH_2!L139 + D_ZH_3!L139 + D_ZH_4!L139 + D_ZH_5!L139 + D_ZH_6!L139</f>
        <v>0</v>
      </c>
      <c r="M138" s="33">
        <f xml:space="preserve"> 1*D_AG_1!M139 + 1*D_AG_2!M139 + 1*D_AG_3!M139 + 1*D_BE_1!M139 + 1*D_BE_2!M139 + 1*D_BE_3!M139 + 1*D_BS_1!M139 + 1*D_FR_1!M139 + 1*D_GE_1!M139 + 1*D_GL_1!M139 + 1*D_GR_1!M139 + 1*D_LU_1!M139 + 1*D_LU_2!M139 + 1*D_NE_1!M139 + 1*D_NE_2!M139 + D_SG_1!M139 + D_SG_2!M139 + D_SG_3!M139 + D_SO_1!M139 + D_TG_1!M139 + D_TI_1!M139 + D_VD_2!M139 + D_VS_1!M139 + D_VS_2!M139 + D_VS_3!M139 + D_ZH_1!M139 + D_ZH_2!M139 + D_ZH_3!M139 + D_ZH_4!M139 + D_ZH_5!M139 + D_ZH_6!M139</f>
        <v>0</v>
      </c>
      <c r="N138" s="33">
        <f xml:space="preserve"> 1*D_AG_1!N139 + 1*D_AG_2!N139 + 1*D_AG_3!N139 + 1*D_BE_1!N139 + 1*D_BE_2!N139 + 1*D_BE_3!N139 + 1*D_BS_1!N139 + 1*D_FR_1!N139 + 1*D_GE_1!N139 + 1*D_GL_1!N139 + 1*D_GR_1!N139 + 1*D_LU_1!N139 + 1*D_LU_2!N139 + 1*D_NE_1!N139 + 1*D_NE_2!N139 + D_SG_1!N139 + D_SG_2!N139 + D_SG_3!N139 + D_SO_1!N139 + D_TG_1!N139 + D_TI_1!N139 + D_VD_2!N139 + D_VS_1!N139 + D_VS_2!N139 + D_VS_3!N139 + D_ZH_1!N139 + D_ZH_2!N139 + D_ZH_3!N139 + D_ZH_4!N139 + D_ZH_5!N139 + D_ZH_6!N139</f>
        <v>0</v>
      </c>
      <c r="O138" s="33">
        <f xml:space="preserve"> 1*D_AG_1!O139 + 1*D_AG_2!O139 + 1*D_AG_3!O139 + 1*D_BE_1!O139 + 1*D_BE_2!O139 + 1*D_BE_3!O139 + 1*D_BS_1!O139 + 1*D_FR_1!O139 + 1*D_GE_1!O139 + 1*D_GL_1!O139 + 1*D_GR_1!O139 + 1*D_LU_1!O139 + 1*D_LU_2!O139 + 1*D_NE_1!O139 + 1*D_NE_2!O139 + D_SG_1!O139 + D_SG_2!O139 + D_SG_3!O139 + D_SO_1!O139 + D_TG_1!O139 + D_TI_1!O139 + D_VD_2!O139 + D_VS_1!O139 + D_VS_2!O139 + D_VS_3!O139 + D_ZH_1!O139 + D_ZH_2!O139 + D_ZH_3!O139 + D_ZH_4!O139 + D_ZH_5!O139 + D_ZH_6!O139</f>
        <v>0</v>
      </c>
      <c r="P138" s="33">
        <f xml:space="preserve"> 1*D_AG_1!P139 + 1*D_AG_2!P139 + 1*D_AG_3!P139 + 1*D_BE_1!P139 + 1*D_BE_2!P139 + 1*D_BE_3!P139 + 1*D_BS_1!P139 + 1*D_FR_1!P139 + 1*D_GE_1!P139 + 1*D_GL_1!P139 + 1*D_GR_1!P139 + 1*D_LU_1!P139 + 1*D_LU_2!P139 + 1*D_NE_1!P139 + 1*D_NE_2!P139 + D_SG_1!P139 + D_SG_2!P139 + D_SG_3!P139 + D_SO_1!P139 + D_TG_1!P139 + D_TI_1!P139 + D_VD_2!P139 + D_VS_1!P139 + D_VS_2!P139 + D_VS_3!P139 + D_ZH_1!P139 + D_ZH_2!P139 + D_ZH_3!P139 + D_ZH_4!P139 + D_ZH_5!P139 + D_ZH_6!P139</f>
        <v>0</v>
      </c>
      <c r="Q138" s="33">
        <f xml:space="preserve"> 1*D_AG_1!Q139 + 1*D_AG_2!Q139 + 1*D_AG_3!Q139 + 1*D_BE_1!Q139 + 1*D_BE_2!Q139 + 1*D_BE_3!Q139 + 1*D_BS_1!Q139 + 1*D_FR_1!Q139 + 1*D_GE_1!Q139 + 1*D_GL_1!Q139 + 1*D_GR_1!Q139 + 1*D_LU_1!Q139 + 1*D_LU_2!Q139 + 1*D_NE_1!Q139 + 1*D_NE_2!Q139 + D_SG_1!Q139 + D_SG_2!Q139 + D_SG_3!Q139 + D_SO_1!Q139 + D_TG_1!Q139 + D_TI_1!Q139 + D_VD_2!Q139 + D_VS_1!Q139 + D_VS_2!Q139 + D_VS_3!Q139 + D_ZH_1!Q139 + D_ZH_2!Q139 + D_ZH_3!Q139 + D_ZH_4!Q139 + D_ZH_5!Q139 + D_ZH_6!Q139</f>
        <v>0</v>
      </c>
      <c r="R138" s="33">
        <f xml:space="preserve"> 1*D_AG_1!R139 + 1*D_AG_2!R139 + 1*D_AG_3!R139 + 1*D_BE_1!R139 + 1*D_BE_2!R139 + 1*D_BE_3!R139 + 1*D_BS_1!R139 + 1*D_FR_1!R139 + 1*D_GE_1!R139 + 1*D_GL_1!R139 + 1*D_GR_1!R139 + 1*D_LU_1!R139 + 1*D_LU_2!R139 + 1*D_NE_1!R139 + 1*D_NE_2!R139 + D_SG_1!R139 + D_SG_2!R139 + D_SG_3!R139 + D_SO_1!R139 + D_TG_1!R139 + D_TI_1!R139 + D_VD_2!R139 + D_VS_1!R139 + D_VS_2!R139 + D_VS_3!R139 + D_ZH_1!R139 + D_ZH_2!R139 + D_ZH_3!R139 + D_ZH_4!R139 + D_ZH_5!R139 + D_ZH_6!R139</f>
        <v>0</v>
      </c>
      <c r="S138" s="33">
        <f xml:space="preserve"> 1*D_AG_1!S139 + 1*D_AG_2!S139 + 1*D_AG_3!S139 + 1*D_BE_1!S139 + 1*D_BE_2!S139 + 1*D_BE_3!S139 + 1*D_BS_1!S139 + 1*D_FR_1!S139 + 1*D_GE_1!S139 + 1*D_GL_1!S139 + 1*D_GR_1!S139 + 1*D_LU_1!S139 + 1*D_LU_2!S139 + 1*D_NE_1!S139 + 1*D_NE_2!S139 + D_SG_1!S139 + D_SG_2!S139 + D_SG_3!S139 + D_SO_1!S139 + D_TG_1!S139 + D_TI_1!S139 + D_VD_2!S139 + D_VS_1!S139 + D_VS_2!S139 + D_VS_3!S139 + D_ZH_1!S139 + D_ZH_2!S139 + D_ZH_3!S139 + D_ZH_4!S139 + D_ZH_5!S139 + D_ZH_6!S139</f>
        <v>0</v>
      </c>
    </row>
    <row r="139" spans="4:19" x14ac:dyDescent="0.3">
      <c r="D139" s="33">
        <f xml:space="preserve"> 1*D_AG_1!D140 + 1*D_AG_2!D140 + 1*D_AG_3!D140 + 1*D_BE_1!D140 + 1*D_BE_2!D140 + 1*D_BE_3!D140 + 1*D_BS_1!D140 + 1*D_FR_1!D140 + 1*D_GE_1!D140 + 1*D_GL_1!D140 + 1*D_GR_1!D140 + 1*D_LU_1!D140 + 1*D_LU_2!D140 + 1*D_NE_1!D140 + 1*D_NE_2!D140 + D_SG_1!D140 + D_SG_2!D140 + D_SG_3!D140 + D_SO_1!D140 + D_TG_1!D140 + D_TI_1!D140 + D_VD_2!D140 + D_VS_1!D140 + D_VS_2!D140 + D_VS_3!D140 + D_ZH_1!D140 + D_ZH_2!D140 + D_ZH_3!D140 + D_ZH_4!D140 + D_ZH_5!D140 + D_ZH_6!D140</f>
        <v>0</v>
      </c>
      <c r="E139" s="33">
        <f xml:space="preserve"> 1*D_AG_1!E140 + 1*D_AG_2!E140 + 1*D_AG_3!E140 + 1*D_BE_1!E140 + 1*D_BE_2!E140 + 1*D_BE_3!E140 + 1*D_BS_1!E140 + 1*D_FR_1!E140 + 1*D_GE_1!E140 + 1*D_GL_1!E140 + 1*D_GR_1!E140 + 1*D_LU_1!E140 + 1*D_LU_2!E140 + 1*D_NE_1!E140 + 1*D_NE_2!E140 + D_SG_1!E140 + D_SG_2!E140 + D_SG_3!E140 + D_SO_1!E140 + D_TG_1!E140 + D_TI_1!E140 + D_VD_2!E140 + D_VS_1!E140 + D_VS_2!E140 + D_VS_3!E140 + D_ZH_1!E140 + D_ZH_2!E140 + D_ZH_3!E140 + D_ZH_4!E140 + D_ZH_5!E140 + D_ZH_6!E140</f>
        <v>0</v>
      </c>
      <c r="F139" s="33">
        <f xml:space="preserve"> 1*D_AG_1!F140 + 1*D_AG_2!F140 + 1*D_AG_3!F140 + 1*D_BE_1!F140 + 1*D_BE_2!F140 + 1*D_BE_3!F140 + 1*D_BS_1!F140 + 1*D_FR_1!F140 + 1*D_GE_1!F140 + 1*D_GL_1!F140 + 1*D_GR_1!F140 + 1*D_LU_1!F140 + 1*D_LU_2!F140 + 1*D_NE_1!F140 + 1*D_NE_2!F140 + D_SG_1!F140 + D_SG_2!F140 + D_SG_3!F140 + D_SO_1!F140 + D_TG_1!F140 + D_TI_1!F140 + D_VD_2!F140 + D_VS_1!F140 + D_VS_2!F140 + D_VS_3!F140 + D_ZH_1!F140 + D_ZH_2!F140 + D_ZH_3!F140 + D_ZH_4!F140 + D_ZH_5!F140 + D_ZH_6!F140</f>
        <v>0</v>
      </c>
      <c r="G139" s="33">
        <f xml:space="preserve"> 1*D_AG_1!G140 + 1*D_AG_2!G140 + 1*D_AG_3!G140 + 1*D_BE_1!G140 + 1*D_BE_2!G140 + 1*D_BE_3!G140 + 1*D_BS_1!G140 + 1*D_FR_1!G140 + 1*D_GE_1!G140 + 1*D_GL_1!G140 + 1*D_GR_1!G140 + 1*D_LU_1!G140 + 1*D_LU_2!G140 + 1*D_NE_1!G140 + 1*D_NE_2!G140 + D_SG_1!G140 + D_SG_2!G140 + D_SG_3!G140 + D_SO_1!G140 + D_TG_1!G140 + D_TI_1!G140 + D_VD_2!G140 + D_VS_1!G140 + D_VS_2!G140 + D_VS_3!G140 + D_ZH_1!G140 + D_ZH_2!G140 + D_ZH_3!G140 + D_ZH_4!G140 + D_ZH_5!G140 + D_ZH_6!G140</f>
        <v>0</v>
      </c>
      <c r="H139" s="33">
        <f xml:space="preserve"> 1*D_AG_1!H140 + 1*D_AG_2!H140 + 1*D_AG_3!H140 + 1*D_BE_1!H140 + 1*D_BE_2!H140 + 1*D_BE_3!H140 + 1*D_BS_1!H140 + 1*D_FR_1!H140 + 1*D_GE_1!H140 + 1*D_GL_1!H140 + 1*D_GR_1!H140 + 1*D_LU_1!H140 + 1*D_LU_2!H140 + 1*D_NE_1!H140 + 1*D_NE_2!H140 + D_SG_1!H140 + D_SG_2!H140 + D_SG_3!H140 + D_SO_1!H140 + D_TG_1!H140 + D_TI_1!H140 + D_VD_2!H140 + D_VS_1!H140 + D_VS_2!H140 + D_VS_3!H140 + D_ZH_1!H140 + D_ZH_2!H140 + D_ZH_3!H140 + D_ZH_4!H140 + D_ZH_5!H140 + D_ZH_6!H140</f>
        <v>0</v>
      </c>
      <c r="I139" s="33">
        <f xml:space="preserve"> 1*D_AG_1!I140 + 1*D_AG_2!I140 + 1*D_AG_3!I140 + 1*D_BE_1!I140 + 1*D_BE_2!I140 + 1*D_BE_3!I140 + 1*D_BS_1!I140 + 1*D_FR_1!I140 + 1*D_GE_1!I140 + 1*D_GL_1!I140 + 1*D_GR_1!I140 + 1*D_LU_1!I140 + 1*D_LU_2!I140 + 1*D_NE_1!I140 + 1*D_NE_2!I140 + D_SG_1!I140 + D_SG_2!I140 + D_SG_3!I140 + D_SO_1!I140 + D_TG_1!I140 + D_TI_1!I140 + D_VD_2!I140 + D_VS_1!I140 + D_VS_2!I140 + D_VS_3!I140 + D_ZH_1!I140 + D_ZH_2!I140 + D_ZH_3!I140 + D_ZH_4!I140 + D_ZH_5!I140 + D_ZH_6!I140</f>
        <v>0</v>
      </c>
      <c r="J139" s="33">
        <f xml:space="preserve"> 1*D_AG_1!J140 + 1*D_AG_2!J140 + 1*D_AG_3!J140 + 1*D_BE_1!J140 + 1*D_BE_2!J140 + 1*D_BE_3!J140 + 1*D_BS_1!J140 + 1*D_FR_1!J140 + 1*D_GE_1!J140 + 1*D_GL_1!J140 + 1*D_GR_1!J140 + 1*D_LU_1!J140 + 1*D_LU_2!J140 + 1*D_NE_1!J140 + 1*D_NE_2!J140 + D_SG_1!J140 + D_SG_2!J140 + D_SG_3!J140 + D_SO_1!J140 + D_TG_1!J140 + D_TI_1!J140 + D_VD_2!J140 + D_VS_1!J140 + D_VS_2!J140 + D_VS_3!J140 + D_ZH_1!J140 + D_ZH_2!J140 + D_ZH_3!J140 + D_ZH_4!J140 + D_ZH_5!J140 + D_ZH_6!J140</f>
        <v>0</v>
      </c>
      <c r="K139" s="33">
        <f xml:space="preserve"> 1*D_AG_1!K140 + 1*D_AG_2!K140 + 1*D_AG_3!K140 + 1*D_BE_1!K140 + 1*D_BE_2!K140 + 1*D_BE_3!K140 + 1*D_BS_1!K140 + 1*D_FR_1!K140 + 1*D_GE_1!K140 + 1*D_GL_1!K140 + 1*D_GR_1!K140 + 1*D_LU_1!K140 + 1*D_LU_2!K140 + 1*D_NE_1!K140 + 1*D_NE_2!K140 + D_SG_1!K140 + D_SG_2!K140 + D_SG_3!K140 + D_SO_1!K140 + D_TG_1!K140 + D_TI_1!K140 + D_VD_2!K140 + D_VS_1!K140 + D_VS_2!K140 + D_VS_3!K140 + D_ZH_1!K140 + D_ZH_2!K140 + D_ZH_3!K140 + D_ZH_4!K140 + D_ZH_5!K140 + D_ZH_6!K140</f>
        <v>0</v>
      </c>
      <c r="L139" s="33">
        <f xml:space="preserve"> 1*D_AG_1!L140 + 1*D_AG_2!L140 + 1*D_AG_3!L140 + 1*D_BE_1!L140 + 1*D_BE_2!L140 + 1*D_BE_3!L140 + 1*D_BS_1!L140 + 1*D_FR_1!L140 + 1*D_GE_1!L140 + 1*D_GL_1!L140 + 1*D_GR_1!L140 + 1*D_LU_1!L140 + 1*D_LU_2!L140 + 1*D_NE_1!L140 + 1*D_NE_2!L140 + D_SG_1!L140 + D_SG_2!L140 + D_SG_3!L140 + D_SO_1!L140 + D_TG_1!L140 + D_TI_1!L140 + D_VD_2!L140 + D_VS_1!L140 + D_VS_2!L140 + D_VS_3!L140 + D_ZH_1!L140 + D_ZH_2!L140 + D_ZH_3!L140 + D_ZH_4!L140 + D_ZH_5!L140 + D_ZH_6!L140</f>
        <v>0</v>
      </c>
      <c r="M139" s="33">
        <f xml:space="preserve"> 1*D_AG_1!M140 + 1*D_AG_2!M140 + 1*D_AG_3!M140 + 1*D_BE_1!M140 + 1*D_BE_2!M140 + 1*D_BE_3!M140 + 1*D_BS_1!M140 + 1*D_FR_1!M140 + 1*D_GE_1!M140 + 1*D_GL_1!M140 + 1*D_GR_1!M140 + 1*D_LU_1!M140 + 1*D_LU_2!M140 + 1*D_NE_1!M140 + 1*D_NE_2!M140 + D_SG_1!M140 + D_SG_2!M140 + D_SG_3!M140 + D_SO_1!M140 + D_TG_1!M140 + D_TI_1!M140 + D_VD_2!M140 + D_VS_1!M140 + D_VS_2!M140 + D_VS_3!M140 + D_ZH_1!M140 + D_ZH_2!M140 + D_ZH_3!M140 + D_ZH_4!M140 + D_ZH_5!M140 + D_ZH_6!M140</f>
        <v>0</v>
      </c>
      <c r="N139" s="33">
        <f xml:space="preserve"> 1*D_AG_1!N140 + 1*D_AG_2!N140 + 1*D_AG_3!N140 + 1*D_BE_1!N140 + 1*D_BE_2!N140 + 1*D_BE_3!N140 + 1*D_BS_1!N140 + 1*D_FR_1!N140 + 1*D_GE_1!N140 + 1*D_GL_1!N140 + 1*D_GR_1!N140 + 1*D_LU_1!N140 + 1*D_LU_2!N140 + 1*D_NE_1!N140 + 1*D_NE_2!N140 + D_SG_1!N140 + D_SG_2!N140 + D_SG_3!N140 + D_SO_1!N140 + D_TG_1!N140 + D_TI_1!N140 + D_VD_2!N140 + D_VS_1!N140 + D_VS_2!N140 + D_VS_3!N140 + D_ZH_1!N140 + D_ZH_2!N140 + D_ZH_3!N140 + D_ZH_4!N140 + D_ZH_5!N140 + D_ZH_6!N140</f>
        <v>0</v>
      </c>
      <c r="O139" s="33">
        <f xml:space="preserve"> 1*D_AG_1!O140 + 1*D_AG_2!O140 + 1*D_AG_3!O140 + 1*D_BE_1!O140 + 1*D_BE_2!O140 + 1*D_BE_3!O140 + 1*D_BS_1!O140 + 1*D_FR_1!O140 + 1*D_GE_1!O140 + 1*D_GL_1!O140 + 1*D_GR_1!O140 + 1*D_LU_1!O140 + 1*D_LU_2!O140 + 1*D_NE_1!O140 + 1*D_NE_2!O140 + D_SG_1!O140 + D_SG_2!O140 + D_SG_3!O140 + D_SO_1!O140 + D_TG_1!O140 + D_TI_1!O140 + D_VD_2!O140 + D_VS_1!O140 + D_VS_2!O140 + D_VS_3!O140 + D_ZH_1!O140 + D_ZH_2!O140 + D_ZH_3!O140 + D_ZH_4!O140 + D_ZH_5!O140 + D_ZH_6!O140</f>
        <v>0</v>
      </c>
      <c r="P139" s="33">
        <f xml:space="preserve"> 1*D_AG_1!P140 + 1*D_AG_2!P140 + 1*D_AG_3!P140 + 1*D_BE_1!P140 + 1*D_BE_2!P140 + 1*D_BE_3!P140 + 1*D_BS_1!P140 + 1*D_FR_1!P140 + 1*D_GE_1!P140 + 1*D_GL_1!P140 + 1*D_GR_1!P140 + 1*D_LU_1!P140 + 1*D_LU_2!P140 + 1*D_NE_1!P140 + 1*D_NE_2!P140 + D_SG_1!P140 + D_SG_2!P140 + D_SG_3!P140 + D_SO_1!P140 + D_TG_1!P140 + D_TI_1!P140 + D_VD_2!P140 + D_VS_1!P140 + D_VS_2!P140 + D_VS_3!P140 + D_ZH_1!P140 + D_ZH_2!P140 + D_ZH_3!P140 + D_ZH_4!P140 + D_ZH_5!P140 + D_ZH_6!P140</f>
        <v>0</v>
      </c>
      <c r="Q139" s="33">
        <f xml:space="preserve"> 1*D_AG_1!Q140 + 1*D_AG_2!Q140 + 1*D_AG_3!Q140 + 1*D_BE_1!Q140 + 1*D_BE_2!Q140 + 1*D_BE_3!Q140 + 1*D_BS_1!Q140 + 1*D_FR_1!Q140 + 1*D_GE_1!Q140 + 1*D_GL_1!Q140 + 1*D_GR_1!Q140 + 1*D_LU_1!Q140 + 1*D_LU_2!Q140 + 1*D_NE_1!Q140 + 1*D_NE_2!Q140 + D_SG_1!Q140 + D_SG_2!Q140 + D_SG_3!Q140 + D_SO_1!Q140 + D_TG_1!Q140 + D_TI_1!Q140 + D_VD_2!Q140 + D_VS_1!Q140 + D_VS_2!Q140 + D_VS_3!Q140 + D_ZH_1!Q140 + D_ZH_2!Q140 + D_ZH_3!Q140 + D_ZH_4!Q140 + D_ZH_5!Q140 + D_ZH_6!Q140</f>
        <v>0</v>
      </c>
      <c r="R139" s="33">
        <f xml:space="preserve"> 1*D_AG_1!R140 + 1*D_AG_2!R140 + 1*D_AG_3!R140 + 1*D_BE_1!R140 + 1*D_BE_2!R140 + 1*D_BE_3!R140 + 1*D_BS_1!R140 + 1*D_FR_1!R140 + 1*D_GE_1!R140 + 1*D_GL_1!R140 + 1*D_GR_1!R140 + 1*D_LU_1!R140 + 1*D_LU_2!R140 + 1*D_NE_1!R140 + 1*D_NE_2!R140 + D_SG_1!R140 + D_SG_2!R140 + D_SG_3!R140 + D_SO_1!R140 + D_TG_1!R140 + D_TI_1!R140 + D_VD_2!R140 + D_VS_1!R140 + D_VS_2!R140 + D_VS_3!R140 + D_ZH_1!R140 + D_ZH_2!R140 + D_ZH_3!R140 + D_ZH_4!R140 + D_ZH_5!R140 + D_ZH_6!R140</f>
        <v>0</v>
      </c>
      <c r="S139" s="33">
        <f xml:space="preserve"> 1*D_AG_1!S140 + 1*D_AG_2!S140 + 1*D_AG_3!S140 + 1*D_BE_1!S140 + 1*D_BE_2!S140 + 1*D_BE_3!S140 + 1*D_BS_1!S140 + 1*D_FR_1!S140 + 1*D_GE_1!S140 + 1*D_GL_1!S140 + 1*D_GR_1!S140 + 1*D_LU_1!S140 + 1*D_LU_2!S140 + 1*D_NE_1!S140 + 1*D_NE_2!S140 + D_SG_1!S140 + D_SG_2!S140 + D_SG_3!S140 + D_SO_1!S140 + D_TG_1!S140 + D_TI_1!S140 + D_VD_2!S140 + D_VS_1!S140 + D_VS_2!S140 + D_VS_3!S140 + D_ZH_1!S140 + D_ZH_2!S140 + D_ZH_3!S140 + D_ZH_4!S140 + D_ZH_5!S140 + D_ZH_6!S140</f>
        <v>0</v>
      </c>
    </row>
    <row r="149" spans="4:19" x14ac:dyDescent="0.3">
      <c r="D149" s="33">
        <f xml:space="preserve"> 1*D_AG_1!D150 + 1*D_AG_2!D150 + 1*D_AG_3!D150 + 1*D_BE_1!D150 + 1*D_BE_2!D150 + 1*D_BE_3!D150 + 1*D_BS_1!D150 + 1*D_FR_1!D150 + 1*D_GE_1!D150 + 1*D_GL_1!D150 + 1*D_GR_1!D150 + 1*D_LU_1!D150 + 1*D_LU_2!D150 + 1*D_NE_1!D150 + 1*D_NE_2!D150 + D_SG_1!D150 + D_SG_2!D150 + D_SG_3!D150 + D_SO_1!D150 + D_TG_1!D150 + D_TI_1!D150 + D_VD_2!D150 + D_VS_1!D150 + D_VS_2!D150 + D_VS_3!D150 + D_ZH_1!D150 + D_ZH_2!D150 + D_ZH_3!D150 + D_ZH_4!D150 + D_ZH_5!D150 + D_ZH_6!D150</f>
        <v>0</v>
      </c>
      <c r="E149" s="33">
        <f xml:space="preserve"> 1*D_AG_1!E150 + 1*D_AG_2!E150 + 1*D_AG_3!E150 + 1*D_BE_1!E150 + 1*D_BE_2!E150 + 1*D_BE_3!E150 + 1*D_BS_1!E150 + 1*D_FR_1!E150 + 1*D_GE_1!E150 + 1*D_GL_1!E150 + 1*D_GR_1!E150 + 1*D_LU_1!E150 + 1*D_LU_2!E150 + 1*D_NE_1!E150 + 1*D_NE_2!E150 + D_SG_1!E150 + D_SG_2!E150 + D_SG_3!E150 + D_SO_1!E150 + D_TG_1!E150 + D_TI_1!E150 + D_VD_2!E150 + D_VS_1!E150 + D_VS_2!E150 + D_VS_3!E150 + D_ZH_1!E150 + D_ZH_2!E150 + D_ZH_3!E150 + D_ZH_4!E150 + D_ZH_5!E150 + D_ZH_6!E150</f>
        <v>0</v>
      </c>
      <c r="F149" s="33">
        <f xml:space="preserve"> 1*D_AG_1!F150 + 1*D_AG_2!F150 + 1*D_AG_3!F150 + 1*D_BE_1!F150 + 1*D_BE_2!F150 + 1*D_BE_3!F150 + 1*D_BS_1!F150 + 1*D_FR_1!F150 + 1*D_GE_1!F150 + 1*D_GL_1!F150 + 1*D_GR_1!F150 + 1*D_LU_1!F150 + 1*D_LU_2!F150 + 1*D_NE_1!F150 + 1*D_NE_2!F150 + D_SG_1!F150 + D_SG_2!F150 + D_SG_3!F150 + D_SO_1!F150 + D_TG_1!F150 + D_TI_1!F150 + D_VD_2!F150 + D_VS_1!F150 + D_VS_2!F150 + D_VS_3!F150 + D_ZH_1!F150 + D_ZH_2!F150 + D_ZH_3!F150 + D_ZH_4!F150 + D_ZH_5!F150 + D_ZH_6!F150</f>
        <v>0</v>
      </c>
      <c r="G149" s="33">
        <f xml:space="preserve"> 1*D_AG_1!G150 + 1*D_AG_2!G150 + 1*D_AG_3!G150 + 1*D_BE_1!G150 + 1*D_BE_2!G150 + 1*D_BE_3!G150 + 1*D_BS_1!G150 + 1*D_FR_1!G150 + 1*D_GE_1!G150 + 1*D_GL_1!G150 + 1*D_GR_1!G150 + 1*D_LU_1!G150 + 1*D_LU_2!G150 + 1*D_NE_1!G150 + 1*D_NE_2!G150 + D_SG_1!G150 + D_SG_2!G150 + D_SG_3!G150 + D_SO_1!G150 + D_TG_1!G150 + D_TI_1!G150 + D_VD_2!G150 + D_VS_1!G150 + D_VS_2!G150 + D_VS_3!G150 + D_ZH_1!G150 + D_ZH_2!G150 + D_ZH_3!G150 + D_ZH_4!G150 + D_ZH_5!G150 + D_ZH_6!G150</f>
        <v>0</v>
      </c>
      <c r="H149" s="33">
        <f xml:space="preserve"> 1*D_AG_1!H150 + 1*D_AG_2!H150 + 1*D_AG_3!H150 + 1*D_BE_1!H150 + 1*D_BE_2!H150 + 1*D_BE_3!H150 + 1*D_BS_1!H150 + 1*D_FR_1!H150 + 1*D_GE_1!H150 + 1*D_GL_1!H150 + 1*D_GR_1!H150 + 1*D_LU_1!H150 + 1*D_LU_2!H150 + 1*D_NE_1!H150 + 1*D_NE_2!H150 + D_SG_1!H150 + D_SG_2!H150 + D_SG_3!H150 + D_SO_1!H150 + D_TG_1!H150 + D_TI_1!H150 + D_VD_2!H150 + D_VS_1!H150 + D_VS_2!H150 + D_VS_3!H150 + D_ZH_1!H150 + D_ZH_2!H150 + D_ZH_3!H150 + D_ZH_4!H150 + D_ZH_5!H150 + D_ZH_6!H150</f>
        <v>0</v>
      </c>
      <c r="I149" s="33">
        <f xml:space="preserve"> 1*D_AG_1!I150 + 1*D_AG_2!I150 + 1*D_AG_3!I150 + 1*D_BE_1!I150 + 1*D_BE_2!I150 + 1*D_BE_3!I150 + 1*D_BS_1!I150 + 1*D_FR_1!I150 + 1*D_GE_1!I150 + 1*D_GL_1!I150 + 1*D_GR_1!I150 + 1*D_LU_1!I150 + 1*D_LU_2!I150 + 1*D_NE_1!I150 + 1*D_NE_2!I150 + D_SG_1!I150 + D_SG_2!I150 + D_SG_3!I150 + D_SO_1!I150 + D_TG_1!I150 + D_TI_1!I150 + D_VD_2!I150 + D_VS_1!I150 + D_VS_2!I150 + D_VS_3!I150 + D_ZH_1!I150 + D_ZH_2!I150 + D_ZH_3!I150 + D_ZH_4!I150 + D_ZH_5!I150 + D_ZH_6!I150</f>
        <v>0</v>
      </c>
      <c r="J149" s="33">
        <f xml:space="preserve"> 1*D_AG_1!J150 + 1*D_AG_2!J150 + 1*D_AG_3!J150 + 1*D_BE_1!J150 + 1*D_BE_2!J150 + 1*D_BE_3!J150 + 1*D_BS_1!J150 + 1*D_FR_1!J150 + 1*D_GE_1!J150 + 1*D_GL_1!J150 + 1*D_GR_1!J150 + 1*D_LU_1!J150 + 1*D_LU_2!J150 + 1*D_NE_1!J150 + 1*D_NE_2!J150 + D_SG_1!J150 + D_SG_2!J150 + D_SG_3!J150 + D_SO_1!J150 + D_TG_1!J150 + D_TI_1!J150 + D_VD_2!J150 + D_VS_1!J150 + D_VS_2!J150 + D_VS_3!J150 + D_ZH_1!J150 + D_ZH_2!J150 + D_ZH_3!J150 + D_ZH_4!J150 + D_ZH_5!J150 + D_ZH_6!J150</f>
        <v>0</v>
      </c>
      <c r="K149" s="33">
        <f xml:space="preserve"> 1*D_AG_1!K150 + 1*D_AG_2!K150 + 1*D_AG_3!K150 + 1*D_BE_1!K150 + 1*D_BE_2!K150 + 1*D_BE_3!K150 + 1*D_BS_1!K150 + 1*D_FR_1!K150 + 1*D_GE_1!K150 + 1*D_GL_1!K150 + 1*D_GR_1!K150 + 1*D_LU_1!K150 + 1*D_LU_2!K150 + 1*D_NE_1!K150 + 1*D_NE_2!K150 + D_SG_1!K150 + D_SG_2!K150 + D_SG_3!K150 + D_SO_1!K150 + D_TG_1!K150 + D_TI_1!K150 + D_VD_2!K150 + D_VS_1!K150 + D_VS_2!K150 + D_VS_3!K150 + D_ZH_1!K150 + D_ZH_2!K150 + D_ZH_3!K150 + D_ZH_4!K150 + D_ZH_5!K150 + D_ZH_6!K150</f>
        <v>0</v>
      </c>
      <c r="L149" s="33">
        <f xml:space="preserve"> 1*D_AG_1!L150 + 1*D_AG_2!L150 + 1*D_AG_3!L150 + 1*D_BE_1!L150 + 1*D_BE_2!L150 + 1*D_BE_3!L150 + 1*D_BS_1!L150 + 1*D_FR_1!L150 + 1*D_GE_1!L150 + 1*D_GL_1!L150 + 1*D_GR_1!L150 + 1*D_LU_1!L150 + 1*D_LU_2!L150 + 1*D_NE_1!L150 + 1*D_NE_2!L150 + D_SG_1!L150 + D_SG_2!L150 + D_SG_3!L150 + D_SO_1!L150 + D_TG_1!L150 + D_TI_1!L150 + D_VD_2!L150 + D_VS_1!L150 + D_VS_2!L150 + D_VS_3!L150 + D_ZH_1!L150 + D_ZH_2!L150 + D_ZH_3!L150 + D_ZH_4!L150 + D_ZH_5!L150 + D_ZH_6!L150</f>
        <v>0</v>
      </c>
      <c r="M149" s="33">
        <f xml:space="preserve"> 1*D_AG_1!M150 + 1*D_AG_2!M150 + 1*D_AG_3!M150 + 1*D_BE_1!M150 + 1*D_BE_2!M150 + 1*D_BE_3!M150 + 1*D_BS_1!M150 + 1*D_FR_1!M150 + 1*D_GE_1!M150 + 1*D_GL_1!M150 + 1*D_GR_1!M150 + 1*D_LU_1!M150 + 1*D_LU_2!M150 + 1*D_NE_1!M150 + 1*D_NE_2!M150 + D_SG_1!M150 + D_SG_2!M150 + D_SG_3!M150 + D_SO_1!M150 + D_TG_1!M150 + D_TI_1!M150 + D_VD_2!M150 + D_VS_1!M150 + D_VS_2!M150 + D_VS_3!M150 + D_ZH_1!M150 + D_ZH_2!M150 + D_ZH_3!M150 + D_ZH_4!M150 + D_ZH_5!M150 + D_ZH_6!M150</f>
        <v>0</v>
      </c>
      <c r="N149" s="33">
        <f xml:space="preserve"> 1*D_AG_1!N150 + 1*D_AG_2!N150 + 1*D_AG_3!N150 + 1*D_BE_1!N150 + 1*D_BE_2!N150 + 1*D_BE_3!N150 + 1*D_BS_1!N150 + 1*D_FR_1!N150 + 1*D_GE_1!N150 + 1*D_GL_1!N150 + 1*D_GR_1!N150 + 1*D_LU_1!N150 + 1*D_LU_2!N150 + 1*D_NE_1!N150 + 1*D_NE_2!N150 + D_SG_1!N150 + D_SG_2!N150 + D_SG_3!N150 + D_SO_1!N150 + D_TG_1!N150 + D_TI_1!N150 + D_VD_2!N150 + D_VS_1!N150 + D_VS_2!N150 + D_VS_3!N150 + D_ZH_1!N150 + D_ZH_2!N150 + D_ZH_3!N150 + D_ZH_4!N150 + D_ZH_5!N150 + D_ZH_6!N150</f>
        <v>0</v>
      </c>
      <c r="O149" s="33">
        <f xml:space="preserve"> 1*D_AG_1!O150 + 1*D_AG_2!O150 + 1*D_AG_3!O150 + 1*D_BE_1!O150 + 1*D_BE_2!O150 + 1*D_BE_3!O150 + 1*D_BS_1!O150 + 1*D_FR_1!O150 + 1*D_GE_1!O150 + 1*D_GL_1!O150 + 1*D_GR_1!O150 + 1*D_LU_1!O150 + 1*D_LU_2!O150 + 1*D_NE_1!O150 + 1*D_NE_2!O150 + D_SG_1!O150 + D_SG_2!O150 + D_SG_3!O150 + D_SO_1!O150 + D_TG_1!O150 + D_TI_1!O150 + D_VD_2!O150 + D_VS_1!O150 + D_VS_2!O150 + D_VS_3!O150 + D_ZH_1!O150 + D_ZH_2!O150 + D_ZH_3!O150 + D_ZH_4!O150 + D_ZH_5!O150 + D_ZH_6!O150</f>
        <v>0</v>
      </c>
      <c r="P149" s="33">
        <f xml:space="preserve"> 1*D_AG_1!P150 + 1*D_AG_2!P150 + 1*D_AG_3!P150 + 1*D_BE_1!P150 + 1*D_BE_2!P150 + 1*D_BE_3!P150 + 1*D_BS_1!P150 + 1*D_FR_1!P150 + 1*D_GE_1!P150 + 1*D_GL_1!P150 + 1*D_GR_1!P150 + 1*D_LU_1!P150 + 1*D_LU_2!P150 + 1*D_NE_1!P150 + 1*D_NE_2!P150 + D_SG_1!P150 + D_SG_2!P150 + D_SG_3!P150 + D_SO_1!P150 + D_TG_1!P150 + D_TI_1!P150 + D_VD_2!P150 + D_VS_1!P150 + D_VS_2!P150 + D_VS_3!P150 + D_ZH_1!P150 + D_ZH_2!P150 + D_ZH_3!P150 + D_ZH_4!P150 + D_ZH_5!P150 + D_ZH_6!P150</f>
        <v>0</v>
      </c>
      <c r="Q149" s="33">
        <f xml:space="preserve"> 1*D_AG_1!Q150 + 1*D_AG_2!Q150 + 1*D_AG_3!Q150 + 1*D_BE_1!Q150 + 1*D_BE_2!Q150 + 1*D_BE_3!Q150 + 1*D_BS_1!Q150 + 1*D_FR_1!Q150 + 1*D_GE_1!Q150 + 1*D_GL_1!Q150 + 1*D_GR_1!Q150 + 1*D_LU_1!Q150 + 1*D_LU_2!Q150 + 1*D_NE_1!Q150 + 1*D_NE_2!Q150 + D_SG_1!Q150 + D_SG_2!Q150 + D_SG_3!Q150 + D_SO_1!Q150 + D_TG_1!Q150 + D_TI_1!Q150 + D_VD_2!Q150 + D_VS_1!Q150 + D_VS_2!Q150 + D_VS_3!Q150 + D_ZH_1!Q150 + D_ZH_2!Q150 + D_ZH_3!Q150 + D_ZH_4!Q150 + D_ZH_5!Q150 + D_ZH_6!Q150</f>
        <v>0</v>
      </c>
      <c r="R149" s="33">
        <f xml:space="preserve"> 1*D_AG_1!R150 + 1*D_AG_2!R150 + 1*D_AG_3!R150 + 1*D_BE_1!R150 + 1*D_BE_2!R150 + 1*D_BE_3!R150 + 1*D_BS_1!R150 + 1*D_FR_1!R150 + 1*D_GE_1!R150 + 1*D_GL_1!R150 + 1*D_GR_1!R150 + 1*D_LU_1!R150 + 1*D_LU_2!R150 + 1*D_NE_1!R150 + 1*D_NE_2!R150 + D_SG_1!R150 + D_SG_2!R150 + D_SG_3!R150 + D_SO_1!R150 + D_TG_1!R150 + D_TI_1!R150 + D_VD_2!R150 + D_VS_1!R150 + D_VS_2!R150 + D_VS_3!R150 + D_ZH_1!R150 + D_ZH_2!R150 + D_ZH_3!R150 + D_ZH_4!R150 + D_ZH_5!R150 + D_ZH_6!R150</f>
        <v>0</v>
      </c>
      <c r="S149" s="33">
        <f xml:space="preserve"> 1*D_AG_1!S150 + 1*D_AG_2!S150 + 1*D_AG_3!S150 + 1*D_BE_1!S150 + 1*D_BE_2!S150 + 1*D_BE_3!S150 + 1*D_BS_1!S150 + 1*D_FR_1!S150 + 1*D_GE_1!S150 + 1*D_GL_1!S150 + 1*D_GR_1!S150 + 1*D_LU_1!S150 + 1*D_LU_2!S150 + 1*D_NE_1!S150 + 1*D_NE_2!S150 + D_SG_1!S150 + D_SG_2!S150 + D_SG_3!S150 + D_SO_1!S150 + D_TG_1!S150 + D_TI_1!S150 + D_VD_2!S150 + D_VS_1!S150 + D_VS_2!S150 + D_VS_3!S150 + D_ZH_1!S150 + D_ZH_2!S150 + D_ZH_3!S150 + D_ZH_4!S150 + D_ZH_5!S150 + D_ZH_6!S150</f>
        <v>0</v>
      </c>
    </row>
    <row r="150" spans="4:19" x14ac:dyDescent="0.3">
      <c r="D150" s="33">
        <f xml:space="preserve"> 1*D_AG_1!D151 + 1*D_AG_2!D151 + 1*D_AG_3!D151 + 1*D_BE_1!D151 + 1*D_BE_2!D151 + 1*D_BE_3!D151 + 1*D_BS_1!D151 + 1*D_FR_1!D151 + 1*D_GE_1!D151 + 1*D_GL_1!D151 + 1*D_GR_1!D151 + 1*D_LU_1!D151 + 1*D_LU_2!D151 + 1*D_NE_1!D151 + 1*D_NE_2!D151 + D_SG_1!D151 + D_SG_2!D151 + D_SG_3!D151 + D_SO_1!D151 + D_TG_1!D151 + D_TI_1!D151 + D_VD_2!D151 + D_VS_1!D151 + D_VS_2!D151 + D_VS_3!D151 + D_ZH_1!D151 + D_ZH_2!D151 + D_ZH_3!D151 + D_ZH_4!D151 + D_ZH_5!D151 + D_ZH_6!D151</f>
        <v>0</v>
      </c>
      <c r="E150" s="33">
        <f xml:space="preserve"> 1*D_AG_1!E151 + 1*D_AG_2!E151 + 1*D_AG_3!E151 + 1*D_BE_1!E151 + 1*D_BE_2!E151 + 1*D_BE_3!E151 + 1*D_BS_1!E151 + 1*D_FR_1!E151 + 1*D_GE_1!E151 + 1*D_GL_1!E151 + 1*D_GR_1!E151 + 1*D_LU_1!E151 + 1*D_LU_2!E151 + 1*D_NE_1!E151 + 1*D_NE_2!E151 + D_SG_1!E151 + D_SG_2!E151 + D_SG_3!E151 + D_SO_1!E151 + D_TG_1!E151 + D_TI_1!E151 + D_VD_2!E151 + D_VS_1!E151 + D_VS_2!E151 + D_VS_3!E151 + D_ZH_1!E151 + D_ZH_2!E151 + D_ZH_3!E151 + D_ZH_4!E151 + D_ZH_5!E151 + D_ZH_6!E151</f>
        <v>0</v>
      </c>
      <c r="F150" s="33">
        <f xml:space="preserve"> 1*D_AG_1!F151 + 1*D_AG_2!F151 + 1*D_AG_3!F151 + 1*D_BE_1!F151 + 1*D_BE_2!F151 + 1*D_BE_3!F151 + 1*D_BS_1!F151 + 1*D_FR_1!F151 + 1*D_GE_1!F151 + 1*D_GL_1!F151 + 1*D_GR_1!F151 + 1*D_LU_1!F151 + 1*D_LU_2!F151 + 1*D_NE_1!F151 + 1*D_NE_2!F151 + D_SG_1!F151 + D_SG_2!F151 + D_SG_3!F151 + D_SO_1!F151 + D_TG_1!F151 + D_TI_1!F151 + D_VD_2!F151 + D_VS_1!F151 + D_VS_2!F151 + D_VS_3!F151 + D_ZH_1!F151 + D_ZH_2!F151 + D_ZH_3!F151 + D_ZH_4!F151 + D_ZH_5!F151 + D_ZH_6!F151</f>
        <v>0</v>
      </c>
      <c r="G150" s="33">
        <f xml:space="preserve"> 1*D_AG_1!G151 + 1*D_AG_2!G151 + 1*D_AG_3!G151 + 1*D_BE_1!G151 + 1*D_BE_2!G151 + 1*D_BE_3!G151 + 1*D_BS_1!G151 + 1*D_FR_1!G151 + 1*D_GE_1!G151 + 1*D_GL_1!G151 + 1*D_GR_1!G151 + 1*D_LU_1!G151 + 1*D_LU_2!G151 + 1*D_NE_1!G151 + 1*D_NE_2!G151 + D_SG_1!G151 + D_SG_2!G151 + D_SG_3!G151 + D_SO_1!G151 + D_TG_1!G151 + D_TI_1!G151 + D_VD_2!G151 + D_VS_1!G151 + D_VS_2!G151 + D_VS_3!G151 + D_ZH_1!G151 + D_ZH_2!G151 + D_ZH_3!G151 + D_ZH_4!G151 + D_ZH_5!G151 + D_ZH_6!G151</f>
        <v>0</v>
      </c>
      <c r="H150" s="33">
        <f xml:space="preserve"> 1*D_AG_1!H151 + 1*D_AG_2!H151 + 1*D_AG_3!H151 + 1*D_BE_1!H151 + 1*D_BE_2!H151 + 1*D_BE_3!H151 + 1*D_BS_1!H151 + 1*D_FR_1!H151 + 1*D_GE_1!H151 + 1*D_GL_1!H151 + 1*D_GR_1!H151 + 1*D_LU_1!H151 + 1*D_LU_2!H151 + 1*D_NE_1!H151 + 1*D_NE_2!H151 + D_SG_1!H151 + D_SG_2!H151 + D_SG_3!H151 + D_SO_1!H151 + D_TG_1!H151 + D_TI_1!H151 + D_VD_2!H151 + D_VS_1!H151 + D_VS_2!H151 + D_VS_3!H151 + D_ZH_1!H151 + D_ZH_2!H151 + D_ZH_3!H151 + D_ZH_4!H151 + D_ZH_5!H151 + D_ZH_6!H151</f>
        <v>0</v>
      </c>
      <c r="I150" s="33">
        <f xml:space="preserve"> 1*D_AG_1!I151 + 1*D_AG_2!I151 + 1*D_AG_3!I151 + 1*D_BE_1!I151 + 1*D_BE_2!I151 + 1*D_BE_3!I151 + 1*D_BS_1!I151 + 1*D_FR_1!I151 + 1*D_GE_1!I151 + 1*D_GL_1!I151 + 1*D_GR_1!I151 + 1*D_LU_1!I151 + 1*D_LU_2!I151 + 1*D_NE_1!I151 + 1*D_NE_2!I151 + D_SG_1!I151 + D_SG_2!I151 + D_SG_3!I151 + D_SO_1!I151 + D_TG_1!I151 + D_TI_1!I151 + D_VD_2!I151 + D_VS_1!I151 + D_VS_2!I151 + D_VS_3!I151 + D_ZH_1!I151 + D_ZH_2!I151 + D_ZH_3!I151 + D_ZH_4!I151 + D_ZH_5!I151 + D_ZH_6!I151</f>
        <v>0</v>
      </c>
      <c r="J150" s="33">
        <f xml:space="preserve"> 1*D_AG_1!J151 + 1*D_AG_2!J151 + 1*D_AG_3!J151 + 1*D_BE_1!J151 + 1*D_BE_2!J151 + 1*D_BE_3!J151 + 1*D_BS_1!J151 + 1*D_FR_1!J151 + 1*D_GE_1!J151 + 1*D_GL_1!J151 + 1*D_GR_1!J151 + 1*D_LU_1!J151 + 1*D_LU_2!J151 + 1*D_NE_1!J151 + 1*D_NE_2!J151 + D_SG_1!J151 + D_SG_2!J151 + D_SG_3!J151 + D_SO_1!J151 + D_TG_1!J151 + D_TI_1!J151 + D_VD_2!J151 + D_VS_1!J151 + D_VS_2!J151 + D_VS_3!J151 + D_ZH_1!J151 + D_ZH_2!J151 + D_ZH_3!J151 + D_ZH_4!J151 + D_ZH_5!J151 + D_ZH_6!J151</f>
        <v>0</v>
      </c>
      <c r="K150" s="33">
        <f xml:space="preserve"> 1*D_AG_1!K151 + 1*D_AG_2!K151 + 1*D_AG_3!K151 + 1*D_BE_1!K151 + 1*D_BE_2!K151 + 1*D_BE_3!K151 + 1*D_BS_1!K151 + 1*D_FR_1!K151 + 1*D_GE_1!K151 + 1*D_GL_1!K151 + 1*D_GR_1!K151 + 1*D_LU_1!K151 + 1*D_LU_2!K151 + 1*D_NE_1!K151 + 1*D_NE_2!K151 + D_SG_1!K151 + D_SG_2!K151 + D_SG_3!K151 + D_SO_1!K151 + D_TG_1!K151 + D_TI_1!K151 + D_VD_2!K151 + D_VS_1!K151 + D_VS_2!K151 + D_VS_3!K151 + D_ZH_1!K151 + D_ZH_2!K151 + D_ZH_3!K151 + D_ZH_4!K151 + D_ZH_5!K151 + D_ZH_6!K151</f>
        <v>0</v>
      </c>
      <c r="L150" s="33">
        <f xml:space="preserve"> 1*D_AG_1!L151 + 1*D_AG_2!L151 + 1*D_AG_3!L151 + 1*D_BE_1!L151 + 1*D_BE_2!L151 + 1*D_BE_3!L151 + 1*D_BS_1!L151 + 1*D_FR_1!L151 + 1*D_GE_1!L151 + 1*D_GL_1!L151 + 1*D_GR_1!L151 + 1*D_LU_1!L151 + 1*D_LU_2!L151 + 1*D_NE_1!L151 + 1*D_NE_2!L151 + D_SG_1!L151 + D_SG_2!L151 + D_SG_3!L151 + D_SO_1!L151 + D_TG_1!L151 + D_TI_1!L151 + D_VD_2!L151 + D_VS_1!L151 + D_VS_2!L151 + D_VS_3!L151 + D_ZH_1!L151 + D_ZH_2!L151 + D_ZH_3!L151 + D_ZH_4!L151 + D_ZH_5!L151 + D_ZH_6!L151</f>
        <v>0</v>
      </c>
      <c r="M150" s="33">
        <f xml:space="preserve"> 1*D_AG_1!M151 + 1*D_AG_2!M151 + 1*D_AG_3!M151 + 1*D_BE_1!M151 + 1*D_BE_2!M151 + 1*D_BE_3!M151 + 1*D_BS_1!M151 + 1*D_FR_1!M151 + 1*D_GE_1!M151 + 1*D_GL_1!M151 + 1*D_GR_1!M151 + 1*D_LU_1!M151 + 1*D_LU_2!M151 + 1*D_NE_1!M151 + 1*D_NE_2!M151 + D_SG_1!M151 + D_SG_2!M151 + D_SG_3!M151 + D_SO_1!M151 + D_TG_1!M151 + D_TI_1!M151 + D_VD_2!M151 + D_VS_1!M151 + D_VS_2!M151 + D_VS_3!M151 + D_ZH_1!M151 + D_ZH_2!M151 + D_ZH_3!M151 + D_ZH_4!M151 + D_ZH_5!M151 + D_ZH_6!M151</f>
        <v>0</v>
      </c>
      <c r="N150" s="33">
        <f xml:space="preserve"> 1*D_AG_1!N151 + 1*D_AG_2!N151 + 1*D_AG_3!N151 + 1*D_BE_1!N151 + 1*D_BE_2!N151 + 1*D_BE_3!N151 + 1*D_BS_1!N151 + 1*D_FR_1!N151 + 1*D_GE_1!N151 + 1*D_GL_1!N151 + 1*D_GR_1!N151 + 1*D_LU_1!N151 + 1*D_LU_2!N151 + 1*D_NE_1!N151 + 1*D_NE_2!N151 + D_SG_1!N151 + D_SG_2!N151 + D_SG_3!N151 + D_SO_1!N151 + D_TG_1!N151 + D_TI_1!N151 + D_VD_2!N151 + D_VS_1!N151 + D_VS_2!N151 + D_VS_3!N151 + D_ZH_1!N151 + D_ZH_2!N151 + D_ZH_3!N151 + D_ZH_4!N151 + D_ZH_5!N151 + D_ZH_6!N151</f>
        <v>0</v>
      </c>
      <c r="O150" s="33">
        <f xml:space="preserve"> 1*D_AG_1!O151 + 1*D_AG_2!O151 + 1*D_AG_3!O151 + 1*D_BE_1!O151 + 1*D_BE_2!O151 + 1*D_BE_3!O151 + 1*D_BS_1!O151 + 1*D_FR_1!O151 + 1*D_GE_1!O151 + 1*D_GL_1!O151 + 1*D_GR_1!O151 + 1*D_LU_1!O151 + 1*D_LU_2!O151 + 1*D_NE_1!O151 + 1*D_NE_2!O151 + D_SG_1!O151 + D_SG_2!O151 + D_SG_3!O151 + D_SO_1!O151 + D_TG_1!O151 + D_TI_1!O151 + D_VD_2!O151 + D_VS_1!O151 + D_VS_2!O151 + D_VS_3!O151 + D_ZH_1!O151 + D_ZH_2!O151 + D_ZH_3!O151 + D_ZH_4!O151 + D_ZH_5!O151 + D_ZH_6!O151</f>
        <v>0</v>
      </c>
      <c r="P150" s="33">
        <f xml:space="preserve"> 1*D_AG_1!P151 + 1*D_AG_2!P151 + 1*D_AG_3!P151 + 1*D_BE_1!P151 + 1*D_BE_2!P151 + 1*D_BE_3!P151 + 1*D_BS_1!P151 + 1*D_FR_1!P151 + 1*D_GE_1!P151 + 1*D_GL_1!P151 + 1*D_GR_1!P151 + 1*D_LU_1!P151 + 1*D_LU_2!P151 + 1*D_NE_1!P151 + 1*D_NE_2!P151 + D_SG_1!P151 + D_SG_2!P151 + D_SG_3!P151 + D_SO_1!P151 + D_TG_1!P151 + D_TI_1!P151 + D_VD_2!P151 + D_VS_1!P151 + D_VS_2!P151 + D_VS_3!P151 + D_ZH_1!P151 + D_ZH_2!P151 + D_ZH_3!P151 + D_ZH_4!P151 + D_ZH_5!P151 + D_ZH_6!P151</f>
        <v>0</v>
      </c>
      <c r="Q150" s="33">
        <f xml:space="preserve"> 1*D_AG_1!Q151 + 1*D_AG_2!Q151 + 1*D_AG_3!Q151 + 1*D_BE_1!Q151 + 1*D_BE_2!Q151 + 1*D_BE_3!Q151 + 1*D_BS_1!Q151 + 1*D_FR_1!Q151 + 1*D_GE_1!Q151 + 1*D_GL_1!Q151 + 1*D_GR_1!Q151 + 1*D_LU_1!Q151 + 1*D_LU_2!Q151 + 1*D_NE_1!Q151 + 1*D_NE_2!Q151 + D_SG_1!Q151 + D_SG_2!Q151 + D_SG_3!Q151 + D_SO_1!Q151 + D_TG_1!Q151 + D_TI_1!Q151 + D_VD_2!Q151 + D_VS_1!Q151 + D_VS_2!Q151 + D_VS_3!Q151 + D_ZH_1!Q151 + D_ZH_2!Q151 + D_ZH_3!Q151 + D_ZH_4!Q151 + D_ZH_5!Q151 + D_ZH_6!Q151</f>
        <v>0</v>
      </c>
      <c r="R150" s="33">
        <f xml:space="preserve"> 1*D_AG_1!R151 + 1*D_AG_2!R151 + 1*D_AG_3!R151 + 1*D_BE_1!R151 + 1*D_BE_2!R151 + 1*D_BE_3!R151 + 1*D_BS_1!R151 + 1*D_FR_1!R151 + 1*D_GE_1!R151 + 1*D_GL_1!R151 + 1*D_GR_1!R151 + 1*D_LU_1!R151 + 1*D_LU_2!R151 + 1*D_NE_1!R151 + 1*D_NE_2!R151 + D_SG_1!R151 + D_SG_2!R151 + D_SG_3!R151 + D_SO_1!R151 + D_TG_1!R151 + D_TI_1!R151 + D_VD_2!R151 + D_VS_1!R151 + D_VS_2!R151 + D_VS_3!R151 + D_ZH_1!R151 + D_ZH_2!R151 + D_ZH_3!R151 + D_ZH_4!R151 + D_ZH_5!R151 + D_ZH_6!R151</f>
        <v>0</v>
      </c>
      <c r="S150" s="33">
        <f xml:space="preserve"> 1*D_AG_1!S151 + 1*D_AG_2!S151 + 1*D_AG_3!S151 + 1*D_BE_1!S151 + 1*D_BE_2!S151 + 1*D_BE_3!S151 + 1*D_BS_1!S151 + 1*D_FR_1!S151 + 1*D_GE_1!S151 + 1*D_GL_1!S151 + 1*D_GR_1!S151 + 1*D_LU_1!S151 + 1*D_LU_2!S151 + 1*D_NE_1!S151 + 1*D_NE_2!S151 + D_SG_1!S151 + D_SG_2!S151 + D_SG_3!S151 + D_SO_1!S151 + D_TG_1!S151 + D_TI_1!S151 + D_VD_2!S151 + D_VS_1!S151 + D_VS_2!S151 + D_VS_3!S151 + D_ZH_1!S151 + D_ZH_2!S151 + D_ZH_3!S151 + D_ZH_4!S151 + D_ZH_5!S151 + D_ZH_6!S151</f>
        <v>0</v>
      </c>
    </row>
    <row r="151" spans="4:19" x14ac:dyDescent="0.3">
      <c r="D151" s="33">
        <f xml:space="preserve"> 1*D_AG_1!D152 + 1*D_AG_2!D152 + 1*D_AG_3!D152 + 1*D_BE_1!D152 + 1*D_BE_2!D152 + 1*D_BE_3!D152 + 1*D_BS_1!D152 + 1*D_FR_1!D152 + 1*D_GE_1!D152 + 1*D_GL_1!D152 + 1*D_GR_1!D152 + 1*D_LU_1!D152 + 1*D_LU_2!D152 + 1*D_NE_1!D152 + 1*D_NE_2!D152 + D_SG_1!D152 + D_SG_2!D152 + D_SG_3!D152 + D_SO_1!D152 + D_TG_1!D152 + D_TI_1!D152 + D_VD_2!D152 + D_VS_1!D152 + D_VS_2!D152 + D_VS_3!D152 + D_ZH_1!D152 + D_ZH_2!D152 + D_ZH_3!D152 + D_ZH_4!D152 + D_ZH_5!D152 + D_ZH_6!D152</f>
        <v>0</v>
      </c>
      <c r="E151" s="33">
        <f xml:space="preserve"> 1*D_AG_1!E152 + 1*D_AG_2!E152 + 1*D_AG_3!E152 + 1*D_BE_1!E152 + 1*D_BE_2!E152 + 1*D_BE_3!E152 + 1*D_BS_1!E152 + 1*D_FR_1!E152 + 1*D_GE_1!E152 + 1*D_GL_1!E152 + 1*D_GR_1!E152 + 1*D_LU_1!E152 + 1*D_LU_2!E152 + 1*D_NE_1!E152 + 1*D_NE_2!E152 + D_SG_1!E152 + D_SG_2!E152 + D_SG_3!E152 + D_SO_1!E152 + D_TG_1!E152 + D_TI_1!E152 + D_VD_2!E152 + D_VS_1!E152 + D_VS_2!E152 + D_VS_3!E152 + D_ZH_1!E152 + D_ZH_2!E152 + D_ZH_3!E152 + D_ZH_4!E152 + D_ZH_5!E152 + D_ZH_6!E152</f>
        <v>0</v>
      </c>
      <c r="F151" s="33">
        <f xml:space="preserve"> 1*D_AG_1!F152 + 1*D_AG_2!F152 + 1*D_AG_3!F152 + 1*D_BE_1!F152 + 1*D_BE_2!F152 + 1*D_BE_3!F152 + 1*D_BS_1!F152 + 1*D_FR_1!F152 + 1*D_GE_1!F152 + 1*D_GL_1!F152 + 1*D_GR_1!F152 + 1*D_LU_1!F152 + 1*D_LU_2!F152 + 1*D_NE_1!F152 + 1*D_NE_2!F152 + D_SG_1!F152 + D_SG_2!F152 + D_SG_3!F152 + D_SO_1!F152 + D_TG_1!F152 + D_TI_1!F152 + D_VD_2!F152 + D_VS_1!F152 + D_VS_2!F152 + D_VS_3!F152 + D_ZH_1!F152 + D_ZH_2!F152 + D_ZH_3!F152 + D_ZH_4!F152 + D_ZH_5!F152 + D_ZH_6!F152</f>
        <v>0</v>
      </c>
      <c r="G151" s="33">
        <f xml:space="preserve"> 1*D_AG_1!G152 + 1*D_AG_2!G152 + 1*D_AG_3!G152 + 1*D_BE_1!G152 + 1*D_BE_2!G152 + 1*D_BE_3!G152 + 1*D_BS_1!G152 + 1*D_FR_1!G152 + 1*D_GE_1!G152 + 1*D_GL_1!G152 + 1*D_GR_1!G152 + 1*D_LU_1!G152 + 1*D_LU_2!G152 + 1*D_NE_1!G152 + 1*D_NE_2!G152 + D_SG_1!G152 + D_SG_2!G152 + D_SG_3!G152 + D_SO_1!G152 + D_TG_1!G152 + D_TI_1!G152 + D_VD_2!G152 + D_VS_1!G152 + D_VS_2!G152 + D_VS_3!G152 + D_ZH_1!G152 + D_ZH_2!G152 + D_ZH_3!G152 + D_ZH_4!G152 + D_ZH_5!G152 + D_ZH_6!G152</f>
        <v>0</v>
      </c>
      <c r="H151" s="33">
        <f xml:space="preserve"> 1*D_AG_1!H152 + 1*D_AG_2!H152 + 1*D_AG_3!H152 + 1*D_BE_1!H152 + 1*D_BE_2!H152 + 1*D_BE_3!H152 + 1*D_BS_1!H152 + 1*D_FR_1!H152 + 1*D_GE_1!H152 + 1*D_GL_1!H152 + 1*D_GR_1!H152 + 1*D_LU_1!H152 + 1*D_LU_2!H152 + 1*D_NE_1!H152 + 1*D_NE_2!H152 + D_SG_1!H152 + D_SG_2!H152 + D_SG_3!H152 + D_SO_1!H152 + D_TG_1!H152 + D_TI_1!H152 + D_VD_2!H152 + D_VS_1!H152 + D_VS_2!H152 + D_VS_3!H152 + D_ZH_1!H152 + D_ZH_2!H152 + D_ZH_3!H152 + D_ZH_4!H152 + D_ZH_5!H152 + D_ZH_6!H152</f>
        <v>0</v>
      </c>
      <c r="I151" s="33">
        <f xml:space="preserve"> 1*D_AG_1!I152 + 1*D_AG_2!I152 + 1*D_AG_3!I152 + 1*D_BE_1!I152 + 1*D_BE_2!I152 + 1*D_BE_3!I152 + 1*D_BS_1!I152 + 1*D_FR_1!I152 + 1*D_GE_1!I152 + 1*D_GL_1!I152 + 1*D_GR_1!I152 + 1*D_LU_1!I152 + 1*D_LU_2!I152 + 1*D_NE_1!I152 + 1*D_NE_2!I152 + D_SG_1!I152 + D_SG_2!I152 + D_SG_3!I152 + D_SO_1!I152 + D_TG_1!I152 + D_TI_1!I152 + D_VD_2!I152 + D_VS_1!I152 + D_VS_2!I152 + D_VS_3!I152 + D_ZH_1!I152 + D_ZH_2!I152 + D_ZH_3!I152 + D_ZH_4!I152 + D_ZH_5!I152 + D_ZH_6!I152</f>
        <v>0</v>
      </c>
      <c r="J151" s="33">
        <f xml:space="preserve"> 1*D_AG_1!J152 + 1*D_AG_2!J152 + 1*D_AG_3!J152 + 1*D_BE_1!J152 + 1*D_BE_2!J152 + 1*D_BE_3!J152 + 1*D_BS_1!J152 + 1*D_FR_1!J152 + 1*D_GE_1!J152 + 1*D_GL_1!J152 + 1*D_GR_1!J152 + 1*D_LU_1!J152 + 1*D_LU_2!J152 + 1*D_NE_1!J152 + 1*D_NE_2!J152 + D_SG_1!J152 + D_SG_2!J152 + D_SG_3!J152 + D_SO_1!J152 + D_TG_1!J152 + D_TI_1!J152 + D_VD_2!J152 + D_VS_1!J152 + D_VS_2!J152 + D_VS_3!J152 + D_ZH_1!J152 + D_ZH_2!J152 + D_ZH_3!J152 + D_ZH_4!J152 + D_ZH_5!J152 + D_ZH_6!J152</f>
        <v>0</v>
      </c>
      <c r="K151" s="33">
        <f xml:space="preserve"> 1*D_AG_1!K152 + 1*D_AG_2!K152 + 1*D_AG_3!K152 + 1*D_BE_1!K152 + 1*D_BE_2!K152 + 1*D_BE_3!K152 + 1*D_BS_1!K152 + 1*D_FR_1!K152 + 1*D_GE_1!K152 + 1*D_GL_1!K152 + 1*D_GR_1!K152 + 1*D_LU_1!K152 + 1*D_LU_2!K152 + 1*D_NE_1!K152 + 1*D_NE_2!K152 + D_SG_1!K152 + D_SG_2!K152 + D_SG_3!K152 + D_SO_1!K152 + D_TG_1!K152 + D_TI_1!K152 + D_VD_2!K152 + D_VS_1!K152 + D_VS_2!K152 + D_VS_3!K152 + D_ZH_1!K152 + D_ZH_2!K152 + D_ZH_3!K152 + D_ZH_4!K152 + D_ZH_5!K152 + D_ZH_6!K152</f>
        <v>0</v>
      </c>
      <c r="L151" s="33">
        <f xml:space="preserve"> 1*D_AG_1!L152 + 1*D_AG_2!L152 + 1*D_AG_3!L152 + 1*D_BE_1!L152 + 1*D_BE_2!L152 + 1*D_BE_3!L152 + 1*D_BS_1!L152 + 1*D_FR_1!L152 + 1*D_GE_1!L152 + 1*D_GL_1!L152 + 1*D_GR_1!L152 + 1*D_LU_1!L152 + 1*D_LU_2!L152 + 1*D_NE_1!L152 + 1*D_NE_2!L152 + D_SG_1!L152 + D_SG_2!L152 + D_SG_3!L152 + D_SO_1!L152 + D_TG_1!L152 + D_TI_1!L152 + D_VD_2!L152 + D_VS_1!L152 + D_VS_2!L152 + D_VS_3!L152 + D_ZH_1!L152 + D_ZH_2!L152 + D_ZH_3!L152 + D_ZH_4!L152 + D_ZH_5!L152 + D_ZH_6!L152</f>
        <v>0</v>
      </c>
      <c r="M151" s="33">
        <f xml:space="preserve"> 1*D_AG_1!M152 + 1*D_AG_2!M152 + 1*D_AG_3!M152 + 1*D_BE_1!M152 + 1*D_BE_2!M152 + 1*D_BE_3!M152 + 1*D_BS_1!M152 + 1*D_FR_1!M152 + 1*D_GE_1!M152 + 1*D_GL_1!M152 + 1*D_GR_1!M152 + 1*D_LU_1!M152 + 1*D_LU_2!M152 + 1*D_NE_1!M152 + 1*D_NE_2!M152 + D_SG_1!M152 + D_SG_2!M152 + D_SG_3!M152 + D_SO_1!M152 + D_TG_1!M152 + D_TI_1!M152 + D_VD_2!M152 + D_VS_1!M152 + D_VS_2!M152 + D_VS_3!M152 + D_ZH_1!M152 + D_ZH_2!M152 + D_ZH_3!M152 + D_ZH_4!M152 + D_ZH_5!M152 + D_ZH_6!M152</f>
        <v>0</v>
      </c>
      <c r="N151" s="33">
        <f xml:space="preserve"> 1*D_AG_1!N152 + 1*D_AG_2!N152 + 1*D_AG_3!N152 + 1*D_BE_1!N152 + 1*D_BE_2!N152 + 1*D_BE_3!N152 + 1*D_BS_1!N152 + 1*D_FR_1!N152 + 1*D_GE_1!N152 + 1*D_GL_1!N152 + 1*D_GR_1!N152 + 1*D_LU_1!N152 + 1*D_LU_2!N152 + 1*D_NE_1!N152 + 1*D_NE_2!N152 + D_SG_1!N152 + D_SG_2!N152 + D_SG_3!N152 + D_SO_1!N152 + D_TG_1!N152 + D_TI_1!N152 + D_VD_2!N152 + D_VS_1!N152 + D_VS_2!N152 + D_VS_3!N152 + D_ZH_1!N152 + D_ZH_2!N152 + D_ZH_3!N152 + D_ZH_4!N152 + D_ZH_5!N152 + D_ZH_6!N152</f>
        <v>0</v>
      </c>
      <c r="O151" s="33">
        <f xml:space="preserve"> 1*D_AG_1!O152 + 1*D_AG_2!O152 + 1*D_AG_3!O152 + 1*D_BE_1!O152 + 1*D_BE_2!O152 + 1*D_BE_3!O152 + 1*D_BS_1!O152 + 1*D_FR_1!O152 + 1*D_GE_1!O152 + 1*D_GL_1!O152 + 1*D_GR_1!O152 + 1*D_LU_1!O152 + 1*D_LU_2!O152 + 1*D_NE_1!O152 + 1*D_NE_2!O152 + D_SG_1!O152 + D_SG_2!O152 + D_SG_3!O152 + D_SO_1!O152 + D_TG_1!O152 + D_TI_1!O152 + D_VD_2!O152 + D_VS_1!O152 + D_VS_2!O152 + D_VS_3!O152 + D_ZH_1!O152 + D_ZH_2!O152 + D_ZH_3!O152 + D_ZH_4!O152 + D_ZH_5!O152 + D_ZH_6!O152</f>
        <v>0</v>
      </c>
      <c r="P151" s="33">
        <f xml:space="preserve"> 1*D_AG_1!P152 + 1*D_AG_2!P152 + 1*D_AG_3!P152 + 1*D_BE_1!P152 + 1*D_BE_2!P152 + 1*D_BE_3!P152 + 1*D_BS_1!P152 + 1*D_FR_1!P152 + 1*D_GE_1!P152 + 1*D_GL_1!P152 + 1*D_GR_1!P152 + 1*D_LU_1!P152 + 1*D_LU_2!P152 + 1*D_NE_1!P152 + 1*D_NE_2!P152 + D_SG_1!P152 + D_SG_2!P152 + D_SG_3!P152 + D_SO_1!P152 + D_TG_1!P152 + D_TI_1!P152 + D_VD_2!P152 + D_VS_1!P152 + D_VS_2!P152 + D_VS_3!P152 + D_ZH_1!P152 + D_ZH_2!P152 + D_ZH_3!P152 + D_ZH_4!P152 + D_ZH_5!P152 + D_ZH_6!P152</f>
        <v>0</v>
      </c>
      <c r="Q151" s="33">
        <f xml:space="preserve"> 1*D_AG_1!Q152 + 1*D_AG_2!Q152 + 1*D_AG_3!Q152 + 1*D_BE_1!Q152 + 1*D_BE_2!Q152 + 1*D_BE_3!Q152 + 1*D_BS_1!Q152 + 1*D_FR_1!Q152 + 1*D_GE_1!Q152 + 1*D_GL_1!Q152 + 1*D_GR_1!Q152 + 1*D_LU_1!Q152 + 1*D_LU_2!Q152 + 1*D_NE_1!Q152 + 1*D_NE_2!Q152 + D_SG_1!Q152 + D_SG_2!Q152 + D_SG_3!Q152 + D_SO_1!Q152 + D_TG_1!Q152 + D_TI_1!Q152 + D_VD_2!Q152 + D_VS_1!Q152 + D_VS_2!Q152 + D_VS_3!Q152 + D_ZH_1!Q152 + D_ZH_2!Q152 + D_ZH_3!Q152 + D_ZH_4!Q152 + D_ZH_5!Q152 + D_ZH_6!Q152</f>
        <v>0</v>
      </c>
      <c r="R151" s="33">
        <f xml:space="preserve"> 1*D_AG_1!R152 + 1*D_AG_2!R152 + 1*D_AG_3!R152 + 1*D_BE_1!R152 + 1*D_BE_2!R152 + 1*D_BE_3!R152 + 1*D_BS_1!R152 + 1*D_FR_1!R152 + 1*D_GE_1!R152 + 1*D_GL_1!R152 + 1*D_GR_1!R152 + 1*D_LU_1!R152 + 1*D_LU_2!R152 + 1*D_NE_1!R152 + 1*D_NE_2!R152 + D_SG_1!R152 + D_SG_2!R152 + D_SG_3!R152 + D_SO_1!R152 + D_TG_1!R152 + D_TI_1!R152 + D_VD_2!R152 + D_VS_1!R152 + D_VS_2!R152 + D_VS_3!R152 + D_ZH_1!R152 + D_ZH_2!R152 + D_ZH_3!R152 + D_ZH_4!R152 + D_ZH_5!R152 + D_ZH_6!R152</f>
        <v>0</v>
      </c>
      <c r="S151" s="33">
        <f xml:space="preserve"> 1*D_AG_1!S152 + 1*D_AG_2!S152 + 1*D_AG_3!S152 + 1*D_BE_1!S152 + 1*D_BE_2!S152 + 1*D_BE_3!S152 + 1*D_BS_1!S152 + 1*D_FR_1!S152 + 1*D_GE_1!S152 + 1*D_GL_1!S152 + 1*D_GR_1!S152 + 1*D_LU_1!S152 + 1*D_LU_2!S152 + 1*D_NE_1!S152 + 1*D_NE_2!S152 + D_SG_1!S152 + D_SG_2!S152 + D_SG_3!S152 + D_SO_1!S152 + D_TG_1!S152 + D_TI_1!S152 + D_VD_2!S152 + D_VS_1!S152 + D_VS_2!S152 + D_VS_3!S152 + D_ZH_1!S152 + D_ZH_2!S152 + D_ZH_3!S152 + D_ZH_4!S152 + D_ZH_5!S152 + D_ZH_6!S152</f>
        <v>0</v>
      </c>
    </row>
    <row r="152" spans="4:19" x14ac:dyDescent="0.3">
      <c r="D152" s="33">
        <f xml:space="preserve"> 1*D_AG_1!D153 + 1*D_AG_2!D153 + 1*D_AG_3!D153 + 1*D_BE_1!D153 + 1*D_BE_2!D153 + 1*D_BE_3!D153 + 1*D_BS_1!D153 + 1*D_FR_1!D153 + 1*D_GE_1!D153 + 1*D_GL_1!D153 + 1*D_GR_1!D153 + 1*D_LU_1!D153 + 1*D_LU_2!D153 + 1*D_NE_1!D153 + 1*D_NE_2!D153 + D_SG_1!D153 + D_SG_2!D153 + D_SG_3!D153 + D_SO_1!D153 + D_TG_1!D153 + D_TI_1!D153 + D_VD_2!D153 + D_VS_1!D153 + D_VS_2!D153 + D_VS_3!D153 + D_ZH_1!D153 + D_ZH_2!D153 + D_ZH_3!D153 + D_ZH_4!D153 + D_ZH_5!D153 + D_ZH_6!D153</f>
        <v>0</v>
      </c>
      <c r="E152" s="33">
        <f xml:space="preserve"> 1*D_AG_1!E153 + 1*D_AG_2!E153 + 1*D_AG_3!E153 + 1*D_BE_1!E153 + 1*D_BE_2!E153 + 1*D_BE_3!E153 + 1*D_BS_1!E153 + 1*D_FR_1!E153 + 1*D_GE_1!E153 + 1*D_GL_1!E153 + 1*D_GR_1!E153 + 1*D_LU_1!E153 + 1*D_LU_2!E153 + 1*D_NE_1!E153 + 1*D_NE_2!E153 + D_SG_1!E153 + D_SG_2!E153 + D_SG_3!E153 + D_SO_1!E153 + D_TG_1!E153 + D_TI_1!E153 + D_VD_2!E153 + D_VS_1!E153 + D_VS_2!E153 + D_VS_3!E153 + D_ZH_1!E153 + D_ZH_2!E153 + D_ZH_3!E153 + D_ZH_4!E153 + D_ZH_5!E153 + D_ZH_6!E153</f>
        <v>0</v>
      </c>
      <c r="F152" s="33">
        <f xml:space="preserve"> 1*D_AG_1!F153 + 1*D_AG_2!F153 + 1*D_AG_3!F153 + 1*D_BE_1!F153 + 1*D_BE_2!F153 + 1*D_BE_3!F153 + 1*D_BS_1!F153 + 1*D_FR_1!F153 + 1*D_GE_1!F153 + 1*D_GL_1!F153 + 1*D_GR_1!F153 + 1*D_LU_1!F153 + 1*D_LU_2!F153 + 1*D_NE_1!F153 + 1*D_NE_2!F153 + D_SG_1!F153 + D_SG_2!F153 + D_SG_3!F153 + D_SO_1!F153 + D_TG_1!F153 + D_TI_1!F153 + D_VD_2!F153 + D_VS_1!F153 + D_VS_2!F153 + D_VS_3!F153 + D_ZH_1!F153 + D_ZH_2!F153 + D_ZH_3!F153 + D_ZH_4!F153 + D_ZH_5!F153 + D_ZH_6!F153</f>
        <v>0</v>
      </c>
      <c r="G152" s="33">
        <f xml:space="preserve"> 1*D_AG_1!G153 + 1*D_AG_2!G153 + 1*D_AG_3!G153 + 1*D_BE_1!G153 + 1*D_BE_2!G153 + 1*D_BE_3!G153 + 1*D_BS_1!G153 + 1*D_FR_1!G153 + 1*D_GE_1!G153 + 1*D_GL_1!G153 + 1*D_GR_1!G153 + 1*D_LU_1!G153 + 1*D_LU_2!G153 + 1*D_NE_1!G153 + 1*D_NE_2!G153 + D_SG_1!G153 + D_SG_2!G153 + D_SG_3!G153 + D_SO_1!G153 + D_TG_1!G153 + D_TI_1!G153 + D_VD_2!G153 + D_VS_1!G153 + D_VS_2!G153 + D_VS_3!G153 + D_ZH_1!G153 + D_ZH_2!G153 + D_ZH_3!G153 + D_ZH_4!G153 + D_ZH_5!G153 + D_ZH_6!G153</f>
        <v>0</v>
      </c>
      <c r="H152" s="33">
        <f xml:space="preserve"> 1*D_AG_1!H153 + 1*D_AG_2!H153 + 1*D_AG_3!H153 + 1*D_BE_1!H153 + 1*D_BE_2!H153 + 1*D_BE_3!H153 + 1*D_BS_1!H153 + 1*D_FR_1!H153 + 1*D_GE_1!H153 + 1*D_GL_1!H153 + 1*D_GR_1!H153 + 1*D_LU_1!H153 + 1*D_LU_2!H153 + 1*D_NE_1!H153 + 1*D_NE_2!H153 + D_SG_1!H153 + D_SG_2!H153 + D_SG_3!H153 + D_SO_1!H153 + D_TG_1!H153 + D_TI_1!H153 + D_VD_2!H153 + D_VS_1!H153 + D_VS_2!H153 + D_VS_3!H153 + D_ZH_1!H153 + D_ZH_2!H153 + D_ZH_3!H153 + D_ZH_4!H153 + D_ZH_5!H153 + D_ZH_6!H153</f>
        <v>0</v>
      </c>
      <c r="I152" s="33">
        <f xml:space="preserve"> 1*D_AG_1!I153 + 1*D_AG_2!I153 + 1*D_AG_3!I153 + 1*D_BE_1!I153 + 1*D_BE_2!I153 + 1*D_BE_3!I153 + 1*D_BS_1!I153 + 1*D_FR_1!I153 + 1*D_GE_1!I153 + 1*D_GL_1!I153 + 1*D_GR_1!I153 + 1*D_LU_1!I153 + 1*D_LU_2!I153 + 1*D_NE_1!I153 + 1*D_NE_2!I153 + D_SG_1!I153 + D_SG_2!I153 + D_SG_3!I153 + D_SO_1!I153 + D_TG_1!I153 + D_TI_1!I153 + D_VD_2!I153 + D_VS_1!I153 + D_VS_2!I153 + D_VS_3!I153 + D_ZH_1!I153 + D_ZH_2!I153 + D_ZH_3!I153 + D_ZH_4!I153 + D_ZH_5!I153 + D_ZH_6!I153</f>
        <v>0</v>
      </c>
      <c r="J152" s="33">
        <f xml:space="preserve"> 1*D_AG_1!J153 + 1*D_AG_2!J153 + 1*D_AG_3!J153 + 1*D_BE_1!J153 + 1*D_BE_2!J153 + 1*D_BE_3!J153 + 1*D_BS_1!J153 + 1*D_FR_1!J153 + 1*D_GE_1!J153 + 1*D_GL_1!J153 + 1*D_GR_1!J153 + 1*D_LU_1!J153 + 1*D_LU_2!J153 + 1*D_NE_1!J153 + 1*D_NE_2!J153 + D_SG_1!J153 + D_SG_2!J153 + D_SG_3!J153 + D_SO_1!J153 + D_TG_1!J153 + D_TI_1!J153 + D_VD_2!J153 + D_VS_1!J153 + D_VS_2!J153 + D_VS_3!J153 + D_ZH_1!J153 + D_ZH_2!J153 + D_ZH_3!J153 + D_ZH_4!J153 + D_ZH_5!J153 + D_ZH_6!J153</f>
        <v>0</v>
      </c>
      <c r="K152" s="33">
        <f xml:space="preserve"> 1*D_AG_1!K153 + 1*D_AG_2!K153 + 1*D_AG_3!K153 + 1*D_BE_1!K153 + 1*D_BE_2!K153 + 1*D_BE_3!K153 + 1*D_BS_1!K153 + 1*D_FR_1!K153 + 1*D_GE_1!K153 + 1*D_GL_1!K153 + 1*D_GR_1!K153 + 1*D_LU_1!K153 + 1*D_LU_2!K153 + 1*D_NE_1!K153 + 1*D_NE_2!K153 + D_SG_1!K153 + D_SG_2!K153 + D_SG_3!K153 + D_SO_1!K153 + D_TG_1!K153 + D_TI_1!K153 + D_VD_2!K153 + D_VS_1!K153 + D_VS_2!K153 + D_VS_3!K153 + D_ZH_1!K153 + D_ZH_2!K153 + D_ZH_3!K153 + D_ZH_4!K153 + D_ZH_5!K153 + D_ZH_6!K153</f>
        <v>0</v>
      </c>
      <c r="L152" s="33">
        <f xml:space="preserve"> 1*D_AG_1!L153 + 1*D_AG_2!L153 + 1*D_AG_3!L153 + 1*D_BE_1!L153 + 1*D_BE_2!L153 + 1*D_BE_3!L153 + 1*D_BS_1!L153 + 1*D_FR_1!L153 + 1*D_GE_1!L153 + 1*D_GL_1!L153 + 1*D_GR_1!L153 + 1*D_LU_1!L153 + 1*D_LU_2!L153 + 1*D_NE_1!L153 + 1*D_NE_2!L153 + D_SG_1!L153 + D_SG_2!L153 + D_SG_3!L153 + D_SO_1!L153 + D_TG_1!L153 + D_TI_1!L153 + D_VD_2!L153 + D_VS_1!L153 + D_VS_2!L153 + D_VS_3!L153 + D_ZH_1!L153 + D_ZH_2!L153 + D_ZH_3!L153 + D_ZH_4!L153 + D_ZH_5!L153 + D_ZH_6!L153</f>
        <v>0</v>
      </c>
      <c r="M152" s="33">
        <f xml:space="preserve"> 1*D_AG_1!M153 + 1*D_AG_2!M153 + 1*D_AG_3!M153 + 1*D_BE_1!M153 + 1*D_BE_2!M153 + 1*D_BE_3!M153 + 1*D_BS_1!M153 + 1*D_FR_1!M153 + 1*D_GE_1!M153 + 1*D_GL_1!M153 + 1*D_GR_1!M153 + 1*D_LU_1!M153 + 1*D_LU_2!M153 + 1*D_NE_1!M153 + 1*D_NE_2!M153 + D_SG_1!M153 + D_SG_2!M153 + D_SG_3!M153 + D_SO_1!M153 + D_TG_1!M153 + D_TI_1!M153 + D_VD_2!M153 + D_VS_1!M153 + D_VS_2!M153 + D_VS_3!M153 + D_ZH_1!M153 + D_ZH_2!M153 + D_ZH_3!M153 + D_ZH_4!M153 + D_ZH_5!M153 + D_ZH_6!M153</f>
        <v>0</v>
      </c>
      <c r="N152" s="33">
        <f xml:space="preserve"> 1*D_AG_1!N153 + 1*D_AG_2!N153 + 1*D_AG_3!N153 + 1*D_BE_1!N153 + 1*D_BE_2!N153 + 1*D_BE_3!N153 + 1*D_BS_1!N153 + 1*D_FR_1!N153 + 1*D_GE_1!N153 + 1*D_GL_1!N153 + 1*D_GR_1!N153 + 1*D_LU_1!N153 + 1*D_LU_2!N153 + 1*D_NE_1!N153 + 1*D_NE_2!N153 + D_SG_1!N153 + D_SG_2!N153 + D_SG_3!N153 + D_SO_1!N153 + D_TG_1!N153 + D_TI_1!N153 + D_VD_2!N153 + D_VS_1!N153 + D_VS_2!N153 + D_VS_3!N153 + D_ZH_1!N153 + D_ZH_2!N153 + D_ZH_3!N153 + D_ZH_4!N153 + D_ZH_5!N153 + D_ZH_6!N153</f>
        <v>0</v>
      </c>
      <c r="O152" s="33">
        <f xml:space="preserve"> 1*D_AG_1!O153 + 1*D_AG_2!O153 + 1*D_AG_3!O153 + 1*D_BE_1!O153 + 1*D_BE_2!O153 + 1*D_BE_3!O153 + 1*D_BS_1!O153 + 1*D_FR_1!O153 + 1*D_GE_1!O153 + 1*D_GL_1!O153 + 1*D_GR_1!O153 + 1*D_LU_1!O153 + 1*D_LU_2!O153 + 1*D_NE_1!O153 + 1*D_NE_2!O153 + D_SG_1!O153 + D_SG_2!O153 + D_SG_3!O153 + D_SO_1!O153 + D_TG_1!O153 + D_TI_1!O153 + D_VD_2!O153 + D_VS_1!O153 + D_VS_2!O153 + D_VS_3!O153 + D_ZH_1!O153 + D_ZH_2!O153 + D_ZH_3!O153 + D_ZH_4!O153 + D_ZH_5!O153 + D_ZH_6!O153</f>
        <v>0</v>
      </c>
      <c r="P152" s="33">
        <f xml:space="preserve"> 1*D_AG_1!P153 + 1*D_AG_2!P153 + 1*D_AG_3!P153 + 1*D_BE_1!P153 + 1*D_BE_2!P153 + 1*D_BE_3!P153 + 1*D_BS_1!P153 + 1*D_FR_1!P153 + 1*D_GE_1!P153 + 1*D_GL_1!P153 + 1*D_GR_1!P153 + 1*D_LU_1!P153 + 1*D_LU_2!P153 + 1*D_NE_1!P153 + 1*D_NE_2!P153 + D_SG_1!P153 + D_SG_2!P153 + D_SG_3!P153 + D_SO_1!P153 + D_TG_1!P153 + D_TI_1!P153 + D_VD_2!P153 + D_VS_1!P153 + D_VS_2!P153 + D_VS_3!P153 + D_ZH_1!P153 + D_ZH_2!P153 + D_ZH_3!P153 + D_ZH_4!P153 + D_ZH_5!P153 + D_ZH_6!P153</f>
        <v>0</v>
      </c>
      <c r="Q152" s="33">
        <f xml:space="preserve"> 1*D_AG_1!Q153 + 1*D_AG_2!Q153 + 1*D_AG_3!Q153 + 1*D_BE_1!Q153 + 1*D_BE_2!Q153 + 1*D_BE_3!Q153 + 1*D_BS_1!Q153 + 1*D_FR_1!Q153 + 1*D_GE_1!Q153 + 1*D_GL_1!Q153 + 1*D_GR_1!Q153 + 1*D_LU_1!Q153 + 1*D_LU_2!Q153 + 1*D_NE_1!Q153 + 1*D_NE_2!Q153 + D_SG_1!Q153 + D_SG_2!Q153 + D_SG_3!Q153 + D_SO_1!Q153 + D_TG_1!Q153 + D_TI_1!Q153 + D_VD_2!Q153 + D_VS_1!Q153 + D_VS_2!Q153 + D_VS_3!Q153 + D_ZH_1!Q153 + D_ZH_2!Q153 + D_ZH_3!Q153 + D_ZH_4!Q153 + D_ZH_5!Q153 + D_ZH_6!Q153</f>
        <v>0</v>
      </c>
      <c r="R152" s="33">
        <f xml:space="preserve"> 1*D_AG_1!R153 + 1*D_AG_2!R153 + 1*D_AG_3!R153 + 1*D_BE_1!R153 + 1*D_BE_2!R153 + 1*D_BE_3!R153 + 1*D_BS_1!R153 + 1*D_FR_1!R153 + 1*D_GE_1!R153 + 1*D_GL_1!R153 + 1*D_GR_1!R153 + 1*D_LU_1!R153 + 1*D_LU_2!R153 + 1*D_NE_1!R153 + 1*D_NE_2!R153 + D_SG_1!R153 + D_SG_2!R153 + D_SG_3!R153 + D_SO_1!R153 + D_TG_1!R153 + D_TI_1!R153 + D_VD_2!R153 + D_VS_1!R153 + D_VS_2!R153 + D_VS_3!R153 + D_ZH_1!R153 + D_ZH_2!R153 + D_ZH_3!R153 + D_ZH_4!R153 + D_ZH_5!R153 + D_ZH_6!R153</f>
        <v>0</v>
      </c>
      <c r="S152" s="33">
        <f xml:space="preserve"> 1*D_AG_1!S153 + 1*D_AG_2!S153 + 1*D_AG_3!S153 + 1*D_BE_1!S153 + 1*D_BE_2!S153 + 1*D_BE_3!S153 + 1*D_BS_1!S153 + 1*D_FR_1!S153 + 1*D_GE_1!S153 + 1*D_GL_1!S153 + 1*D_GR_1!S153 + 1*D_LU_1!S153 + 1*D_LU_2!S153 + 1*D_NE_1!S153 + 1*D_NE_2!S153 + D_SG_1!S153 + D_SG_2!S153 + D_SG_3!S153 + D_SO_1!S153 + D_TG_1!S153 + D_TI_1!S153 + D_VD_2!S153 + D_VS_1!S153 + D_VS_2!S153 + D_VS_3!S153 + D_ZH_1!S153 + D_ZH_2!S153 + D_ZH_3!S153 + D_ZH_4!S153 + D_ZH_5!S153 + D_ZH_6!S153</f>
        <v>0</v>
      </c>
    </row>
    <row r="153" spans="4:19" x14ac:dyDescent="0.3">
      <c r="D153" s="33">
        <f xml:space="preserve"> 1*D_AG_1!D154 + 1*D_AG_2!D154 + 1*D_AG_3!D154 + 1*D_BE_1!D154 + 1*D_BE_2!D154 + 1*D_BE_3!D154 + 1*D_BS_1!D154 + 1*D_FR_1!D154 + 1*D_GE_1!D154 + 1*D_GL_1!D154 + 1*D_GR_1!D154 + 1*D_LU_1!D154 + 1*D_LU_2!D154 + 1*D_NE_1!D154 + 1*D_NE_2!D154 + D_SG_1!D154 + D_SG_2!D154 + D_SG_3!D154 + D_SO_1!D154 + D_TG_1!D154 + D_TI_1!D154 + D_VD_2!D154 + D_VS_1!D154 + D_VS_2!D154 + D_VS_3!D154 + D_ZH_1!D154 + D_ZH_2!D154 + D_ZH_3!D154 + D_ZH_4!D154 + D_ZH_5!D154 + D_ZH_6!D154</f>
        <v>0</v>
      </c>
      <c r="E153" s="33">
        <f xml:space="preserve"> 1*D_AG_1!E154 + 1*D_AG_2!E154 + 1*D_AG_3!E154 + 1*D_BE_1!E154 + 1*D_BE_2!E154 + 1*D_BE_3!E154 + 1*D_BS_1!E154 + 1*D_FR_1!E154 + 1*D_GE_1!E154 + 1*D_GL_1!E154 + 1*D_GR_1!E154 + 1*D_LU_1!E154 + 1*D_LU_2!E154 + 1*D_NE_1!E154 + 1*D_NE_2!E154 + D_SG_1!E154 + D_SG_2!E154 + D_SG_3!E154 + D_SO_1!E154 + D_TG_1!E154 + D_TI_1!E154 + D_VD_2!E154 + D_VS_1!E154 + D_VS_2!E154 + D_VS_3!E154 + D_ZH_1!E154 + D_ZH_2!E154 + D_ZH_3!E154 + D_ZH_4!E154 + D_ZH_5!E154 + D_ZH_6!E154</f>
        <v>0</v>
      </c>
      <c r="F153" s="33">
        <f xml:space="preserve"> 1*D_AG_1!F154 + 1*D_AG_2!F154 + 1*D_AG_3!F154 + 1*D_BE_1!F154 + 1*D_BE_2!F154 + 1*D_BE_3!F154 + 1*D_BS_1!F154 + 1*D_FR_1!F154 + 1*D_GE_1!F154 + 1*D_GL_1!F154 + 1*D_GR_1!F154 + 1*D_LU_1!F154 + 1*D_LU_2!F154 + 1*D_NE_1!F154 + 1*D_NE_2!F154 + D_SG_1!F154 + D_SG_2!F154 + D_SG_3!F154 + D_SO_1!F154 + D_TG_1!F154 + D_TI_1!F154 + D_VD_2!F154 + D_VS_1!F154 + D_VS_2!F154 + D_VS_3!F154 + D_ZH_1!F154 + D_ZH_2!F154 + D_ZH_3!F154 + D_ZH_4!F154 + D_ZH_5!F154 + D_ZH_6!F154</f>
        <v>0</v>
      </c>
      <c r="G153" s="33">
        <f xml:space="preserve"> 1*D_AG_1!G154 + 1*D_AG_2!G154 + 1*D_AG_3!G154 + 1*D_BE_1!G154 + 1*D_BE_2!G154 + 1*D_BE_3!G154 + 1*D_BS_1!G154 + 1*D_FR_1!G154 + 1*D_GE_1!G154 + 1*D_GL_1!G154 + 1*D_GR_1!G154 + 1*D_LU_1!G154 + 1*D_LU_2!G154 + 1*D_NE_1!G154 + 1*D_NE_2!G154 + D_SG_1!G154 + D_SG_2!G154 + D_SG_3!G154 + D_SO_1!G154 + D_TG_1!G154 + D_TI_1!G154 + D_VD_2!G154 + D_VS_1!G154 + D_VS_2!G154 + D_VS_3!G154 + D_ZH_1!G154 + D_ZH_2!G154 + D_ZH_3!G154 + D_ZH_4!G154 + D_ZH_5!G154 + D_ZH_6!G154</f>
        <v>0</v>
      </c>
      <c r="H153" s="33">
        <f xml:space="preserve"> 1*D_AG_1!H154 + 1*D_AG_2!H154 + 1*D_AG_3!H154 + 1*D_BE_1!H154 + 1*D_BE_2!H154 + 1*D_BE_3!H154 + 1*D_BS_1!H154 + 1*D_FR_1!H154 + 1*D_GE_1!H154 + 1*D_GL_1!H154 + 1*D_GR_1!H154 + 1*D_LU_1!H154 + 1*D_LU_2!H154 + 1*D_NE_1!H154 + 1*D_NE_2!H154 + D_SG_1!H154 + D_SG_2!H154 + D_SG_3!H154 + D_SO_1!H154 + D_TG_1!H154 + D_TI_1!H154 + D_VD_2!H154 + D_VS_1!H154 + D_VS_2!H154 + D_VS_3!H154 + D_ZH_1!H154 + D_ZH_2!H154 + D_ZH_3!H154 + D_ZH_4!H154 + D_ZH_5!H154 + D_ZH_6!H154</f>
        <v>0</v>
      </c>
      <c r="I153" s="33">
        <f xml:space="preserve"> 1*D_AG_1!I154 + 1*D_AG_2!I154 + 1*D_AG_3!I154 + 1*D_BE_1!I154 + 1*D_BE_2!I154 + 1*D_BE_3!I154 + 1*D_BS_1!I154 + 1*D_FR_1!I154 + 1*D_GE_1!I154 + 1*D_GL_1!I154 + 1*D_GR_1!I154 + 1*D_LU_1!I154 + 1*D_LU_2!I154 + 1*D_NE_1!I154 + 1*D_NE_2!I154 + D_SG_1!I154 + D_SG_2!I154 + D_SG_3!I154 + D_SO_1!I154 + D_TG_1!I154 + D_TI_1!I154 + D_VD_2!I154 + D_VS_1!I154 + D_VS_2!I154 + D_VS_3!I154 + D_ZH_1!I154 + D_ZH_2!I154 + D_ZH_3!I154 + D_ZH_4!I154 + D_ZH_5!I154 + D_ZH_6!I154</f>
        <v>0</v>
      </c>
      <c r="J153" s="33">
        <f xml:space="preserve"> 1*D_AG_1!J154 + 1*D_AG_2!J154 + 1*D_AG_3!J154 + 1*D_BE_1!J154 + 1*D_BE_2!J154 + 1*D_BE_3!J154 + 1*D_BS_1!J154 + 1*D_FR_1!J154 + 1*D_GE_1!J154 + 1*D_GL_1!J154 + 1*D_GR_1!J154 + 1*D_LU_1!J154 + 1*D_LU_2!J154 + 1*D_NE_1!J154 + 1*D_NE_2!J154 + D_SG_1!J154 + D_SG_2!J154 + D_SG_3!J154 + D_SO_1!J154 + D_TG_1!J154 + D_TI_1!J154 + D_VD_2!J154 + D_VS_1!J154 + D_VS_2!J154 + D_VS_3!J154 + D_ZH_1!J154 + D_ZH_2!J154 + D_ZH_3!J154 + D_ZH_4!J154 + D_ZH_5!J154 + D_ZH_6!J154</f>
        <v>0</v>
      </c>
      <c r="K153" s="33">
        <f xml:space="preserve"> 1*D_AG_1!K154 + 1*D_AG_2!K154 + 1*D_AG_3!K154 + 1*D_BE_1!K154 + 1*D_BE_2!K154 + 1*D_BE_3!K154 + 1*D_BS_1!K154 + 1*D_FR_1!K154 + 1*D_GE_1!K154 + 1*D_GL_1!K154 + 1*D_GR_1!K154 + 1*D_LU_1!K154 + 1*D_LU_2!K154 + 1*D_NE_1!K154 + 1*D_NE_2!K154 + D_SG_1!K154 + D_SG_2!K154 + D_SG_3!K154 + D_SO_1!K154 + D_TG_1!K154 + D_TI_1!K154 + D_VD_2!K154 + D_VS_1!K154 + D_VS_2!K154 + D_VS_3!K154 + D_ZH_1!K154 + D_ZH_2!K154 + D_ZH_3!K154 + D_ZH_4!K154 + D_ZH_5!K154 + D_ZH_6!K154</f>
        <v>0</v>
      </c>
      <c r="L153" s="33">
        <f xml:space="preserve"> 1*D_AG_1!L154 + 1*D_AG_2!L154 + 1*D_AG_3!L154 + 1*D_BE_1!L154 + 1*D_BE_2!L154 + 1*D_BE_3!L154 + 1*D_BS_1!L154 + 1*D_FR_1!L154 + 1*D_GE_1!L154 + 1*D_GL_1!L154 + 1*D_GR_1!L154 + 1*D_LU_1!L154 + 1*D_LU_2!L154 + 1*D_NE_1!L154 + 1*D_NE_2!L154 + D_SG_1!L154 + D_SG_2!L154 + D_SG_3!L154 + D_SO_1!L154 + D_TG_1!L154 + D_TI_1!L154 + D_VD_2!L154 + D_VS_1!L154 + D_VS_2!L154 + D_VS_3!L154 + D_ZH_1!L154 + D_ZH_2!L154 + D_ZH_3!L154 + D_ZH_4!L154 + D_ZH_5!L154 + D_ZH_6!L154</f>
        <v>0</v>
      </c>
      <c r="M153" s="33">
        <f xml:space="preserve"> 1*D_AG_1!M154 + 1*D_AG_2!M154 + 1*D_AG_3!M154 + 1*D_BE_1!M154 + 1*D_BE_2!M154 + 1*D_BE_3!M154 + 1*D_BS_1!M154 + 1*D_FR_1!M154 + 1*D_GE_1!M154 + 1*D_GL_1!M154 + 1*D_GR_1!M154 + 1*D_LU_1!M154 + 1*D_LU_2!M154 + 1*D_NE_1!M154 + 1*D_NE_2!M154 + D_SG_1!M154 + D_SG_2!M154 + D_SG_3!M154 + D_SO_1!M154 + D_TG_1!M154 + D_TI_1!M154 + D_VD_2!M154 + D_VS_1!M154 + D_VS_2!M154 + D_VS_3!M154 + D_ZH_1!M154 + D_ZH_2!M154 + D_ZH_3!M154 + D_ZH_4!M154 + D_ZH_5!M154 + D_ZH_6!M154</f>
        <v>0</v>
      </c>
      <c r="N153" s="33">
        <f xml:space="preserve"> 1*D_AG_1!N154 + 1*D_AG_2!N154 + 1*D_AG_3!N154 + 1*D_BE_1!N154 + 1*D_BE_2!N154 + 1*D_BE_3!N154 + 1*D_BS_1!N154 + 1*D_FR_1!N154 + 1*D_GE_1!N154 + 1*D_GL_1!N154 + 1*D_GR_1!N154 + 1*D_LU_1!N154 + 1*D_LU_2!N154 + 1*D_NE_1!N154 + 1*D_NE_2!N154 + D_SG_1!N154 + D_SG_2!N154 + D_SG_3!N154 + D_SO_1!N154 + D_TG_1!N154 + D_TI_1!N154 + D_VD_2!N154 + D_VS_1!N154 + D_VS_2!N154 + D_VS_3!N154 + D_ZH_1!N154 + D_ZH_2!N154 + D_ZH_3!N154 + D_ZH_4!N154 + D_ZH_5!N154 + D_ZH_6!N154</f>
        <v>0</v>
      </c>
      <c r="O153" s="33">
        <f xml:space="preserve"> 1*D_AG_1!O154 + 1*D_AG_2!O154 + 1*D_AG_3!O154 + 1*D_BE_1!O154 + 1*D_BE_2!O154 + 1*D_BE_3!O154 + 1*D_BS_1!O154 + 1*D_FR_1!O154 + 1*D_GE_1!O154 + 1*D_GL_1!O154 + 1*D_GR_1!O154 + 1*D_LU_1!O154 + 1*D_LU_2!O154 + 1*D_NE_1!O154 + 1*D_NE_2!O154 + D_SG_1!O154 + D_SG_2!O154 + D_SG_3!O154 + D_SO_1!O154 + D_TG_1!O154 + D_TI_1!O154 + D_VD_2!O154 + D_VS_1!O154 + D_VS_2!O154 + D_VS_3!O154 + D_ZH_1!O154 + D_ZH_2!O154 + D_ZH_3!O154 + D_ZH_4!O154 + D_ZH_5!O154 + D_ZH_6!O154</f>
        <v>0</v>
      </c>
      <c r="P153" s="33">
        <f xml:space="preserve"> 1*D_AG_1!P154 + 1*D_AG_2!P154 + 1*D_AG_3!P154 + 1*D_BE_1!P154 + 1*D_BE_2!P154 + 1*D_BE_3!P154 + 1*D_BS_1!P154 + 1*D_FR_1!P154 + 1*D_GE_1!P154 + 1*D_GL_1!P154 + 1*D_GR_1!P154 + 1*D_LU_1!P154 + 1*D_LU_2!P154 + 1*D_NE_1!P154 + 1*D_NE_2!P154 + D_SG_1!P154 + D_SG_2!P154 + D_SG_3!P154 + D_SO_1!P154 + D_TG_1!P154 + D_TI_1!P154 + D_VD_2!P154 + D_VS_1!P154 + D_VS_2!P154 + D_VS_3!P154 + D_ZH_1!P154 + D_ZH_2!P154 + D_ZH_3!P154 + D_ZH_4!P154 + D_ZH_5!P154 + D_ZH_6!P154</f>
        <v>0</v>
      </c>
      <c r="Q153" s="33">
        <f xml:space="preserve"> 1*D_AG_1!Q154 + 1*D_AG_2!Q154 + 1*D_AG_3!Q154 + 1*D_BE_1!Q154 + 1*D_BE_2!Q154 + 1*D_BE_3!Q154 + 1*D_BS_1!Q154 + 1*D_FR_1!Q154 + 1*D_GE_1!Q154 + 1*D_GL_1!Q154 + 1*D_GR_1!Q154 + 1*D_LU_1!Q154 + 1*D_LU_2!Q154 + 1*D_NE_1!Q154 + 1*D_NE_2!Q154 + D_SG_1!Q154 + D_SG_2!Q154 + D_SG_3!Q154 + D_SO_1!Q154 + D_TG_1!Q154 + D_TI_1!Q154 + D_VD_2!Q154 + D_VS_1!Q154 + D_VS_2!Q154 + D_VS_3!Q154 + D_ZH_1!Q154 + D_ZH_2!Q154 + D_ZH_3!Q154 + D_ZH_4!Q154 + D_ZH_5!Q154 + D_ZH_6!Q154</f>
        <v>0</v>
      </c>
      <c r="R153" s="33">
        <f xml:space="preserve"> 1*D_AG_1!R154 + 1*D_AG_2!R154 + 1*D_AG_3!R154 + 1*D_BE_1!R154 + 1*D_BE_2!R154 + 1*D_BE_3!R154 + 1*D_BS_1!R154 + 1*D_FR_1!R154 + 1*D_GE_1!R154 + 1*D_GL_1!R154 + 1*D_GR_1!R154 + 1*D_LU_1!R154 + 1*D_LU_2!R154 + 1*D_NE_1!R154 + 1*D_NE_2!R154 + D_SG_1!R154 + D_SG_2!R154 + D_SG_3!R154 + D_SO_1!R154 + D_TG_1!R154 + D_TI_1!R154 + D_VD_2!R154 + D_VS_1!R154 + D_VS_2!R154 + D_VS_3!R154 + D_ZH_1!R154 + D_ZH_2!R154 + D_ZH_3!R154 + D_ZH_4!R154 + D_ZH_5!R154 + D_ZH_6!R154</f>
        <v>0</v>
      </c>
      <c r="S153" s="33">
        <f xml:space="preserve"> 1*D_AG_1!S154 + 1*D_AG_2!S154 + 1*D_AG_3!S154 + 1*D_BE_1!S154 + 1*D_BE_2!S154 + 1*D_BE_3!S154 + 1*D_BS_1!S154 + 1*D_FR_1!S154 + 1*D_GE_1!S154 + 1*D_GL_1!S154 + 1*D_GR_1!S154 + 1*D_LU_1!S154 + 1*D_LU_2!S154 + 1*D_NE_1!S154 + 1*D_NE_2!S154 + D_SG_1!S154 + D_SG_2!S154 + D_SG_3!S154 + D_SO_1!S154 + D_TG_1!S154 + D_TI_1!S154 + D_VD_2!S154 + D_VS_1!S154 + D_VS_2!S154 + D_VS_3!S154 + D_ZH_1!S154 + D_ZH_2!S154 + D_ZH_3!S154 + D_ZH_4!S154 + D_ZH_5!S154 + D_ZH_6!S154</f>
        <v>0</v>
      </c>
    </row>
    <row r="154" spans="4:19" x14ac:dyDescent="0.3">
      <c r="D154" s="33">
        <f xml:space="preserve"> 1*D_AG_1!D155 + 1*D_AG_2!D155 + 1*D_AG_3!D155 + 1*D_BE_1!D155 + 1*D_BE_2!D155 + 1*D_BE_3!D155 + 1*D_BS_1!D155 + 1*D_FR_1!D155 + 1*D_GE_1!D155 + 1*D_GL_1!D155 + 1*D_GR_1!D155 + 1*D_LU_1!D155 + 1*D_LU_2!D155 + 1*D_NE_1!D155 + 1*D_NE_2!D155 + D_SG_1!D155 + D_SG_2!D155 + D_SG_3!D155 + D_SO_1!D155 + D_TG_1!D155 + D_TI_1!D155 + D_VD_2!D155 + D_VS_1!D155 + D_VS_2!D155 + D_VS_3!D155 + D_ZH_1!D155 + D_ZH_2!D155 + D_ZH_3!D155 + D_ZH_4!D155 + D_ZH_5!D155 + D_ZH_6!D155</f>
        <v>0</v>
      </c>
      <c r="E154" s="33">
        <f xml:space="preserve"> 1*D_AG_1!E155 + 1*D_AG_2!E155 + 1*D_AG_3!E155 + 1*D_BE_1!E155 + 1*D_BE_2!E155 + 1*D_BE_3!E155 + 1*D_BS_1!E155 + 1*D_FR_1!E155 + 1*D_GE_1!E155 + 1*D_GL_1!E155 + 1*D_GR_1!E155 + 1*D_LU_1!E155 + 1*D_LU_2!E155 + 1*D_NE_1!E155 + 1*D_NE_2!E155 + D_SG_1!E155 + D_SG_2!E155 + D_SG_3!E155 + D_SO_1!E155 + D_TG_1!E155 + D_TI_1!E155 + D_VD_2!E155 + D_VS_1!E155 + D_VS_2!E155 + D_VS_3!E155 + D_ZH_1!E155 + D_ZH_2!E155 + D_ZH_3!E155 + D_ZH_4!E155 + D_ZH_5!E155 + D_ZH_6!E155</f>
        <v>0</v>
      </c>
      <c r="F154" s="33">
        <f xml:space="preserve"> 1*D_AG_1!F155 + 1*D_AG_2!F155 + 1*D_AG_3!F155 + 1*D_BE_1!F155 + 1*D_BE_2!F155 + 1*D_BE_3!F155 + 1*D_BS_1!F155 + 1*D_FR_1!F155 + 1*D_GE_1!F155 + 1*D_GL_1!F155 + 1*D_GR_1!F155 + 1*D_LU_1!F155 + 1*D_LU_2!F155 + 1*D_NE_1!F155 + 1*D_NE_2!F155 + D_SG_1!F155 + D_SG_2!F155 + D_SG_3!F155 + D_SO_1!F155 + D_TG_1!F155 + D_TI_1!F155 + D_VD_2!F155 + D_VS_1!F155 + D_VS_2!F155 + D_VS_3!F155 + D_ZH_1!F155 + D_ZH_2!F155 + D_ZH_3!F155 + D_ZH_4!F155 + D_ZH_5!F155 + D_ZH_6!F155</f>
        <v>0</v>
      </c>
      <c r="G154" s="33">
        <f xml:space="preserve"> 1*D_AG_1!G155 + 1*D_AG_2!G155 + 1*D_AG_3!G155 + 1*D_BE_1!G155 + 1*D_BE_2!G155 + 1*D_BE_3!G155 + 1*D_BS_1!G155 + 1*D_FR_1!G155 + 1*D_GE_1!G155 + 1*D_GL_1!G155 + 1*D_GR_1!G155 + 1*D_LU_1!G155 + 1*D_LU_2!G155 + 1*D_NE_1!G155 + 1*D_NE_2!G155 + D_SG_1!G155 + D_SG_2!G155 + D_SG_3!G155 + D_SO_1!G155 + D_TG_1!G155 + D_TI_1!G155 + D_VD_2!G155 + D_VS_1!G155 + D_VS_2!G155 + D_VS_3!G155 + D_ZH_1!G155 + D_ZH_2!G155 + D_ZH_3!G155 + D_ZH_4!G155 + D_ZH_5!G155 + D_ZH_6!G155</f>
        <v>0</v>
      </c>
      <c r="H154" s="33">
        <f xml:space="preserve"> 1*D_AG_1!H155 + 1*D_AG_2!H155 + 1*D_AG_3!H155 + 1*D_BE_1!H155 + 1*D_BE_2!H155 + 1*D_BE_3!H155 + 1*D_BS_1!H155 + 1*D_FR_1!H155 + 1*D_GE_1!H155 + 1*D_GL_1!H155 + 1*D_GR_1!H155 + 1*D_LU_1!H155 + 1*D_LU_2!H155 + 1*D_NE_1!H155 + 1*D_NE_2!H155 + D_SG_1!H155 + D_SG_2!H155 + D_SG_3!H155 + D_SO_1!H155 + D_TG_1!H155 + D_TI_1!H155 + D_VD_2!H155 + D_VS_1!H155 + D_VS_2!H155 + D_VS_3!H155 + D_ZH_1!H155 + D_ZH_2!H155 + D_ZH_3!H155 + D_ZH_4!H155 + D_ZH_5!H155 + D_ZH_6!H155</f>
        <v>0</v>
      </c>
      <c r="I154" s="33">
        <f xml:space="preserve"> 1*D_AG_1!I155 + 1*D_AG_2!I155 + 1*D_AG_3!I155 + 1*D_BE_1!I155 + 1*D_BE_2!I155 + 1*D_BE_3!I155 + 1*D_BS_1!I155 + 1*D_FR_1!I155 + 1*D_GE_1!I155 + 1*D_GL_1!I155 + 1*D_GR_1!I155 + 1*D_LU_1!I155 + 1*D_LU_2!I155 + 1*D_NE_1!I155 + 1*D_NE_2!I155 + D_SG_1!I155 + D_SG_2!I155 + D_SG_3!I155 + D_SO_1!I155 + D_TG_1!I155 + D_TI_1!I155 + D_VD_2!I155 + D_VS_1!I155 + D_VS_2!I155 + D_VS_3!I155 + D_ZH_1!I155 + D_ZH_2!I155 + D_ZH_3!I155 + D_ZH_4!I155 + D_ZH_5!I155 + D_ZH_6!I155</f>
        <v>0</v>
      </c>
      <c r="J154" s="33">
        <f xml:space="preserve"> 1*D_AG_1!J155 + 1*D_AG_2!J155 + 1*D_AG_3!J155 + 1*D_BE_1!J155 + 1*D_BE_2!J155 + 1*D_BE_3!J155 + 1*D_BS_1!J155 + 1*D_FR_1!J155 + 1*D_GE_1!J155 + 1*D_GL_1!J155 + 1*D_GR_1!J155 + 1*D_LU_1!J155 + 1*D_LU_2!J155 + 1*D_NE_1!J155 + 1*D_NE_2!J155 + D_SG_1!J155 + D_SG_2!J155 + D_SG_3!J155 + D_SO_1!J155 + D_TG_1!J155 + D_TI_1!J155 + D_VD_2!J155 + D_VS_1!J155 + D_VS_2!J155 + D_VS_3!J155 + D_ZH_1!J155 + D_ZH_2!J155 + D_ZH_3!J155 + D_ZH_4!J155 + D_ZH_5!J155 + D_ZH_6!J155</f>
        <v>0</v>
      </c>
      <c r="K154" s="33">
        <f xml:space="preserve"> 1*D_AG_1!K155 + 1*D_AG_2!K155 + 1*D_AG_3!K155 + 1*D_BE_1!K155 + 1*D_BE_2!K155 + 1*D_BE_3!K155 + 1*D_BS_1!K155 + 1*D_FR_1!K155 + 1*D_GE_1!K155 + 1*D_GL_1!K155 + 1*D_GR_1!K155 + 1*D_LU_1!K155 + 1*D_LU_2!K155 + 1*D_NE_1!K155 + 1*D_NE_2!K155 + D_SG_1!K155 + D_SG_2!K155 + D_SG_3!K155 + D_SO_1!K155 + D_TG_1!K155 + D_TI_1!K155 + D_VD_2!K155 + D_VS_1!K155 + D_VS_2!K155 + D_VS_3!K155 + D_ZH_1!K155 + D_ZH_2!K155 + D_ZH_3!K155 + D_ZH_4!K155 + D_ZH_5!K155 + D_ZH_6!K155</f>
        <v>0</v>
      </c>
      <c r="L154" s="33">
        <f xml:space="preserve"> 1*D_AG_1!L155 + 1*D_AG_2!L155 + 1*D_AG_3!L155 + 1*D_BE_1!L155 + 1*D_BE_2!L155 + 1*D_BE_3!L155 + 1*D_BS_1!L155 + 1*D_FR_1!L155 + 1*D_GE_1!L155 + 1*D_GL_1!L155 + 1*D_GR_1!L155 + 1*D_LU_1!L155 + 1*D_LU_2!L155 + 1*D_NE_1!L155 + 1*D_NE_2!L155 + D_SG_1!L155 + D_SG_2!L155 + D_SG_3!L155 + D_SO_1!L155 + D_TG_1!L155 + D_TI_1!L155 + D_VD_2!L155 + D_VS_1!L155 + D_VS_2!L155 + D_VS_3!L155 + D_ZH_1!L155 + D_ZH_2!L155 + D_ZH_3!L155 + D_ZH_4!L155 + D_ZH_5!L155 + D_ZH_6!L155</f>
        <v>0</v>
      </c>
      <c r="M154" s="33">
        <f xml:space="preserve"> 1*D_AG_1!M155 + 1*D_AG_2!M155 + 1*D_AG_3!M155 + 1*D_BE_1!M155 + 1*D_BE_2!M155 + 1*D_BE_3!M155 + 1*D_BS_1!M155 + 1*D_FR_1!M155 + 1*D_GE_1!M155 + 1*D_GL_1!M155 + 1*D_GR_1!M155 + 1*D_LU_1!M155 + 1*D_LU_2!M155 + 1*D_NE_1!M155 + 1*D_NE_2!M155 + D_SG_1!M155 + D_SG_2!M155 + D_SG_3!M155 + D_SO_1!M155 + D_TG_1!M155 + D_TI_1!M155 + D_VD_2!M155 + D_VS_1!M155 + D_VS_2!M155 + D_VS_3!M155 + D_ZH_1!M155 + D_ZH_2!M155 + D_ZH_3!M155 + D_ZH_4!M155 + D_ZH_5!M155 + D_ZH_6!M155</f>
        <v>0</v>
      </c>
      <c r="N154" s="33">
        <f xml:space="preserve"> 1*D_AG_1!N155 + 1*D_AG_2!N155 + 1*D_AG_3!N155 + 1*D_BE_1!N155 + 1*D_BE_2!N155 + 1*D_BE_3!N155 + 1*D_BS_1!N155 + 1*D_FR_1!N155 + 1*D_GE_1!N155 + 1*D_GL_1!N155 + 1*D_GR_1!N155 + 1*D_LU_1!N155 + 1*D_LU_2!N155 + 1*D_NE_1!N155 + 1*D_NE_2!N155 + D_SG_1!N155 + D_SG_2!N155 + D_SG_3!N155 + D_SO_1!N155 + D_TG_1!N155 + D_TI_1!N155 + D_VD_2!N155 + D_VS_1!N155 + D_VS_2!N155 + D_VS_3!N155 + D_ZH_1!N155 + D_ZH_2!N155 + D_ZH_3!N155 + D_ZH_4!N155 + D_ZH_5!N155 + D_ZH_6!N155</f>
        <v>0</v>
      </c>
      <c r="O154" s="33">
        <f xml:space="preserve"> 1*D_AG_1!O155 + 1*D_AG_2!O155 + 1*D_AG_3!O155 + 1*D_BE_1!O155 + 1*D_BE_2!O155 + 1*D_BE_3!O155 + 1*D_BS_1!O155 + 1*D_FR_1!O155 + 1*D_GE_1!O155 + 1*D_GL_1!O155 + 1*D_GR_1!O155 + 1*D_LU_1!O155 + 1*D_LU_2!O155 + 1*D_NE_1!O155 + 1*D_NE_2!O155 + D_SG_1!O155 + D_SG_2!O155 + D_SG_3!O155 + D_SO_1!O155 + D_TG_1!O155 + D_TI_1!O155 + D_VD_2!O155 + D_VS_1!O155 + D_VS_2!O155 + D_VS_3!O155 + D_ZH_1!O155 + D_ZH_2!O155 + D_ZH_3!O155 + D_ZH_4!O155 + D_ZH_5!O155 + D_ZH_6!O155</f>
        <v>0</v>
      </c>
      <c r="P154" s="33">
        <f xml:space="preserve"> 1*D_AG_1!P155 + 1*D_AG_2!P155 + 1*D_AG_3!P155 + 1*D_BE_1!P155 + 1*D_BE_2!P155 + 1*D_BE_3!P155 + 1*D_BS_1!P155 + 1*D_FR_1!P155 + 1*D_GE_1!P155 + 1*D_GL_1!P155 + 1*D_GR_1!P155 + 1*D_LU_1!P155 + 1*D_LU_2!P155 + 1*D_NE_1!P155 + 1*D_NE_2!P155 + D_SG_1!P155 + D_SG_2!P155 + D_SG_3!P155 + D_SO_1!P155 + D_TG_1!P155 + D_TI_1!P155 + D_VD_2!P155 + D_VS_1!P155 + D_VS_2!P155 + D_VS_3!P155 + D_ZH_1!P155 + D_ZH_2!P155 + D_ZH_3!P155 + D_ZH_4!P155 + D_ZH_5!P155 + D_ZH_6!P155</f>
        <v>0</v>
      </c>
      <c r="Q154" s="33">
        <f xml:space="preserve"> 1*D_AG_1!Q155 + 1*D_AG_2!Q155 + 1*D_AG_3!Q155 + 1*D_BE_1!Q155 + 1*D_BE_2!Q155 + 1*D_BE_3!Q155 + 1*D_BS_1!Q155 + 1*D_FR_1!Q155 + 1*D_GE_1!Q155 + 1*D_GL_1!Q155 + 1*D_GR_1!Q155 + 1*D_LU_1!Q155 + 1*D_LU_2!Q155 + 1*D_NE_1!Q155 + 1*D_NE_2!Q155 + D_SG_1!Q155 + D_SG_2!Q155 + D_SG_3!Q155 + D_SO_1!Q155 + D_TG_1!Q155 + D_TI_1!Q155 + D_VD_2!Q155 + D_VS_1!Q155 + D_VS_2!Q155 + D_VS_3!Q155 + D_ZH_1!Q155 + D_ZH_2!Q155 + D_ZH_3!Q155 + D_ZH_4!Q155 + D_ZH_5!Q155 + D_ZH_6!Q155</f>
        <v>0</v>
      </c>
      <c r="R154" s="33">
        <f xml:space="preserve"> 1*D_AG_1!R155 + 1*D_AG_2!R155 + 1*D_AG_3!R155 + 1*D_BE_1!R155 + 1*D_BE_2!R155 + 1*D_BE_3!R155 + 1*D_BS_1!R155 + 1*D_FR_1!R155 + 1*D_GE_1!R155 + 1*D_GL_1!R155 + 1*D_GR_1!R155 + 1*D_LU_1!R155 + 1*D_LU_2!R155 + 1*D_NE_1!R155 + 1*D_NE_2!R155 + D_SG_1!R155 + D_SG_2!R155 + D_SG_3!R155 + D_SO_1!R155 + D_TG_1!R155 + D_TI_1!R155 + D_VD_2!R155 + D_VS_1!R155 + D_VS_2!R155 + D_VS_3!R155 + D_ZH_1!R155 + D_ZH_2!R155 + D_ZH_3!R155 + D_ZH_4!R155 + D_ZH_5!R155 + D_ZH_6!R155</f>
        <v>0</v>
      </c>
      <c r="S154" s="33">
        <f xml:space="preserve"> 1*D_AG_1!S155 + 1*D_AG_2!S155 + 1*D_AG_3!S155 + 1*D_BE_1!S155 + 1*D_BE_2!S155 + 1*D_BE_3!S155 + 1*D_BS_1!S155 + 1*D_FR_1!S155 + 1*D_GE_1!S155 + 1*D_GL_1!S155 + 1*D_GR_1!S155 + 1*D_LU_1!S155 + 1*D_LU_2!S155 + 1*D_NE_1!S155 + 1*D_NE_2!S155 + D_SG_1!S155 + D_SG_2!S155 + D_SG_3!S155 + D_SO_1!S155 + D_TG_1!S155 + D_TI_1!S155 + D_VD_2!S155 + D_VS_1!S155 + D_VS_2!S155 + D_VS_3!S155 + D_ZH_1!S155 + D_ZH_2!S155 + D_ZH_3!S155 + D_ZH_4!S155 + D_ZH_5!S155 + D_ZH_6!S155</f>
        <v>0</v>
      </c>
    </row>
    <row r="155" spans="4:19" x14ac:dyDescent="0.3">
      <c r="D155" s="33">
        <f xml:space="preserve"> 1*D_AG_1!D156 + 1*D_AG_2!D156 + 1*D_AG_3!D156 + 1*D_BE_1!D156 + 1*D_BE_2!D156 + 1*D_BE_3!D156 + 1*D_BS_1!D156 + 1*D_FR_1!D156 + 1*D_GE_1!D156 + 1*D_GL_1!D156 + 1*D_GR_1!D156 + 1*D_LU_1!D156 + 1*D_LU_2!D156 + 1*D_NE_1!D156 + 1*D_NE_2!D156 + D_SG_1!D156 + D_SG_2!D156 + D_SG_3!D156 + D_SO_1!D156 + D_TG_1!D156 + D_TI_1!D156 + D_VD_2!D156 + D_VS_1!D156 + D_VS_2!D156 + D_VS_3!D156 + D_ZH_1!D156 + D_ZH_2!D156 + D_ZH_3!D156 + D_ZH_4!D156 + D_ZH_5!D156 + D_ZH_6!D156</f>
        <v>0</v>
      </c>
      <c r="E155" s="33">
        <f xml:space="preserve"> 1*D_AG_1!E156 + 1*D_AG_2!E156 + 1*D_AG_3!E156 + 1*D_BE_1!E156 + 1*D_BE_2!E156 + 1*D_BE_3!E156 + 1*D_BS_1!E156 + 1*D_FR_1!E156 + 1*D_GE_1!E156 + 1*D_GL_1!E156 + 1*D_GR_1!E156 + 1*D_LU_1!E156 + 1*D_LU_2!E156 + 1*D_NE_1!E156 + 1*D_NE_2!E156 + D_SG_1!E156 + D_SG_2!E156 + D_SG_3!E156 + D_SO_1!E156 + D_TG_1!E156 + D_TI_1!E156 + D_VD_2!E156 + D_VS_1!E156 + D_VS_2!E156 + D_VS_3!E156 + D_ZH_1!E156 + D_ZH_2!E156 + D_ZH_3!E156 + D_ZH_4!E156 + D_ZH_5!E156 + D_ZH_6!E156</f>
        <v>0</v>
      </c>
      <c r="F155" s="33">
        <f xml:space="preserve"> 1*D_AG_1!F156 + 1*D_AG_2!F156 + 1*D_AG_3!F156 + 1*D_BE_1!F156 + 1*D_BE_2!F156 + 1*D_BE_3!F156 + 1*D_BS_1!F156 + 1*D_FR_1!F156 + 1*D_GE_1!F156 + 1*D_GL_1!F156 + 1*D_GR_1!F156 + 1*D_LU_1!F156 + 1*D_LU_2!F156 + 1*D_NE_1!F156 + 1*D_NE_2!F156 + D_SG_1!F156 + D_SG_2!F156 + D_SG_3!F156 + D_SO_1!F156 + D_TG_1!F156 + D_TI_1!F156 + D_VD_2!F156 + D_VS_1!F156 + D_VS_2!F156 + D_VS_3!F156 + D_ZH_1!F156 + D_ZH_2!F156 + D_ZH_3!F156 + D_ZH_4!F156 + D_ZH_5!F156 + D_ZH_6!F156</f>
        <v>0</v>
      </c>
      <c r="G155" s="33">
        <f xml:space="preserve"> 1*D_AG_1!G156 + 1*D_AG_2!G156 + 1*D_AG_3!G156 + 1*D_BE_1!G156 + 1*D_BE_2!G156 + 1*D_BE_3!G156 + 1*D_BS_1!G156 + 1*D_FR_1!G156 + 1*D_GE_1!G156 + 1*D_GL_1!G156 + 1*D_GR_1!G156 + 1*D_LU_1!G156 + 1*D_LU_2!G156 + 1*D_NE_1!G156 + 1*D_NE_2!G156 + D_SG_1!G156 + D_SG_2!G156 + D_SG_3!G156 + D_SO_1!G156 + D_TG_1!G156 + D_TI_1!G156 + D_VD_2!G156 + D_VS_1!G156 + D_VS_2!G156 + D_VS_3!G156 + D_ZH_1!G156 + D_ZH_2!G156 + D_ZH_3!G156 + D_ZH_4!G156 + D_ZH_5!G156 + D_ZH_6!G156</f>
        <v>0</v>
      </c>
      <c r="H155" s="33">
        <f xml:space="preserve"> 1*D_AG_1!H156 + 1*D_AG_2!H156 + 1*D_AG_3!H156 + 1*D_BE_1!H156 + 1*D_BE_2!H156 + 1*D_BE_3!H156 + 1*D_BS_1!H156 + 1*D_FR_1!H156 + 1*D_GE_1!H156 + 1*D_GL_1!H156 + 1*D_GR_1!H156 + 1*D_LU_1!H156 + 1*D_LU_2!H156 + 1*D_NE_1!H156 + 1*D_NE_2!H156 + D_SG_1!H156 + D_SG_2!H156 + D_SG_3!H156 + D_SO_1!H156 + D_TG_1!H156 + D_TI_1!H156 + D_VD_2!H156 + D_VS_1!H156 + D_VS_2!H156 + D_VS_3!H156 + D_ZH_1!H156 + D_ZH_2!H156 + D_ZH_3!H156 + D_ZH_4!H156 + D_ZH_5!H156 + D_ZH_6!H156</f>
        <v>0</v>
      </c>
      <c r="I155" s="33">
        <f xml:space="preserve"> 1*D_AG_1!I156 + 1*D_AG_2!I156 + 1*D_AG_3!I156 + 1*D_BE_1!I156 + 1*D_BE_2!I156 + 1*D_BE_3!I156 + 1*D_BS_1!I156 + 1*D_FR_1!I156 + 1*D_GE_1!I156 + 1*D_GL_1!I156 + 1*D_GR_1!I156 + 1*D_LU_1!I156 + 1*D_LU_2!I156 + 1*D_NE_1!I156 + 1*D_NE_2!I156 + D_SG_1!I156 + D_SG_2!I156 + D_SG_3!I156 + D_SO_1!I156 + D_TG_1!I156 + D_TI_1!I156 + D_VD_2!I156 + D_VS_1!I156 + D_VS_2!I156 + D_VS_3!I156 + D_ZH_1!I156 + D_ZH_2!I156 + D_ZH_3!I156 + D_ZH_4!I156 + D_ZH_5!I156 + D_ZH_6!I156</f>
        <v>0</v>
      </c>
      <c r="J155" s="33">
        <f xml:space="preserve"> 1*D_AG_1!J156 + 1*D_AG_2!J156 + 1*D_AG_3!J156 + 1*D_BE_1!J156 + 1*D_BE_2!J156 + 1*D_BE_3!J156 + 1*D_BS_1!J156 + 1*D_FR_1!J156 + 1*D_GE_1!J156 + 1*D_GL_1!J156 + 1*D_GR_1!J156 + 1*D_LU_1!J156 + 1*D_LU_2!J156 + 1*D_NE_1!J156 + 1*D_NE_2!J156 + D_SG_1!J156 + D_SG_2!J156 + D_SG_3!J156 + D_SO_1!J156 + D_TG_1!J156 + D_TI_1!J156 + D_VD_2!J156 + D_VS_1!J156 + D_VS_2!J156 + D_VS_3!J156 + D_ZH_1!J156 + D_ZH_2!J156 + D_ZH_3!J156 + D_ZH_4!J156 + D_ZH_5!J156 + D_ZH_6!J156</f>
        <v>0</v>
      </c>
      <c r="K155" s="33">
        <f xml:space="preserve"> 1*D_AG_1!K156 + 1*D_AG_2!K156 + 1*D_AG_3!K156 + 1*D_BE_1!K156 + 1*D_BE_2!K156 + 1*D_BE_3!K156 + 1*D_BS_1!K156 + 1*D_FR_1!K156 + 1*D_GE_1!K156 + 1*D_GL_1!K156 + 1*D_GR_1!K156 + 1*D_LU_1!K156 + 1*D_LU_2!K156 + 1*D_NE_1!K156 + 1*D_NE_2!K156 + D_SG_1!K156 + D_SG_2!K156 + D_SG_3!K156 + D_SO_1!K156 + D_TG_1!K156 + D_TI_1!K156 + D_VD_2!K156 + D_VS_1!K156 + D_VS_2!K156 + D_VS_3!K156 + D_ZH_1!K156 + D_ZH_2!K156 + D_ZH_3!K156 + D_ZH_4!K156 + D_ZH_5!K156 + D_ZH_6!K156</f>
        <v>0</v>
      </c>
      <c r="L155" s="33">
        <f xml:space="preserve"> 1*D_AG_1!L156 + 1*D_AG_2!L156 + 1*D_AG_3!L156 + 1*D_BE_1!L156 + 1*D_BE_2!L156 + 1*D_BE_3!L156 + 1*D_BS_1!L156 + 1*D_FR_1!L156 + 1*D_GE_1!L156 + 1*D_GL_1!L156 + 1*D_GR_1!L156 + 1*D_LU_1!L156 + 1*D_LU_2!L156 + 1*D_NE_1!L156 + 1*D_NE_2!L156 + D_SG_1!L156 + D_SG_2!L156 + D_SG_3!L156 + D_SO_1!L156 + D_TG_1!L156 + D_TI_1!L156 + D_VD_2!L156 + D_VS_1!L156 + D_VS_2!L156 + D_VS_3!L156 + D_ZH_1!L156 + D_ZH_2!L156 + D_ZH_3!L156 + D_ZH_4!L156 + D_ZH_5!L156 + D_ZH_6!L156</f>
        <v>0</v>
      </c>
      <c r="M155" s="33">
        <f xml:space="preserve"> 1*D_AG_1!M156 + 1*D_AG_2!M156 + 1*D_AG_3!M156 + 1*D_BE_1!M156 + 1*D_BE_2!M156 + 1*D_BE_3!M156 + 1*D_BS_1!M156 + 1*D_FR_1!M156 + 1*D_GE_1!M156 + 1*D_GL_1!M156 + 1*D_GR_1!M156 + 1*D_LU_1!M156 + 1*D_LU_2!M156 + 1*D_NE_1!M156 + 1*D_NE_2!M156 + D_SG_1!M156 + D_SG_2!M156 + D_SG_3!M156 + D_SO_1!M156 + D_TG_1!M156 + D_TI_1!M156 + D_VD_2!M156 + D_VS_1!M156 + D_VS_2!M156 + D_VS_3!M156 + D_ZH_1!M156 + D_ZH_2!M156 + D_ZH_3!M156 + D_ZH_4!M156 + D_ZH_5!M156 + D_ZH_6!M156</f>
        <v>0</v>
      </c>
      <c r="N155" s="33">
        <f xml:space="preserve"> 1*D_AG_1!N156 + 1*D_AG_2!N156 + 1*D_AG_3!N156 + 1*D_BE_1!N156 + 1*D_BE_2!N156 + 1*D_BE_3!N156 + 1*D_BS_1!N156 + 1*D_FR_1!N156 + 1*D_GE_1!N156 + 1*D_GL_1!N156 + 1*D_GR_1!N156 + 1*D_LU_1!N156 + 1*D_LU_2!N156 + 1*D_NE_1!N156 + 1*D_NE_2!N156 + D_SG_1!N156 + D_SG_2!N156 + D_SG_3!N156 + D_SO_1!N156 + D_TG_1!N156 + D_TI_1!N156 + D_VD_2!N156 + D_VS_1!N156 + D_VS_2!N156 + D_VS_3!N156 + D_ZH_1!N156 + D_ZH_2!N156 + D_ZH_3!N156 + D_ZH_4!N156 + D_ZH_5!N156 + D_ZH_6!N156</f>
        <v>0</v>
      </c>
      <c r="O155" s="33">
        <f xml:space="preserve"> 1*D_AG_1!O156 + 1*D_AG_2!O156 + 1*D_AG_3!O156 + 1*D_BE_1!O156 + 1*D_BE_2!O156 + 1*D_BE_3!O156 + 1*D_BS_1!O156 + 1*D_FR_1!O156 + 1*D_GE_1!O156 + 1*D_GL_1!O156 + 1*D_GR_1!O156 + 1*D_LU_1!O156 + 1*D_LU_2!O156 + 1*D_NE_1!O156 + 1*D_NE_2!O156 + D_SG_1!O156 + D_SG_2!O156 + D_SG_3!O156 + D_SO_1!O156 + D_TG_1!O156 + D_TI_1!O156 + D_VD_2!O156 + D_VS_1!O156 + D_VS_2!O156 + D_VS_3!O156 + D_ZH_1!O156 + D_ZH_2!O156 + D_ZH_3!O156 + D_ZH_4!O156 + D_ZH_5!O156 + D_ZH_6!O156</f>
        <v>0</v>
      </c>
      <c r="P155" s="33">
        <f xml:space="preserve"> 1*D_AG_1!P156 + 1*D_AG_2!P156 + 1*D_AG_3!P156 + 1*D_BE_1!P156 + 1*D_BE_2!P156 + 1*D_BE_3!P156 + 1*D_BS_1!P156 + 1*D_FR_1!P156 + 1*D_GE_1!P156 + 1*D_GL_1!P156 + 1*D_GR_1!P156 + 1*D_LU_1!P156 + 1*D_LU_2!P156 + 1*D_NE_1!P156 + 1*D_NE_2!P156 + D_SG_1!P156 + D_SG_2!P156 + D_SG_3!P156 + D_SO_1!P156 + D_TG_1!P156 + D_TI_1!P156 + D_VD_2!P156 + D_VS_1!P156 + D_VS_2!P156 + D_VS_3!P156 + D_ZH_1!P156 + D_ZH_2!P156 + D_ZH_3!P156 + D_ZH_4!P156 + D_ZH_5!P156 + D_ZH_6!P156</f>
        <v>0</v>
      </c>
      <c r="Q155" s="33">
        <f xml:space="preserve"> 1*D_AG_1!Q156 + 1*D_AG_2!Q156 + 1*D_AG_3!Q156 + 1*D_BE_1!Q156 + 1*D_BE_2!Q156 + 1*D_BE_3!Q156 + 1*D_BS_1!Q156 + 1*D_FR_1!Q156 + 1*D_GE_1!Q156 + 1*D_GL_1!Q156 + 1*D_GR_1!Q156 + 1*D_LU_1!Q156 + 1*D_LU_2!Q156 + 1*D_NE_1!Q156 + 1*D_NE_2!Q156 + D_SG_1!Q156 + D_SG_2!Q156 + D_SG_3!Q156 + D_SO_1!Q156 + D_TG_1!Q156 + D_TI_1!Q156 + D_VD_2!Q156 + D_VS_1!Q156 + D_VS_2!Q156 + D_VS_3!Q156 + D_ZH_1!Q156 + D_ZH_2!Q156 + D_ZH_3!Q156 + D_ZH_4!Q156 + D_ZH_5!Q156 + D_ZH_6!Q156</f>
        <v>0</v>
      </c>
      <c r="R155" s="33">
        <f xml:space="preserve"> 1*D_AG_1!R156 + 1*D_AG_2!R156 + 1*D_AG_3!R156 + 1*D_BE_1!R156 + 1*D_BE_2!R156 + 1*D_BE_3!R156 + 1*D_BS_1!R156 + 1*D_FR_1!R156 + 1*D_GE_1!R156 + 1*D_GL_1!R156 + 1*D_GR_1!R156 + 1*D_LU_1!R156 + 1*D_LU_2!R156 + 1*D_NE_1!R156 + 1*D_NE_2!R156 + D_SG_1!R156 + D_SG_2!R156 + D_SG_3!R156 + D_SO_1!R156 + D_TG_1!R156 + D_TI_1!R156 + D_VD_2!R156 + D_VS_1!R156 + D_VS_2!R156 + D_VS_3!R156 + D_ZH_1!R156 + D_ZH_2!R156 + D_ZH_3!R156 + D_ZH_4!R156 + D_ZH_5!R156 + D_ZH_6!R156</f>
        <v>0</v>
      </c>
      <c r="S155" s="33">
        <f xml:space="preserve"> 1*D_AG_1!S156 + 1*D_AG_2!S156 + 1*D_AG_3!S156 + 1*D_BE_1!S156 + 1*D_BE_2!S156 + 1*D_BE_3!S156 + 1*D_BS_1!S156 + 1*D_FR_1!S156 + 1*D_GE_1!S156 + 1*D_GL_1!S156 + 1*D_GR_1!S156 + 1*D_LU_1!S156 + 1*D_LU_2!S156 + 1*D_NE_1!S156 + 1*D_NE_2!S156 + D_SG_1!S156 + D_SG_2!S156 + D_SG_3!S156 + D_SO_1!S156 + D_TG_1!S156 + D_TI_1!S156 + D_VD_2!S156 + D_VS_1!S156 + D_VS_2!S156 + D_VS_3!S156 + D_ZH_1!S156 + D_ZH_2!S156 + D_ZH_3!S156 + D_ZH_4!S156 + D_ZH_5!S156 + D_ZH_6!S156</f>
        <v>0</v>
      </c>
    </row>
    <row r="156" spans="4:19" x14ac:dyDescent="0.3">
      <c r="D156" s="33">
        <f xml:space="preserve"> 1*D_AG_1!D157 + 1*D_AG_2!D157 + 1*D_AG_3!D157 + 1*D_BE_1!D157 + 1*D_BE_2!D157 + 1*D_BE_3!D157 + 1*D_BS_1!D157 + 1*D_FR_1!D157 + 1*D_GE_1!D157 + 1*D_GL_1!D157 + 1*D_GR_1!D157 + 1*D_LU_1!D157 + 1*D_LU_2!D157 + 1*D_NE_1!D157 + 1*D_NE_2!D157 + D_SG_1!D157 + D_SG_2!D157 + D_SG_3!D157 + D_SO_1!D157 + D_TG_1!D157 + D_TI_1!D157 + D_VD_2!D157 + D_VS_1!D157 + D_VS_2!D157 + D_VS_3!D157 + D_ZH_1!D157 + D_ZH_2!D157 + D_ZH_3!D157 + D_ZH_4!D157 + D_ZH_5!D157 + D_ZH_6!D157</f>
        <v>0</v>
      </c>
      <c r="E156" s="33">
        <f xml:space="preserve"> 1*D_AG_1!E157 + 1*D_AG_2!E157 + 1*D_AG_3!E157 + 1*D_BE_1!E157 + 1*D_BE_2!E157 + 1*D_BE_3!E157 + 1*D_BS_1!E157 + 1*D_FR_1!E157 + 1*D_GE_1!E157 + 1*D_GL_1!E157 + 1*D_GR_1!E157 + 1*D_LU_1!E157 + 1*D_LU_2!E157 + 1*D_NE_1!E157 + 1*D_NE_2!E157 + D_SG_1!E157 + D_SG_2!E157 + D_SG_3!E157 + D_SO_1!E157 + D_TG_1!E157 + D_TI_1!E157 + D_VD_2!E157 + D_VS_1!E157 + D_VS_2!E157 + D_VS_3!E157 + D_ZH_1!E157 + D_ZH_2!E157 + D_ZH_3!E157 + D_ZH_4!E157 + D_ZH_5!E157 + D_ZH_6!E157</f>
        <v>0</v>
      </c>
      <c r="F156" s="33">
        <f xml:space="preserve"> 1*D_AG_1!F157 + 1*D_AG_2!F157 + 1*D_AG_3!F157 + 1*D_BE_1!F157 + 1*D_BE_2!F157 + 1*D_BE_3!F157 + 1*D_BS_1!F157 + 1*D_FR_1!F157 + 1*D_GE_1!F157 + 1*D_GL_1!F157 + 1*D_GR_1!F157 + 1*D_LU_1!F157 + 1*D_LU_2!F157 + 1*D_NE_1!F157 + 1*D_NE_2!F157 + D_SG_1!F157 + D_SG_2!F157 + D_SG_3!F157 + D_SO_1!F157 + D_TG_1!F157 + D_TI_1!F157 + D_VD_2!F157 + D_VS_1!F157 + D_VS_2!F157 + D_VS_3!F157 + D_ZH_1!F157 + D_ZH_2!F157 + D_ZH_3!F157 + D_ZH_4!F157 + D_ZH_5!F157 + D_ZH_6!F157</f>
        <v>0</v>
      </c>
      <c r="G156" s="33">
        <f xml:space="preserve"> 1*D_AG_1!G157 + 1*D_AG_2!G157 + 1*D_AG_3!G157 + 1*D_BE_1!G157 + 1*D_BE_2!G157 + 1*D_BE_3!G157 + 1*D_BS_1!G157 + 1*D_FR_1!G157 + 1*D_GE_1!G157 + 1*D_GL_1!G157 + 1*D_GR_1!G157 + 1*D_LU_1!G157 + 1*D_LU_2!G157 + 1*D_NE_1!G157 + 1*D_NE_2!G157 + D_SG_1!G157 + D_SG_2!G157 + D_SG_3!G157 + D_SO_1!G157 + D_TG_1!G157 + D_TI_1!G157 + D_VD_2!G157 + D_VS_1!G157 + D_VS_2!G157 + D_VS_3!G157 + D_ZH_1!G157 + D_ZH_2!G157 + D_ZH_3!G157 + D_ZH_4!G157 + D_ZH_5!G157 + D_ZH_6!G157</f>
        <v>0</v>
      </c>
      <c r="H156" s="33">
        <f xml:space="preserve"> 1*D_AG_1!H157 + 1*D_AG_2!H157 + 1*D_AG_3!H157 + 1*D_BE_1!H157 + 1*D_BE_2!H157 + 1*D_BE_3!H157 + 1*D_BS_1!H157 + 1*D_FR_1!H157 + 1*D_GE_1!H157 + 1*D_GL_1!H157 + 1*D_GR_1!H157 + 1*D_LU_1!H157 + 1*D_LU_2!H157 + 1*D_NE_1!H157 + 1*D_NE_2!H157 + D_SG_1!H157 + D_SG_2!H157 + D_SG_3!H157 + D_SO_1!H157 + D_TG_1!H157 + D_TI_1!H157 + D_VD_2!H157 + D_VS_1!H157 + D_VS_2!H157 + D_VS_3!H157 + D_ZH_1!H157 + D_ZH_2!H157 + D_ZH_3!H157 + D_ZH_4!H157 + D_ZH_5!H157 + D_ZH_6!H157</f>
        <v>0</v>
      </c>
      <c r="I156" s="33">
        <f xml:space="preserve"> 1*D_AG_1!I157 + 1*D_AG_2!I157 + 1*D_AG_3!I157 + 1*D_BE_1!I157 + 1*D_BE_2!I157 + 1*D_BE_3!I157 + 1*D_BS_1!I157 + 1*D_FR_1!I157 + 1*D_GE_1!I157 + 1*D_GL_1!I157 + 1*D_GR_1!I157 + 1*D_LU_1!I157 + 1*D_LU_2!I157 + 1*D_NE_1!I157 + 1*D_NE_2!I157 + D_SG_1!I157 + D_SG_2!I157 + D_SG_3!I157 + D_SO_1!I157 + D_TG_1!I157 + D_TI_1!I157 + D_VD_2!I157 + D_VS_1!I157 + D_VS_2!I157 + D_VS_3!I157 + D_ZH_1!I157 + D_ZH_2!I157 + D_ZH_3!I157 + D_ZH_4!I157 + D_ZH_5!I157 + D_ZH_6!I157</f>
        <v>0</v>
      </c>
      <c r="J156" s="33">
        <f xml:space="preserve"> 1*D_AG_1!J157 + 1*D_AG_2!J157 + 1*D_AG_3!J157 + 1*D_BE_1!J157 + 1*D_BE_2!J157 + 1*D_BE_3!J157 + 1*D_BS_1!J157 + 1*D_FR_1!J157 + 1*D_GE_1!J157 + 1*D_GL_1!J157 + 1*D_GR_1!J157 + 1*D_LU_1!J157 + 1*D_LU_2!J157 + 1*D_NE_1!J157 + 1*D_NE_2!J157 + D_SG_1!J157 + D_SG_2!J157 + D_SG_3!J157 + D_SO_1!J157 + D_TG_1!J157 + D_TI_1!J157 + D_VD_2!J157 + D_VS_1!J157 + D_VS_2!J157 + D_VS_3!J157 + D_ZH_1!J157 + D_ZH_2!J157 + D_ZH_3!J157 + D_ZH_4!J157 + D_ZH_5!J157 + D_ZH_6!J157</f>
        <v>0</v>
      </c>
      <c r="K156" s="33">
        <f xml:space="preserve"> 1*D_AG_1!K157 + 1*D_AG_2!K157 + 1*D_AG_3!K157 + 1*D_BE_1!K157 + 1*D_BE_2!K157 + 1*D_BE_3!K157 + 1*D_BS_1!K157 + 1*D_FR_1!K157 + 1*D_GE_1!K157 + 1*D_GL_1!K157 + 1*D_GR_1!K157 + 1*D_LU_1!K157 + 1*D_LU_2!K157 + 1*D_NE_1!K157 + 1*D_NE_2!K157 + D_SG_1!K157 + D_SG_2!K157 + D_SG_3!K157 + D_SO_1!K157 + D_TG_1!K157 + D_TI_1!K157 + D_VD_2!K157 + D_VS_1!K157 + D_VS_2!K157 + D_VS_3!K157 + D_ZH_1!K157 + D_ZH_2!K157 + D_ZH_3!K157 + D_ZH_4!K157 + D_ZH_5!K157 + D_ZH_6!K157</f>
        <v>0</v>
      </c>
      <c r="L156" s="33">
        <f xml:space="preserve"> 1*D_AG_1!L157 + 1*D_AG_2!L157 + 1*D_AG_3!L157 + 1*D_BE_1!L157 + 1*D_BE_2!L157 + 1*D_BE_3!L157 + 1*D_BS_1!L157 + 1*D_FR_1!L157 + 1*D_GE_1!L157 + 1*D_GL_1!L157 + 1*D_GR_1!L157 + 1*D_LU_1!L157 + 1*D_LU_2!L157 + 1*D_NE_1!L157 + 1*D_NE_2!L157 + D_SG_1!L157 + D_SG_2!L157 + D_SG_3!L157 + D_SO_1!L157 + D_TG_1!L157 + D_TI_1!L157 + D_VD_2!L157 + D_VS_1!L157 + D_VS_2!L157 + D_VS_3!L157 + D_ZH_1!L157 + D_ZH_2!L157 + D_ZH_3!L157 + D_ZH_4!L157 + D_ZH_5!L157 + D_ZH_6!L157</f>
        <v>0</v>
      </c>
      <c r="M156" s="33">
        <f xml:space="preserve"> 1*D_AG_1!M157 + 1*D_AG_2!M157 + 1*D_AG_3!M157 + 1*D_BE_1!M157 + 1*D_BE_2!M157 + 1*D_BE_3!M157 + 1*D_BS_1!M157 + 1*D_FR_1!M157 + 1*D_GE_1!M157 + 1*D_GL_1!M157 + 1*D_GR_1!M157 + 1*D_LU_1!M157 + 1*D_LU_2!M157 + 1*D_NE_1!M157 + 1*D_NE_2!M157 + D_SG_1!M157 + D_SG_2!M157 + D_SG_3!M157 + D_SO_1!M157 + D_TG_1!M157 + D_TI_1!M157 + D_VD_2!M157 + D_VS_1!M157 + D_VS_2!M157 + D_VS_3!M157 + D_ZH_1!M157 + D_ZH_2!M157 + D_ZH_3!M157 + D_ZH_4!M157 + D_ZH_5!M157 + D_ZH_6!M157</f>
        <v>0</v>
      </c>
      <c r="N156" s="33">
        <f xml:space="preserve"> 1*D_AG_1!N157 + 1*D_AG_2!N157 + 1*D_AG_3!N157 + 1*D_BE_1!N157 + 1*D_BE_2!N157 + 1*D_BE_3!N157 + 1*D_BS_1!N157 + 1*D_FR_1!N157 + 1*D_GE_1!N157 + 1*D_GL_1!N157 + 1*D_GR_1!N157 + 1*D_LU_1!N157 + 1*D_LU_2!N157 + 1*D_NE_1!N157 + 1*D_NE_2!N157 + D_SG_1!N157 + D_SG_2!N157 + D_SG_3!N157 + D_SO_1!N157 + D_TG_1!N157 + D_TI_1!N157 + D_VD_2!N157 + D_VS_1!N157 + D_VS_2!N157 + D_VS_3!N157 + D_ZH_1!N157 + D_ZH_2!N157 + D_ZH_3!N157 + D_ZH_4!N157 + D_ZH_5!N157 + D_ZH_6!N157</f>
        <v>0</v>
      </c>
      <c r="O156" s="33">
        <f xml:space="preserve"> 1*D_AG_1!O157 + 1*D_AG_2!O157 + 1*D_AG_3!O157 + 1*D_BE_1!O157 + 1*D_BE_2!O157 + 1*D_BE_3!O157 + 1*D_BS_1!O157 + 1*D_FR_1!O157 + 1*D_GE_1!O157 + 1*D_GL_1!O157 + 1*D_GR_1!O157 + 1*D_LU_1!O157 + 1*D_LU_2!O157 + 1*D_NE_1!O157 + 1*D_NE_2!O157 + D_SG_1!O157 + D_SG_2!O157 + D_SG_3!O157 + D_SO_1!O157 + D_TG_1!O157 + D_TI_1!O157 + D_VD_2!O157 + D_VS_1!O157 + D_VS_2!O157 + D_VS_3!O157 + D_ZH_1!O157 + D_ZH_2!O157 + D_ZH_3!O157 + D_ZH_4!O157 + D_ZH_5!O157 + D_ZH_6!O157</f>
        <v>0</v>
      </c>
      <c r="P156" s="33">
        <f xml:space="preserve"> 1*D_AG_1!P157 + 1*D_AG_2!P157 + 1*D_AG_3!P157 + 1*D_BE_1!P157 + 1*D_BE_2!P157 + 1*D_BE_3!P157 + 1*D_BS_1!P157 + 1*D_FR_1!P157 + 1*D_GE_1!P157 + 1*D_GL_1!P157 + 1*D_GR_1!P157 + 1*D_LU_1!P157 + 1*D_LU_2!P157 + 1*D_NE_1!P157 + 1*D_NE_2!P157 + D_SG_1!P157 + D_SG_2!P157 + D_SG_3!P157 + D_SO_1!P157 + D_TG_1!P157 + D_TI_1!P157 + D_VD_2!P157 + D_VS_1!P157 + D_VS_2!P157 + D_VS_3!P157 + D_ZH_1!P157 + D_ZH_2!P157 + D_ZH_3!P157 + D_ZH_4!P157 + D_ZH_5!P157 + D_ZH_6!P157</f>
        <v>0</v>
      </c>
      <c r="Q156" s="33">
        <f xml:space="preserve"> 1*D_AG_1!Q157 + 1*D_AG_2!Q157 + 1*D_AG_3!Q157 + 1*D_BE_1!Q157 + 1*D_BE_2!Q157 + 1*D_BE_3!Q157 + 1*D_BS_1!Q157 + 1*D_FR_1!Q157 + 1*D_GE_1!Q157 + 1*D_GL_1!Q157 + 1*D_GR_1!Q157 + 1*D_LU_1!Q157 + 1*D_LU_2!Q157 + 1*D_NE_1!Q157 + 1*D_NE_2!Q157 + D_SG_1!Q157 + D_SG_2!Q157 + D_SG_3!Q157 + D_SO_1!Q157 + D_TG_1!Q157 + D_TI_1!Q157 + D_VD_2!Q157 + D_VS_1!Q157 + D_VS_2!Q157 + D_VS_3!Q157 + D_ZH_1!Q157 + D_ZH_2!Q157 + D_ZH_3!Q157 + D_ZH_4!Q157 + D_ZH_5!Q157 + D_ZH_6!Q157</f>
        <v>0</v>
      </c>
      <c r="R156" s="33">
        <f xml:space="preserve"> 1*D_AG_1!R157 + 1*D_AG_2!R157 + 1*D_AG_3!R157 + 1*D_BE_1!R157 + 1*D_BE_2!R157 + 1*D_BE_3!R157 + 1*D_BS_1!R157 + 1*D_FR_1!R157 + 1*D_GE_1!R157 + 1*D_GL_1!R157 + 1*D_GR_1!R157 + 1*D_LU_1!R157 + 1*D_LU_2!R157 + 1*D_NE_1!R157 + 1*D_NE_2!R157 + D_SG_1!R157 + D_SG_2!R157 + D_SG_3!R157 + D_SO_1!R157 + D_TG_1!R157 + D_TI_1!R157 + D_VD_2!R157 + D_VS_1!R157 + D_VS_2!R157 + D_VS_3!R157 + D_ZH_1!R157 + D_ZH_2!R157 + D_ZH_3!R157 + D_ZH_4!R157 + D_ZH_5!R157 + D_ZH_6!R157</f>
        <v>0</v>
      </c>
      <c r="S156" s="33">
        <f xml:space="preserve"> 1*D_AG_1!S157 + 1*D_AG_2!S157 + 1*D_AG_3!S157 + 1*D_BE_1!S157 + 1*D_BE_2!S157 + 1*D_BE_3!S157 + 1*D_BS_1!S157 + 1*D_FR_1!S157 + 1*D_GE_1!S157 + 1*D_GL_1!S157 + 1*D_GR_1!S157 + 1*D_LU_1!S157 + 1*D_LU_2!S157 + 1*D_NE_1!S157 + 1*D_NE_2!S157 + D_SG_1!S157 + D_SG_2!S157 + D_SG_3!S157 + D_SO_1!S157 + D_TG_1!S157 + D_TI_1!S157 + D_VD_2!S157 + D_VS_1!S157 + D_VS_2!S157 + D_VS_3!S157 + D_ZH_1!S157 + D_ZH_2!S157 + D_ZH_3!S157 + D_ZH_4!S157 + D_ZH_5!S157 + D_ZH_6!S157</f>
        <v>0</v>
      </c>
    </row>
    <row r="157" spans="4:19" x14ac:dyDescent="0.3">
      <c r="D157" s="33">
        <f xml:space="preserve"> 1*D_AG_1!D158 + 1*D_AG_2!D158 + 1*D_AG_3!D158 + 1*D_BE_1!D158 + 1*D_BE_2!D158 + 1*D_BE_3!D158 + 1*D_BS_1!D158 + 1*D_FR_1!D158 + 1*D_GE_1!D158 + 1*D_GL_1!D158 + 1*D_GR_1!D158 + 1*D_LU_1!D158 + 1*D_LU_2!D158 + 1*D_NE_1!D158 + 1*D_NE_2!D158 + D_SG_1!D158 + D_SG_2!D158 + D_SG_3!D158 + D_SO_1!D158 + D_TG_1!D158 + D_TI_1!D158 + D_VD_2!D158 + D_VS_1!D158 + D_VS_2!D158 + D_VS_3!D158 + D_ZH_1!D158 + D_ZH_2!D158 + D_ZH_3!D158 + D_ZH_4!D158 + D_ZH_5!D158 + D_ZH_6!D158</f>
        <v>0</v>
      </c>
      <c r="E157" s="33">
        <f xml:space="preserve"> 1*D_AG_1!E158 + 1*D_AG_2!E158 + 1*D_AG_3!E158 + 1*D_BE_1!E158 + 1*D_BE_2!E158 + 1*D_BE_3!E158 + 1*D_BS_1!E158 + 1*D_FR_1!E158 + 1*D_GE_1!E158 + 1*D_GL_1!E158 + 1*D_GR_1!E158 + 1*D_LU_1!E158 + 1*D_LU_2!E158 + 1*D_NE_1!E158 + 1*D_NE_2!E158 + D_SG_1!E158 + D_SG_2!E158 + D_SG_3!E158 + D_SO_1!E158 + D_TG_1!E158 + D_TI_1!E158 + D_VD_2!E158 + D_VS_1!E158 + D_VS_2!E158 + D_VS_3!E158 + D_ZH_1!E158 + D_ZH_2!E158 + D_ZH_3!E158 + D_ZH_4!E158 + D_ZH_5!E158 + D_ZH_6!E158</f>
        <v>0</v>
      </c>
      <c r="F157" s="33">
        <f xml:space="preserve"> 1*D_AG_1!F158 + 1*D_AG_2!F158 + 1*D_AG_3!F158 + 1*D_BE_1!F158 + 1*D_BE_2!F158 + 1*D_BE_3!F158 + 1*D_BS_1!F158 + 1*D_FR_1!F158 + 1*D_GE_1!F158 + 1*D_GL_1!F158 + 1*D_GR_1!F158 + 1*D_LU_1!F158 + 1*D_LU_2!F158 + 1*D_NE_1!F158 + 1*D_NE_2!F158 + D_SG_1!F158 + D_SG_2!F158 + D_SG_3!F158 + D_SO_1!F158 + D_TG_1!F158 + D_TI_1!F158 + D_VD_2!F158 + D_VS_1!F158 + D_VS_2!F158 + D_VS_3!F158 + D_ZH_1!F158 + D_ZH_2!F158 + D_ZH_3!F158 + D_ZH_4!F158 + D_ZH_5!F158 + D_ZH_6!F158</f>
        <v>0</v>
      </c>
      <c r="G157" s="33">
        <f xml:space="preserve"> 1*D_AG_1!G158 + 1*D_AG_2!G158 + 1*D_AG_3!G158 + 1*D_BE_1!G158 + 1*D_BE_2!G158 + 1*D_BE_3!G158 + 1*D_BS_1!G158 + 1*D_FR_1!G158 + 1*D_GE_1!G158 + 1*D_GL_1!G158 + 1*D_GR_1!G158 + 1*D_LU_1!G158 + 1*D_LU_2!G158 + 1*D_NE_1!G158 + 1*D_NE_2!G158 + D_SG_1!G158 + D_SG_2!G158 + D_SG_3!G158 + D_SO_1!G158 + D_TG_1!G158 + D_TI_1!G158 + D_VD_2!G158 + D_VS_1!G158 + D_VS_2!G158 + D_VS_3!G158 + D_ZH_1!G158 + D_ZH_2!G158 + D_ZH_3!G158 + D_ZH_4!G158 + D_ZH_5!G158 + D_ZH_6!G158</f>
        <v>0</v>
      </c>
      <c r="H157" s="33">
        <f xml:space="preserve"> 1*D_AG_1!H158 + 1*D_AG_2!H158 + 1*D_AG_3!H158 + 1*D_BE_1!H158 + 1*D_BE_2!H158 + 1*D_BE_3!H158 + 1*D_BS_1!H158 + 1*D_FR_1!H158 + 1*D_GE_1!H158 + 1*D_GL_1!H158 + 1*D_GR_1!H158 + 1*D_LU_1!H158 + 1*D_LU_2!H158 + 1*D_NE_1!H158 + 1*D_NE_2!H158 + D_SG_1!H158 + D_SG_2!H158 + D_SG_3!H158 + D_SO_1!H158 + D_TG_1!H158 + D_TI_1!H158 + D_VD_2!H158 + D_VS_1!H158 + D_VS_2!H158 + D_VS_3!H158 + D_ZH_1!H158 + D_ZH_2!H158 + D_ZH_3!H158 + D_ZH_4!H158 + D_ZH_5!H158 + D_ZH_6!H158</f>
        <v>0</v>
      </c>
      <c r="I157" s="33">
        <f xml:space="preserve"> 1*D_AG_1!I158 + 1*D_AG_2!I158 + 1*D_AG_3!I158 + 1*D_BE_1!I158 + 1*D_BE_2!I158 + 1*D_BE_3!I158 + 1*D_BS_1!I158 + 1*D_FR_1!I158 + 1*D_GE_1!I158 + 1*D_GL_1!I158 + 1*D_GR_1!I158 + 1*D_LU_1!I158 + 1*D_LU_2!I158 + 1*D_NE_1!I158 + 1*D_NE_2!I158 + D_SG_1!I158 + D_SG_2!I158 + D_SG_3!I158 + D_SO_1!I158 + D_TG_1!I158 + D_TI_1!I158 + D_VD_2!I158 + D_VS_1!I158 + D_VS_2!I158 + D_VS_3!I158 + D_ZH_1!I158 + D_ZH_2!I158 + D_ZH_3!I158 + D_ZH_4!I158 + D_ZH_5!I158 + D_ZH_6!I158</f>
        <v>0</v>
      </c>
      <c r="J157" s="33">
        <f xml:space="preserve"> 1*D_AG_1!J158 + 1*D_AG_2!J158 + 1*D_AG_3!J158 + 1*D_BE_1!J158 + 1*D_BE_2!J158 + 1*D_BE_3!J158 + 1*D_BS_1!J158 + 1*D_FR_1!J158 + 1*D_GE_1!J158 + 1*D_GL_1!J158 + 1*D_GR_1!J158 + 1*D_LU_1!J158 + 1*D_LU_2!J158 + 1*D_NE_1!J158 + 1*D_NE_2!J158 + D_SG_1!J158 + D_SG_2!J158 + D_SG_3!J158 + D_SO_1!J158 + D_TG_1!J158 + D_TI_1!J158 + D_VD_2!J158 + D_VS_1!J158 + D_VS_2!J158 + D_VS_3!J158 + D_ZH_1!J158 + D_ZH_2!J158 + D_ZH_3!J158 + D_ZH_4!J158 + D_ZH_5!J158 + D_ZH_6!J158</f>
        <v>0</v>
      </c>
      <c r="K157" s="33">
        <f xml:space="preserve"> 1*D_AG_1!K158 + 1*D_AG_2!K158 + 1*D_AG_3!K158 + 1*D_BE_1!K158 + 1*D_BE_2!K158 + 1*D_BE_3!K158 + 1*D_BS_1!K158 + 1*D_FR_1!K158 + 1*D_GE_1!K158 + 1*D_GL_1!K158 + 1*D_GR_1!K158 + 1*D_LU_1!K158 + 1*D_LU_2!K158 + 1*D_NE_1!K158 + 1*D_NE_2!K158 + D_SG_1!K158 + D_SG_2!K158 + D_SG_3!K158 + D_SO_1!K158 + D_TG_1!K158 + D_TI_1!K158 + D_VD_2!K158 + D_VS_1!K158 + D_VS_2!K158 + D_VS_3!K158 + D_ZH_1!K158 + D_ZH_2!K158 + D_ZH_3!K158 + D_ZH_4!K158 + D_ZH_5!K158 + D_ZH_6!K158</f>
        <v>0</v>
      </c>
      <c r="L157" s="33">
        <f xml:space="preserve"> 1*D_AG_1!L158 + 1*D_AG_2!L158 + 1*D_AG_3!L158 + 1*D_BE_1!L158 + 1*D_BE_2!L158 + 1*D_BE_3!L158 + 1*D_BS_1!L158 + 1*D_FR_1!L158 + 1*D_GE_1!L158 + 1*D_GL_1!L158 + 1*D_GR_1!L158 + 1*D_LU_1!L158 + 1*D_LU_2!L158 + 1*D_NE_1!L158 + 1*D_NE_2!L158 + D_SG_1!L158 + D_SG_2!L158 + D_SG_3!L158 + D_SO_1!L158 + D_TG_1!L158 + D_TI_1!L158 + D_VD_2!L158 + D_VS_1!L158 + D_VS_2!L158 + D_VS_3!L158 + D_ZH_1!L158 + D_ZH_2!L158 + D_ZH_3!L158 + D_ZH_4!L158 + D_ZH_5!L158 + D_ZH_6!L158</f>
        <v>0</v>
      </c>
      <c r="M157" s="33">
        <f xml:space="preserve"> 1*D_AG_1!M158 + 1*D_AG_2!M158 + 1*D_AG_3!M158 + 1*D_BE_1!M158 + 1*D_BE_2!M158 + 1*D_BE_3!M158 + 1*D_BS_1!M158 + 1*D_FR_1!M158 + 1*D_GE_1!M158 + 1*D_GL_1!M158 + 1*D_GR_1!M158 + 1*D_LU_1!M158 + 1*D_LU_2!M158 + 1*D_NE_1!M158 + 1*D_NE_2!M158 + D_SG_1!M158 + D_SG_2!M158 + D_SG_3!M158 + D_SO_1!M158 + D_TG_1!M158 + D_TI_1!M158 + D_VD_2!M158 + D_VS_1!M158 + D_VS_2!M158 + D_VS_3!M158 + D_ZH_1!M158 + D_ZH_2!M158 + D_ZH_3!M158 + D_ZH_4!M158 + D_ZH_5!M158 + D_ZH_6!M158</f>
        <v>0</v>
      </c>
      <c r="N157" s="33">
        <f xml:space="preserve"> 1*D_AG_1!N158 + 1*D_AG_2!N158 + 1*D_AG_3!N158 + 1*D_BE_1!N158 + 1*D_BE_2!N158 + 1*D_BE_3!N158 + 1*D_BS_1!N158 + 1*D_FR_1!N158 + 1*D_GE_1!N158 + 1*D_GL_1!N158 + 1*D_GR_1!N158 + 1*D_LU_1!N158 + 1*D_LU_2!N158 + 1*D_NE_1!N158 + 1*D_NE_2!N158 + D_SG_1!N158 + D_SG_2!N158 + D_SG_3!N158 + D_SO_1!N158 + D_TG_1!N158 + D_TI_1!N158 + D_VD_2!N158 + D_VS_1!N158 + D_VS_2!N158 + D_VS_3!N158 + D_ZH_1!N158 + D_ZH_2!N158 + D_ZH_3!N158 + D_ZH_4!N158 + D_ZH_5!N158 + D_ZH_6!N158</f>
        <v>0</v>
      </c>
      <c r="O157" s="33">
        <f xml:space="preserve"> 1*D_AG_1!O158 + 1*D_AG_2!O158 + 1*D_AG_3!O158 + 1*D_BE_1!O158 + 1*D_BE_2!O158 + 1*D_BE_3!O158 + 1*D_BS_1!O158 + 1*D_FR_1!O158 + 1*D_GE_1!O158 + 1*D_GL_1!O158 + 1*D_GR_1!O158 + 1*D_LU_1!O158 + 1*D_LU_2!O158 + 1*D_NE_1!O158 + 1*D_NE_2!O158 + D_SG_1!O158 + D_SG_2!O158 + D_SG_3!O158 + D_SO_1!O158 + D_TG_1!O158 + D_TI_1!O158 + D_VD_2!O158 + D_VS_1!O158 + D_VS_2!O158 + D_VS_3!O158 + D_ZH_1!O158 + D_ZH_2!O158 + D_ZH_3!O158 + D_ZH_4!O158 + D_ZH_5!O158 + D_ZH_6!O158</f>
        <v>0</v>
      </c>
      <c r="P157" s="33">
        <f xml:space="preserve"> 1*D_AG_1!P158 + 1*D_AG_2!P158 + 1*D_AG_3!P158 + 1*D_BE_1!P158 + 1*D_BE_2!P158 + 1*D_BE_3!P158 + 1*D_BS_1!P158 + 1*D_FR_1!P158 + 1*D_GE_1!P158 + 1*D_GL_1!P158 + 1*D_GR_1!P158 + 1*D_LU_1!P158 + 1*D_LU_2!P158 + 1*D_NE_1!P158 + 1*D_NE_2!P158 + D_SG_1!P158 + D_SG_2!P158 + D_SG_3!P158 + D_SO_1!P158 + D_TG_1!P158 + D_TI_1!P158 + D_VD_2!P158 + D_VS_1!P158 + D_VS_2!P158 + D_VS_3!P158 + D_ZH_1!P158 + D_ZH_2!P158 + D_ZH_3!P158 + D_ZH_4!P158 + D_ZH_5!P158 + D_ZH_6!P158</f>
        <v>0</v>
      </c>
      <c r="Q157" s="33">
        <f xml:space="preserve"> 1*D_AG_1!Q158 + 1*D_AG_2!Q158 + 1*D_AG_3!Q158 + 1*D_BE_1!Q158 + 1*D_BE_2!Q158 + 1*D_BE_3!Q158 + 1*D_BS_1!Q158 + 1*D_FR_1!Q158 + 1*D_GE_1!Q158 + 1*D_GL_1!Q158 + 1*D_GR_1!Q158 + 1*D_LU_1!Q158 + 1*D_LU_2!Q158 + 1*D_NE_1!Q158 + 1*D_NE_2!Q158 + D_SG_1!Q158 + D_SG_2!Q158 + D_SG_3!Q158 + D_SO_1!Q158 + D_TG_1!Q158 + D_TI_1!Q158 + D_VD_2!Q158 + D_VS_1!Q158 + D_VS_2!Q158 + D_VS_3!Q158 + D_ZH_1!Q158 + D_ZH_2!Q158 + D_ZH_3!Q158 + D_ZH_4!Q158 + D_ZH_5!Q158 + D_ZH_6!Q158</f>
        <v>0</v>
      </c>
      <c r="R157" s="33">
        <f xml:space="preserve"> 1*D_AG_1!R158 + 1*D_AG_2!R158 + 1*D_AG_3!R158 + 1*D_BE_1!R158 + 1*D_BE_2!R158 + 1*D_BE_3!R158 + 1*D_BS_1!R158 + 1*D_FR_1!R158 + 1*D_GE_1!R158 + 1*D_GL_1!R158 + 1*D_GR_1!R158 + 1*D_LU_1!R158 + 1*D_LU_2!R158 + 1*D_NE_1!R158 + 1*D_NE_2!R158 + D_SG_1!R158 + D_SG_2!R158 + D_SG_3!R158 + D_SO_1!R158 + D_TG_1!R158 + D_TI_1!R158 + D_VD_2!R158 + D_VS_1!R158 + D_VS_2!R158 + D_VS_3!R158 + D_ZH_1!R158 + D_ZH_2!R158 + D_ZH_3!R158 + D_ZH_4!R158 + D_ZH_5!R158 + D_ZH_6!R158</f>
        <v>0</v>
      </c>
      <c r="S157" s="33">
        <f xml:space="preserve"> 1*D_AG_1!S158 + 1*D_AG_2!S158 + 1*D_AG_3!S158 + 1*D_BE_1!S158 + 1*D_BE_2!S158 + 1*D_BE_3!S158 + 1*D_BS_1!S158 + 1*D_FR_1!S158 + 1*D_GE_1!S158 + 1*D_GL_1!S158 + 1*D_GR_1!S158 + 1*D_LU_1!S158 + 1*D_LU_2!S158 + 1*D_NE_1!S158 + 1*D_NE_2!S158 + D_SG_1!S158 + D_SG_2!S158 + D_SG_3!S158 + D_SO_1!S158 + D_TG_1!S158 + D_TI_1!S158 + D_VD_2!S158 + D_VS_1!S158 + D_VS_2!S158 + D_VS_3!S158 + D_ZH_1!S158 + D_ZH_2!S158 + D_ZH_3!S158 + D_ZH_4!S158 + D_ZH_5!S158 + D_ZH_6!S158</f>
        <v>0</v>
      </c>
    </row>
  </sheetData>
  <dataConsolidate/>
  <mergeCells count="5">
    <mergeCell ref="C3:E3"/>
    <mergeCell ref="C4:E4"/>
    <mergeCell ref="C5:E5"/>
    <mergeCell ref="I5:P5"/>
    <mergeCell ref="C6:E6"/>
  </mergeCells>
  <conditionalFormatting sqref="D12:G16 D17:S17">
    <cfRule type="expression" dxfId="8" priority="1">
      <formula>NOT(ISBLANK(D12))</formula>
    </cfRule>
    <cfRule type="cellIs" dxfId="7" priority="2" operator="greaterThan">
      <formula>0</formula>
    </cfRule>
  </conditionalFormatting>
  <conditionalFormatting sqref="H9:S16 H19:S19 I20:S20 H21:S21 Q22:S22 H23:S25 H27:S28 H30:S38">
    <cfRule type="cellIs" dxfId="6" priority="5" operator="greaterThan">
      <formula>0</formula>
    </cfRule>
  </conditionalFormatting>
  <conditionalFormatting sqref="H10:S16">
    <cfRule type="expression" dxfId="5" priority="4">
      <formula>NOT(ISBLANK(H10))</formula>
    </cfRule>
  </conditionalFormatting>
  <conditionalFormatting sqref="H27:S28">
    <cfRule type="expression" dxfId="4" priority="3">
      <formula>NOT(ISBLANK(H27))</formula>
    </cfRule>
  </conditionalFormatting>
  <pageMargins left="0.7" right="0.7" top="0.75" bottom="0.75" header="0.3" footer="0.3"/>
  <pageSetup paperSize="9" orientation="portrait" verticalDpi="4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4F945-7CD2-4F78-9F36-41E76E1E603B}">
  <sheetPr>
    <tabColor theme="8" tint="0.39997558519241921"/>
  </sheetPr>
  <dimension ref="A1:AD108"/>
  <sheetViews>
    <sheetView topLeftCell="A82" zoomScale="85" zoomScaleNormal="85" workbookViewId="0">
      <selection activeCell="G113" sqref="G113"/>
    </sheetView>
  </sheetViews>
  <sheetFormatPr baseColWidth="10" defaultColWidth="12.21875" defaultRowHeight="13.8" x14ac:dyDescent="0.25"/>
  <cols>
    <col min="1" max="1" width="23.33203125" style="7" customWidth="1"/>
    <col min="2" max="2" width="43.5546875" style="2" customWidth="1"/>
    <col min="3" max="3" width="26.6640625" style="3" customWidth="1"/>
    <col min="4" max="29" width="9.5546875" style="3" customWidth="1"/>
    <col min="30" max="30" width="51" style="3" customWidth="1"/>
    <col min="31" max="16384" width="12.21875" style="2"/>
  </cols>
  <sheetData>
    <row r="1" spans="1:29" ht="24" customHeight="1" x14ac:dyDescent="0.3">
      <c r="A1" s="1" t="s">
        <v>0</v>
      </c>
    </row>
    <row r="2" spans="1:29" x14ac:dyDescent="0.25">
      <c r="A2" s="4"/>
      <c r="B2" s="4"/>
      <c r="C2" s="5" t="s">
        <v>1</v>
      </c>
      <c r="D2" s="6">
        <v>2010</v>
      </c>
      <c r="E2" s="6">
        <v>2011</v>
      </c>
      <c r="F2" s="6">
        <v>2012</v>
      </c>
      <c r="G2" s="6">
        <v>2013</v>
      </c>
      <c r="H2" s="6">
        <v>2014</v>
      </c>
      <c r="I2" s="6">
        <v>2015</v>
      </c>
      <c r="J2" s="6">
        <v>2016</v>
      </c>
      <c r="K2" s="6">
        <v>2017</v>
      </c>
      <c r="L2" s="6">
        <v>2018</v>
      </c>
      <c r="M2" s="6">
        <v>2019</v>
      </c>
      <c r="N2" s="6">
        <v>2020</v>
      </c>
      <c r="O2" s="6">
        <v>2021</v>
      </c>
      <c r="P2" s="6">
        <v>2022</v>
      </c>
      <c r="Q2" s="6">
        <v>2023</v>
      </c>
      <c r="R2" s="6">
        <v>2024</v>
      </c>
      <c r="S2" s="6">
        <v>2025</v>
      </c>
      <c r="T2" s="6">
        <v>2026</v>
      </c>
      <c r="U2" s="6">
        <v>2027</v>
      </c>
      <c r="V2" s="6">
        <v>2028</v>
      </c>
      <c r="W2" s="6">
        <v>2029</v>
      </c>
      <c r="X2" s="6">
        <v>2030</v>
      </c>
      <c r="Y2" s="6">
        <v>2031</v>
      </c>
      <c r="Z2" s="6">
        <v>2032</v>
      </c>
      <c r="AA2" s="6">
        <v>2033</v>
      </c>
      <c r="AB2" s="6">
        <v>2034</v>
      </c>
      <c r="AC2" s="6">
        <v>2035</v>
      </c>
    </row>
    <row r="4" spans="1:29" x14ac:dyDescent="0.25">
      <c r="A4" s="7" t="s">
        <v>2</v>
      </c>
    </row>
    <row r="5" spans="1:29" x14ac:dyDescent="0.25">
      <c r="B5" s="2" t="s">
        <v>3</v>
      </c>
      <c r="C5" s="3" t="s">
        <v>4</v>
      </c>
      <c r="D5" s="8">
        <v>0.21</v>
      </c>
      <c r="E5" s="8">
        <v>0.21</v>
      </c>
      <c r="F5" s="8">
        <v>0.21</v>
      </c>
      <c r="G5" s="8">
        <v>0.21</v>
      </c>
      <c r="H5" s="8">
        <v>0.21</v>
      </c>
      <c r="I5" s="8">
        <v>0.21</v>
      </c>
      <c r="J5" s="8">
        <v>0.21</v>
      </c>
      <c r="K5" s="8">
        <v>0.21</v>
      </c>
      <c r="L5" s="8">
        <v>0.21</v>
      </c>
      <c r="M5" s="8">
        <v>0.21</v>
      </c>
      <c r="N5" s="8">
        <v>0.21</v>
      </c>
      <c r="O5" s="8">
        <v>0.21</v>
      </c>
      <c r="P5" s="8">
        <v>0.21</v>
      </c>
      <c r="Q5" s="8">
        <v>0.21</v>
      </c>
      <c r="R5" s="8">
        <v>0.21</v>
      </c>
      <c r="S5" s="8">
        <v>0.21</v>
      </c>
      <c r="T5" s="8">
        <v>0.21</v>
      </c>
      <c r="U5" s="8">
        <v>0.21</v>
      </c>
      <c r="V5" s="8">
        <v>0.21</v>
      </c>
      <c r="W5" s="8">
        <v>0.21</v>
      </c>
      <c r="X5" s="8">
        <v>0.21</v>
      </c>
      <c r="Y5" s="8">
        <v>0.21</v>
      </c>
      <c r="Z5" s="8">
        <v>0.21</v>
      </c>
      <c r="AA5" s="8">
        <v>0.21</v>
      </c>
      <c r="AB5" s="8">
        <v>0.21</v>
      </c>
      <c r="AC5" s="8">
        <v>0.21</v>
      </c>
    </row>
    <row r="6" spans="1:29" x14ac:dyDescent="0.25">
      <c r="B6" s="2" t="s">
        <v>5</v>
      </c>
      <c r="C6" s="3" t="s">
        <v>6</v>
      </c>
      <c r="D6" s="3">
        <v>2.1000000000000001E-2</v>
      </c>
      <c r="E6" s="3">
        <v>2.1000000000000001E-2</v>
      </c>
      <c r="F6" s="3">
        <v>2.1000000000000001E-2</v>
      </c>
      <c r="G6" s="3">
        <v>2.1000000000000001E-2</v>
      </c>
      <c r="H6" s="3">
        <v>2.1000000000000001E-2</v>
      </c>
      <c r="I6" s="3">
        <v>2.1000000000000001E-2</v>
      </c>
      <c r="J6" s="3">
        <v>2.1000000000000001E-2</v>
      </c>
      <c r="K6" s="3">
        <v>2.1000000000000001E-2</v>
      </c>
      <c r="L6" s="3">
        <v>2.1000000000000001E-2</v>
      </c>
      <c r="M6" s="3">
        <v>2.1000000000000001E-2</v>
      </c>
      <c r="N6" s="3">
        <v>2.1000000000000001E-2</v>
      </c>
      <c r="O6" s="3">
        <v>2.1000000000000001E-2</v>
      </c>
      <c r="P6" s="3">
        <v>2.1000000000000001E-2</v>
      </c>
      <c r="Q6" s="3">
        <v>2.1000000000000001E-2</v>
      </c>
      <c r="R6" s="3">
        <v>2.1000000000000001E-2</v>
      </c>
      <c r="S6" s="3">
        <v>2.1000000000000001E-2</v>
      </c>
      <c r="T6" s="3">
        <v>2.1000000000000001E-2</v>
      </c>
      <c r="U6" s="3">
        <v>2.1000000000000001E-2</v>
      </c>
      <c r="V6" s="3">
        <v>2.1000000000000001E-2</v>
      </c>
      <c r="W6" s="3">
        <v>2.1000000000000001E-2</v>
      </c>
      <c r="X6" s="3">
        <v>2.1000000000000001E-2</v>
      </c>
      <c r="Y6" s="3">
        <v>2.1000000000000001E-2</v>
      </c>
      <c r="Z6" s="3">
        <v>2.1000000000000001E-2</v>
      </c>
      <c r="AA6" s="3">
        <v>2.1000000000000001E-2</v>
      </c>
      <c r="AB6" s="3">
        <v>2.1000000000000001E-2</v>
      </c>
      <c r="AC6" s="3">
        <v>2.1000000000000001E-2</v>
      </c>
    </row>
    <row r="8" spans="1:29" x14ac:dyDescent="0.25">
      <c r="A8" s="7" t="s">
        <v>7</v>
      </c>
    </row>
    <row r="9" spans="1:29" x14ac:dyDescent="0.25">
      <c r="B9" s="2" t="s">
        <v>8</v>
      </c>
      <c r="C9" s="3" t="s">
        <v>9</v>
      </c>
      <c r="D9" s="9">
        <f>(123048+150010)/(2*10^6)</f>
        <v>0.13652900000000001</v>
      </c>
      <c r="E9" s="9">
        <f t="shared" ref="E9:AC9" si="0">(123048+150010)/(2*10^6)</f>
        <v>0.13652900000000001</v>
      </c>
      <c r="F9" s="9">
        <f t="shared" si="0"/>
        <v>0.13652900000000001</v>
      </c>
      <c r="G9" s="9">
        <f t="shared" si="0"/>
        <v>0.13652900000000001</v>
      </c>
      <c r="H9" s="9">
        <f t="shared" si="0"/>
        <v>0.13652900000000001</v>
      </c>
      <c r="I9" s="9">
        <f t="shared" si="0"/>
        <v>0.13652900000000001</v>
      </c>
      <c r="J9" s="9">
        <f t="shared" si="0"/>
        <v>0.13652900000000001</v>
      </c>
      <c r="K9" s="9">
        <f t="shared" si="0"/>
        <v>0.13652900000000001</v>
      </c>
      <c r="L9" s="9">
        <f t="shared" si="0"/>
        <v>0.13652900000000001</v>
      </c>
      <c r="M9" s="9">
        <f t="shared" si="0"/>
        <v>0.13652900000000001</v>
      </c>
      <c r="N9" s="9">
        <f t="shared" si="0"/>
        <v>0.13652900000000001</v>
      </c>
      <c r="O9" s="9">
        <f t="shared" si="0"/>
        <v>0.13652900000000001</v>
      </c>
      <c r="P9" s="9">
        <f t="shared" si="0"/>
        <v>0.13652900000000001</v>
      </c>
      <c r="Q9" s="9">
        <f t="shared" si="0"/>
        <v>0.13652900000000001</v>
      </c>
      <c r="R9" s="9">
        <f t="shared" si="0"/>
        <v>0.13652900000000001</v>
      </c>
      <c r="S9" s="9">
        <f t="shared" si="0"/>
        <v>0.13652900000000001</v>
      </c>
      <c r="T9" s="9">
        <f t="shared" si="0"/>
        <v>0.13652900000000001</v>
      </c>
      <c r="U9" s="9">
        <f t="shared" si="0"/>
        <v>0.13652900000000001</v>
      </c>
      <c r="V9" s="9">
        <f t="shared" si="0"/>
        <v>0.13652900000000001</v>
      </c>
      <c r="W9" s="9">
        <f t="shared" si="0"/>
        <v>0.13652900000000001</v>
      </c>
      <c r="X9" s="9">
        <f t="shared" si="0"/>
        <v>0.13652900000000001</v>
      </c>
      <c r="Y9" s="9">
        <f t="shared" si="0"/>
        <v>0.13652900000000001</v>
      </c>
      <c r="Z9" s="9">
        <f t="shared" si="0"/>
        <v>0.13652900000000001</v>
      </c>
      <c r="AA9" s="9">
        <f t="shared" si="0"/>
        <v>0.13652900000000001</v>
      </c>
      <c r="AB9" s="9">
        <f t="shared" si="0"/>
        <v>0.13652900000000001</v>
      </c>
      <c r="AC9" s="9">
        <f t="shared" si="0"/>
        <v>0.13652900000000001</v>
      </c>
    </row>
    <row r="10" spans="1:29" x14ac:dyDescent="0.25">
      <c r="B10" s="2" t="s">
        <v>10</v>
      </c>
      <c r="C10" s="3" t="s">
        <v>11</v>
      </c>
      <c r="D10" s="9">
        <f>(65470+61102)/(2*10^6)</f>
        <v>6.3285999999999995E-2</v>
      </c>
      <c r="E10" s="9">
        <f t="shared" ref="E10:AC10" si="1">(65470+61102)/(2*10^6)</f>
        <v>6.3285999999999995E-2</v>
      </c>
      <c r="F10" s="9">
        <f t="shared" si="1"/>
        <v>6.3285999999999995E-2</v>
      </c>
      <c r="G10" s="9">
        <f t="shared" si="1"/>
        <v>6.3285999999999995E-2</v>
      </c>
      <c r="H10" s="9">
        <f t="shared" si="1"/>
        <v>6.3285999999999995E-2</v>
      </c>
      <c r="I10" s="9">
        <f t="shared" si="1"/>
        <v>6.3285999999999995E-2</v>
      </c>
      <c r="J10" s="9">
        <f t="shared" si="1"/>
        <v>6.3285999999999995E-2</v>
      </c>
      <c r="K10" s="9">
        <f t="shared" si="1"/>
        <v>6.3285999999999995E-2</v>
      </c>
      <c r="L10" s="9">
        <f t="shared" si="1"/>
        <v>6.3285999999999995E-2</v>
      </c>
      <c r="M10" s="9">
        <f t="shared" si="1"/>
        <v>6.3285999999999995E-2</v>
      </c>
      <c r="N10" s="9">
        <f t="shared" si="1"/>
        <v>6.3285999999999995E-2</v>
      </c>
      <c r="O10" s="9">
        <f t="shared" si="1"/>
        <v>6.3285999999999995E-2</v>
      </c>
      <c r="P10" s="9">
        <f t="shared" si="1"/>
        <v>6.3285999999999995E-2</v>
      </c>
      <c r="Q10" s="9">
        <f t="shared" si="1"/>
        <v>6.3285999999999995E-2</v>
      </c>
      <c r="R10" s="9">
        <f t="shared" si="1"/>
        <v>6.3285999999999995E-2</v>
      </c>
      <c r="S10" s="9">
        <f t="shared" si="1"/>
        <v>6.3285999999999995E-2</v>
      </c>
      <c r="T10" s="9">
        <f t="shared" si="1"/>
        <v>6.3285999999999995E-2</v>
      </c>
      <c r="U10" s="9">
        <f t="shared" si="1"/>
        <v>6.3285999999999995E-2</v>
      </c>
      <c r="V10" s="9">
        <f t="shared" si="1"/>
        <v>6.3285999999999995E-2</v>
      </c>
      <c r="W10" s="9">
        <f t="shared" si="1"/>
        <v>6.3285999999999995E-2</v>
      </c>
      <c r="X10" s="9">
        <f t="shared" si="1"/>
        <v>6.3285999999999995E-2</v>
      </c>
      <c r="Y10" s="9">
        <f t="shared" si="1"/>
        <v>6.3285999999999995E-2</v>
      </c>
      <c r="Z10" s="9">
        <f t="shared" si="1"/>
        <v>6.3285999999999995E-2</v>
      </c>
      <c r="AA10" s="9">
        <f t="shared" si="1"/>
        <v>6.3285999999999995E-2</v>
      </c>
      <c r="AB10" s="9">
        <f t="shared" si="1"/>
        <v>6.3285999999999995E-2</v>
      </c>
      <c r="AC10" s="9">
        <f t="shared" si="1"/>
        <v>6.3285999999999995E-2</v>
      </c>
    </row>
    <row r="11" spans="1:29" x14ac:dyDescent="0.25">
      <c r="B11" s="2" t="s">
        <v>12</v>
      </c>
      <c r="C11" s="3" t="s">
        <v>13</v>
      </c>
      <c r="D11" s="9">
        <f>(5731+3496)/(2*10^6)</f>
        <v>4.6135000000000004E-3</v>
      </c>
      <c r="E11" s="9">
        <f t="shared" ref="E11:AC11" si="2">(5731+3496)/(2*10^6)</f>
        <v>4.6135000000000004E-3</v>
      </c>
      <c r="F11" s="9">
        <f t="shared" si="2"/>
        <v>4.6135000000000004E-3</v>
      </c>
      <c r="G11" s="9">
        <f t="shared" si="2"/>
        <v>4.6135000000000004E-3</v>
      </c>
      <c r="H11" s="9">
        <f t="shared" si="2"/>
        <v>4.6135000000000004E-3</v>
      </c>
      <c r="I11" s="9">
        <f t="shared" si="2"/>
        <v>4.6135000000000004E-3</v>
      </c>
      <c r="J11" s="9">
        <f t="shared" si="2"/>
        <v>4.6135000000000004E-3</v>
      </c>
      <c r="K11" s="9">
        <f t="shared" si="2"/>
        <v>4.6135000000000004E-3</v>
      </c>
      <c r="L11" s="9">
        <f t="shared" si="2"/>
        <v>4.6135000000000004E-3</v>
      </c>
      <c r="M11" s="9">
        <f t="shared" si="2"/>
        <v>4.6135000000000004E-3</v>
      </c>
      <c r="N11" s="9">
        <f t="shared" si="2"/>
        <v>4.6135000000000004E-3</v>
      </c>
      <c r="O11" s="9">
        <f t="shared" si="2"/>
        <v>4.6135000000000004E-3</v>
      </c>
      <c r="P11" s="9">
        <f t="shared" si="2"/>
        <v>4.6135000000000004E-3</v>
      </c>
      <c r="Q11" s="9">
        <f t="shared" si="2"/>
        <v>4.6135000000000004E-3</v>
      </c>
      <c r="R11" s="9">
        <f t="shared" si="2"/>
        <v>4.6135000000000004E-3</v>
      </c>
      <c r="S11" s="9">
        <f t="shared" si="2"/>
        <v>4.6135000000000004E-3</v>
      </c>
      <c r="T11" s="9">
        <f t="shared" si="2"/>
        <v>4.6135000000000004E-3</v>
      </c>
      <c r="U11" s="9">
        <f t="shared" si="2"/>
        <v>4.6135000000000004E-3</v>
      </c>
      <c r="V11" s="9">
        <f t="shared" si="2"/>
        <v>4.6135000000000004E-3</v>
      </c>
      <c r="W11" s="9">
        <f t="shared" si="2"/>
        <v>4.6135000000000004E-3</v>
      </c>
      <c r="X11" s="9">
        <f t="shared" si="2"/>
        <v>4.6135000000000004E-3</v>
      </c>
      <c r="Y11" s="9">
        <f t="shared" si="2"/>
        <v>4.6135000000000004E-3</v>
      </c>
      <c r="Z11" s="9">
        <f t="shared" si="2"/>
        <v>4.6135000000000004E-3</v>
      </c>
      <c r="AA11" s="9">
        <f t="shared" si="2"/>
        <v>4.6135000000000004E-3</v>
      </c>
      <c r="AB11" s="9">
        <f t="shared" si="2"/>
        <v>4.6135000000000004E-3</v>
      </c>
      <c r="AC11" s="9">
        <f t="shared" si="2"/>
        <v>4.6135000000000004E-3</v>
      </c>
    </row>
    <row r="12" spans="1:29" x14ac:dyDescent="0.25">
      <c r="B12" s="2" t="s">
        <v>14</v>
      </c>
      <c r="C12" s="3" t="s">
        <v>15</v>
      </c>
      <c r="D12" s="9">
        <f>(856+1412)/(2*10^6)</f>
        <v>1.134E-3</v>
      </c>
      <c r="E12" s="9">
        <f t="shared" ref="E12:AC12" si="3">(856+1412)/(2*10^6)</f>
        <v>1.134E-3</v>
      </c>
      <c r="F12" s="9">
        <f t="shared" si="3"/>
        <v>1.134E-3</v>
      </c>
      <c r="G12" s="9">
        <f t="shared" si="3"/>
        <v>1.134E-3</v>
      </c>
      <c r="H12" s="9">
        <f t="shared" si="3"/>
        <v>1.134E-3</v>
      </c>
      <c r="I12" s="9">
        <f t="shared" si="3"/>
        <v>1.134E-3</v>
      </c>
      <c r="J12" s="9">
        <f t="shared" si="3"/>
        <v>1.134E-3</v>
      </c>
      <c r="K12" s="9">
        <f t="shared" si="3"/>
        <v>1.134E-3</v>
      </c>
      <c r="L12" s="9">
        <f t="shared" si="3"/>
        <v>1.134E-3</v>
      </c>
      <c r="M12" s="9">
        <f t="shared" si="3"/>
        <v>1.134E-3</v>
      </c>
      <c r="N12" s="9">
        <f t="shared" si="3"/>
        <v>1.134E-3</v>
      </c>
      <c r="O12" s="9">
        <f t="shared" si="3"/>
        <v>1.134E-3</v>
      </c>
      <c r="P12" s="9">
        <f t="shared" si="3"/>
        <v>1.134E-3</v>
      </c>
      <c r="Q12" s="9">
        <f t="shared" si="3"/>
        <v>1.134E-3</v>
      </c>
      <c r="R12" s="9">
        <f t="shared" si="3"/>
        <v>1.134E-3</v>
      </c>
      <c r="S12" s="9">
        <f t="shared" si="3"/>
        <v>1.134E-3</v>
      </c>
      <c r="T12" s="9">
        <f t="shared" si="3"/>
        <v>1.134E-3</v>
      </c>
      <c r="U12" s="9">
        <f t="shared" si="3"/>
        <v>1.134E-3</v>
      </c>
      <c r="V12" s="9">
        <f t="shared" si="3"/>
        <v>1.134E-3</v>
      </c>
      <c r="W12" s="9">
        <f t="shared" si="3"/>
        <v>1.134E-3</v>
      </c>
      <c r="X12" s="9">
        <f t="shared" si="3"/>
        <v>1.134E-3</v>
      </c>
      <c r="Y12" s="9">
        <f t="shared" si="3"/>
        <v>1.134E-3</v>
      </c>
      <c r="Z12" s="9">
        <f t="shared" si="3"/>
        <v>1.134E-3</v>
      </c>
      <c r="AA12" s="9">
        <f t="shared" si="3"/>
        <v>1.134E-3</v>
      </c>
      <c r="AB12" s="9">
        <f t="shared" si="3"/>
        <v>1.134E-3</v>
      </c>
      <c r="AC12" s="9">
        <f t="shared" si="3"/>
        <v>1.134E-3</v>
      </c>
    </row>
    <row r="13" spans="1:29" x14ac:dyDescent="0.25">
      <c r="B13" s="2" t="s">
        <v>16</v>
      </c>
      <c r="C13" s="3" t="s">
        <v>17</v>
      </c>
      <c r="D13" s="9">
        <f>(3545+3179)/(2*10^6)</f>
        <v>3.362E-3</v>
      </c>
      <c r="E13" s="9">
        <f t="shared" ref="E13:AC13" si="4">(3545+3179)/(2*10^6)</f>
        <v>3.362E-3</v>
      </c>
      <c r="F13" s="9">
        <f t="shared" si="4"/>
        <v>3.362E-3</v>
      </c>
      <c r="G13" s="9">
        <f t="shared" si="4"/>
        <v>3.362E-3</v>
      </c>
      <c r="H13" s="9">
        <f t="shared" si="4"/>
        <v>3.362E-3</v>
      </c>
      <c r="I13" s="9">
        <f t="shared" si="4"/>
        <v>3.362E-3</v>
      </c>
      <c r="J13" s="9">
        <f t="shared" si="4"/>
        <v>3.362E-3</v>
      </c>
      <c r="K13" s="9">
        <f t="shared" si="4"/>
        <v>3.362E-3</v>
      </c>
      <c r="L13" s="9">
        <f t="shared" si="4"/>
        <v>3.362E-3</v>
      </c>
      <c r="M13" s="9">
        <f t="shared" si="4"/>
        <v>3.362E-3</v>
      </c>
      <c r="N13" s="9">
        <f t="shared" si="4"/>
        <v>3.362E-3</v>
      </c>
      <c r="O13" s="9">
        <f t="shared" si="4"/>
        <v>3.362E-3</v>
      </c>
      <c r="P13" s="9">
        <f t="shared" si="4"/>
        <v>3.362E-3</v>
      </c>
      <c r="Q13" s="9">
        <f t="shared" si="4"/>
        <v>3.362E-3</v>
      </c>
      <c r="R13" s="9">
        <f t="shared" si="4"/>
        <v>3.362E-3</v>
      </c>
      <c r="S13" s="9">
        <f t="shared" si="4"/>
        <v>3.362E-3</v>
      </c>
      <c r="T13" s="9">
        <f t="shared" si="4"/>
        <v>3.362E-3</v>
      </c>
      <c r="U13" s="9">
        <f t="shared" si="4"/>
        <v>3.362E-3</v>
      </c>
      <c r="V13" s="9">
        <f t="shared" si="4"/>
        <v>3.362E-3</v>
      </c>
      <c r="W13" s="9">
        <f t="shared" si="4"/>
        <v>3.362E-3</v>
      </c>
      <c r="X13" s="9">
        <f t="shared" si="4"/>
        <v>3.362E-3</v>
      </c>
      <c r="Y13" s="9">
        <f t="shared" si="4"/>
        <v>3.362E-3</v>
      </c>
      <c r="Z13" s="9">
        <f t="shared" si="4"/>
        <v>3.362E-3</v>
      </c>
      <c r="AA13" s="9">
        <f t="shared" si="4"/>
        <v>3.362E-3</v>
      </c>
      <c r="AB13" s="9">
        <f t="shared" si="4"/>
        <v>3.362E-3</v>
      </c>
      <c r="AC13" s="9">
        <f t="shared" si="4"/>
        <v>3.362E-3</v>
      </c>
    </row>
    <row r="14" spans="1:29" x14ac:dyDescent="0.25">
      <c r="B14" s="2" t="s">
        <v>18</v>
      </c>
      <c r="C14" s="3" t="s">
        <v>19</v>
      </c>
      <c r="D14" s="9">
        <v>1.9999999999999999E-6</v>
      </c>
      <c r="E14" s="9">
        <v>1.9999999999999999E-6</v>
      </c>
      <c r="F14" s="9">
        <v>1.9999999999999999E-6</v>
      </c>
      <c r="G14" s="9">
        <v>1.9999999999999999E-6</v>
      </c>
      <c r="H14" s="9">
        <v>1.9999999999999999E-6</v>
      </c>
      <c r="I14" s="9">
        <v>1.9999999999999999E-6</v>
      </c>
      <c r="J14" s="9">
        <v>1.9999999999999999E-6</v>
      </c>
      <c r="K14" s="9">
        <v>1.9999999999999999E-6</v>
      </c>
      <c r="L14" s="9">
        <v>1.9999999999999999E-6</v>
      </c>
      <c r="M14" s="9">
        <v>1.9999999999999999E-6</v>
      </c>
      <c r="N14" s="9">
        <v>1.9999999999999999E-6</v>
      </c>
      <c r="O14" s="9">
        <v>1.9999999999999999E-6</v>
      </c>
      <c r="P14" s="9">
        <v>1.9999999999999999E-6</v>
      </c>
      <c r="Q14" s="9">
        <v>1.9999999999999999E-6</v>
      </c>
      <c r="R14" s="9">
        <v>1.9999999999999999E-6</v>
      </c>
      <c r="S14" s="9">
        <v>1.9999999999999999E-6</v>
      </c>
      <c r="T14" s="9">
        <v>1.9999999999999999E-6</v>
      </c>
      <c r="U14" s="9">
        <v>1.9999999999999999E-6</v>
      </c>
      <c r="V14" s="9">
        <v>1.9999999999999999E-6</v>
      </c>
      <c r="W14" s="9">
        <v>1.9999999999999999E-6</v>
      </c>
      <c r="X14" s="9">
        <v>1.9999999999999999E-6</v>
      </c>
      <c r="Y14" s="9">
        <v>1.9999999999999999E-6</v>
      </c>
      <c r="Z14" s="9">
        <v>1.9999999999999999E-6</v>
      </c>
      <c r="AA14" s="9">
        <v>1.9999999999999999E-6</v>
      </c>
      <c r="AB14" s="9">
        <v>1.9999999999999999E-6</v>
      </c>
      <c r="AC14" s="9">
        <v>1.9999999999999999E-6</v>
      </c>
    </row>
    <row r="15" spans="1:29" x14ac:dyDescent="0.25">
      <c r="B15" s="2" t="s">
        <v>20</v>
      </c>
      <c r="C15" s="3" t="s">
        <v>21</v>
      </c>
      <c r="D15" s="9">
        <v>2.5000000000000001E-5</v>
      </c>
      <c r="E15" s="9">
        <v>2.5000000000000001E-5</v>
      </c>
      <c r="F15" s="9">
        <v>2.5000000000000001E-5</v>
      </c>
      <c r="G15" s="9">
        <v>2.5000000000000001E-5</v>
      </c>
      <c r="H15" s="9">
        <v>2.5000000000000001E-5</v>
      </c>
      <c r="I15" s="9">
        <v>2.5000000000000001E-5</v>
      </c>
      <c r="J15" s="9">
        <v>2.5000000000000001E-5</v>
      </c>
      <c r="K15" s="9">
        <v>2.5000000000000001E-5</v>
      </c>
      <c r="L15" s="9">
        <v>2.5000000000000001E-5</v>
      </c>
      <c r="M15" s="9">
        <v>2.5000000000000001E-5</v>
      </c>
      <c r="N15" s="9">
        <v>2.5000000000000001E-5</v>
      </c>
      <c r="O15" s="9">
        <v>2.5000000000000001E-5</v>
      </c>
      <c r="P15" s="9">
        <v>2.5000000000000001E-5</v>
      </c>
      <c r="Q15" s="9">
        <v>2.5000000000000001E-5</v>
      </c>
      <c r="R15" s="9">
        <v>2.5000000000000001E-5</v>
      </c>
      <c r="S15" s="9">
        <v>2.5000000000000001E-5</v>
      </c>
      <c r="T15" s="9">
        <v>2.5000000000000001E-5</v>
      </c>
      <c r="U15" s="9">
        <v>2.5000000000000001E-5</v>
      </c>
      <c r="V15" s="9">
        <v>2.5000000000000001E-5</v>
      </c>
      <c r="W15" s="9">
        <v>2.5000000000000001E-5</v>
      </c>
      <c r="X15" s="9">
        <v>2.5000000000000001E-5</v>
      </c>
      <c r="Y15" s="9">
        <v>2.5000000000000001E-5</v>
      </c>
      <c r="Z15" s="9">
        <v>2.5000000000000001E-5</v>
      </c>
      <c r="AA15" s="9">
        <v>2.5000000000000001E-5</v>
      </c>
      <c r="AB15" s="9">
        <v>2.5000000000000001E-5</v>
      </c>
      <c r="AC15" s="9">
        <v>2.5000000000000001E-5</v>
      </c>
    </row>
    <row r="16" spans="1:29" x14ac:dyDescent="0.25">
      <c r="B16" s="2" t="s">
        <v>22</v>
      </c>
      <c r="C16" s="3" t="s">
        <v>23</v>
      </c>
      <c r="D16" s="9">
        <v>3.0000000000000001E-3</v>
      </c>
      <c r="E16" s="9">
        <v>3.0000000000000001E-3</v>
      </c>
      <c r="F16" s="9">
        <v>3.0000000000000001E-3</v>
      </c>
      <c r="G16" s="9">
        <v>3.0000000000000001E-3</v>
      </c>
      <c r="H16" s="9">
        <v>3.0000000000000001E-3</v>
      </c>
      <c r="I16" s="9">
        <v>3.0000000000000001E-3</v>
      </c>
      <c r="J16" s="9">
        <v>3.0000000000000001E-3</v>
      </c>
      <c r="K16" s="9">
        <v>3.0000000000000001E-3</v>
      </c>
      <c r="L16" s="9">
        <v>3.0000000000000001E-3</v>
      </c>
      <c r="M16" s="9">
        <v>3.0000000000000001E-3</v>
      </c>
      <c r="N16" s="9">
        <v>3.0000000000000001E-3</v>
      </c>
      <c r="O16" s="9">
        <v>3.0000000000000001E-3</v>
      </c>
      <c r="P16" s="9">
        <v>3.0000000000000001E-3</v>
      </c>
      <c r="Q16" s="9">
        <v>3.0000000000000001E-3</v>
      </c>
      <c r="R16" s="9">
        <v>3.0000000000000001E-3</v>
      </c>
      <c r="S16" s="9">
        <v>3.0000000000000001E-3</v>
      </c>
      <c r="T16" s="9">
        <v>3.0000000000000001E-3</v>
      </c>
      <c r="U16" s="9">
        <v>3.0000000000000001E-3</v>
      </c>
      <c r="V16" s="9">
        <v>3.0000000000000001E-3</v>
      </c>
      <c r="W16" s="9">
        <v>3.0000000000000001E-3</v>
      </c>
      <c r="X16" s="9">
        <v>3.0000000000000001E-3</v>
      </c>
      <c r="Y16" s="9">
        <v>3.0000000000000001E-3</v>
      </c>
      <c r="Z16" s="9">
        <v>3.0000000000000001E-3</v>
      </c>
      <c r="AA16" s="9">
        <v>3.0000000000000001E-3</v>
      </c>
      <c r="AB16" s="9">
        <v>3.0000000000000001E-3</v>
      </c>
      <c r="AC16" s="9">
        <v>3.0000000000000001E-3</v>
      </c>
    </row>
    <row r="17" spans="1:29" x14ac:dyDescent="0.25">
      <c r="B17" s="2" t="s">
        <v>24</v>
      </c>
      <c r="C17" s="3" t="s">
        <v>25</v>
      </c>
      <c r="D17" s="9">
        <f t="shared" ref="D17:AC17" si="5">D16+D10+D11+D13</f>
        <v>7.4261500000000008E-2</v>
      </c>
      <c r="E17" s="9">
        <f t="shared" si="5"/>
        <v>7.4261500000000008E-2</v>
      </c>
      <c r="F17" s="9">
        <f t="shared" si="5"/>
        <v>7.4261500000000008E-2</v>
      </c>
      <c r="G17" s="9">
        <f t="shared" si="5"/>
        <v>7.4261500000000008E-2</v>
      </c>
      <c r="H17" s="9">
        <f t="shared" si="5"/>
        <v>7.4261500000000008E-2</v>
      </c>
      <c r="I17" s="9">
        <f t="shared" si="5"/>
        <v>7.4261500000000008E-2</v>
      </c>
      <c r="J17" s="9">
        <f t="shared" si="5"/>
        <v>7.4261500000000008E-2</v>
      </c>
      <c r="K17" s="9">
        <f t="shared" si="5"/>
        <v>7.4261500000000008E-2</v>
      </c>
      <c r="L17" s="9">
        <f t="shared" si="5"/>
        <v>7.4261500000000008E-2</v>
      </c>
      <c r="M17" s="9">
        <f t="shared" si="5"/>
        <v>7.4261500000000008E-2</v>
      </c>
      <c r="N17" s="9">
        <f t="shared" si="5"/>
        <v>7.4261500000000008E-2</v>
      </c>
      <c r="O17" s="9">
        <f t="shared" si="5"/>
        <v>7.4261500000000008E-2</v>
      </c>
      <c r="P17" s="9">
        <f t="shared" si="5"/>
        <v>7.4261500000000008E-2</v>
      </c>
      <c r="Q17" s="9">
        <f t="shared" si="5"/>
        <v>7.4261500000000008E-2</v>
      </c>
      <c r="R17" s="9">
        <f t="shared" si="5"/>
        <v>7.4261500000000008E-2</v>
      </c>
      <c r="S17" s="9">
        <f t="shared" si="5"/>
        <v>7.4261500000000008E-2</v>
      </c>
      <c r="T17" s="9">
        <f t="shared" si="5"/>
        <v>7.4261500000000008E-2</v>
      </c>
      <c r="U17" s="9">
        <f t="shared" si="5"/>
        <v>7.4261500000000008E-2</v>
      </c>
      <c r="V17" s="9">
        <f t="shared" si="5"/>
        <v>7.4261500000000008E-2</v>
      </c>
      <c r="W17" s="9">
        <f t="shared" si="5"/>
        <v>7.4261500000000008E-2</v>
      </c>
      <c r="X17" s="9">
        <f t="shared" si="5"/>
        <v>7.4261500000000008E-2</v>
      </c>
      <c r="Y17" s="9">
        <f t="shared" si="5"/>
        <v>7.4261500000000008E-2</v>
      </c>
      <c r="Z17" s="9">
        <f t="shared" si="5"/>
        <v>7.4261500000000008E-2</v>
      </c>
      <c r="AA17" s="9">
        <f t="shared" si="5"/>
        <v>7.4261500000000008E-2</v>
      </c>
      <c r="AB17" s="9">
        <f t="shared" si="5"/>
        <v>7.4261500000000008E-2</v>
      </c>
      <c r="AC17" s="9">
        <f t="shared" si="5"/>
        <v>7.4261500000000008E-2</v>
      </c>
    </row>
    <row r="18" spans="1:29" x14ac:dyDescent="0.25"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x14ac:dyDescent="0.25">
      <c r="A19" s="7" t="s">
        <v>26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x14ac:dyDescent="0.25">
      <c r="B20" s="2" t="s">
        <v>27</v>
      </c>
      <c r="C20" s="3" t="s">
        <v>28</v>
      </c>
      <c r="D20" s="9">
        <f>(((19800+18700+19800+18300)/4+(18800+20750+21600+20300)/4)/2)/10^6</f>
        <v>1.975625E-2</v>
      </c>
      <c r="E20" s="9">
        <f t="shared" ref="E20:AC20" si="6">(((19800+18700+19800+18300)/4+(18800+20750+21600+20300)/4)/2)/10^6</f>
        <v>1.975625E-2</v>
      </c>
      <c r="F20" s="9">
        <f t="shared" si="6"/>
        <v>1.975625E-2</v>
      </c>
      <c r="G20" s="9">
        <f t="shared" si="6"/>
        <v>1.975625E-2</v>
      </c>
      <c r="H20" s="9">
        <f t="shared" si="6"/>
        <v>1.975625E-2</v>
      </c>
      <c r="I20" s="9">
        <f t="shared" si="6"/>
        <v>1.975625E-2</v>
      </c>
      <c r="J20" s="9">
        <f t="shared" si="6"/>
        <v>1.975625E-2</v>
      </c>
      <c r="K20" s="9">
        <f t="shared" si="6"/>
        <v>1.975625E-2</v>
      </c>
      <c r="L20" s="9">
        <f t="shared" si="6"/>
        <v>1.975625E-2</v>
      </c>
      <c r="M20" s="9">
        <f t="shared" si="6"/>
        <v>1.975625E-2</v>
      </c>
      <c r="N20" s="9">
        <f t="shared" si="6"/>
        <v>1.975625E-2</v>
      </c>
      <c r="O20" s="9">
        <f t="shared" si="6"/>
        <v>1.975625E-2</v>
      </c>
      <c r="P20" s="9">
        <f t="shared" si="6"/>
        <v>1.975625E-2</v>
      </c>
      <c r="Q20" s="9">
        <f t="shared" si="6"/>
        <v>1.975625E-2</v>
      </c>
      <c r="R20" s="9">
        <f t="shared" si="6"/>
        <v>1.975625E-2</v>
      </c>
      <c r="S20" s="9">
        <f t="shared" si="6"/>
        <v>1.975625E-2</v>
      </c>
      <c r="T20" s="9">
        <f t="shared" si="6"/>
        <v>1.975625E-2</v>
      </c>
      <c r="U20" s="9">
        <f t="shared" si="6"/>
        <v>1.975625E-2</v>
      </c>
      <c r="V20" s="9">
        <f t="shared" si="6"/>
        <v>1.975625E-2</v>
      </c>
      <c r="W20" s="9">
        <f t="shared" si="6"/>
        <v>1.975625E-2</v>
      </c>
      <c r="X20" s="9">
        <f t="shared" si="6"/>
        <v>1.975625E-2</v>
      </c>
      <c r="Y20" s="9">
        <f t="shared" si="6"/>
        <v>1.975625E-2</v>
      </c>
      <c r="Z20" s="9">
        <f t="shared" si="6"/>
        <v>1.975625E-2</v>
      </c>
      <c r="AA20" s="9">
        <f t="shared" si="6"/>
        <v>1.975625E-2</v>
      </c>
      <c r="AB20" s="9">
        <f t="shared" si="6"/>
        <v>1.975625E-2</v>
      </c>
      <c r="AC20" s="9">
        <f t="shared" si="6"/>
        <v>1.975625E-2</v>
      </c>
    </row>
    <row r="21" spans="1:29" x14ac:dyDescent="0.25">
      <c r="B21" s="2" t="s">
        <v>29</v>
      </c>
      <c r="C21" s="3" t="s">
        <v>30</v>
      </c>
      <c r="D21" s="9">
        <f>((50200+50000+50800+51200)/4+(39100+40000+40250+44950)/4)/(2*10^6)</f>
        <v>4.5812499999999999E-2</v>
      </c>
      <c r="E21" s="9">
        <f t="shared" ref="E21:AC21" si="7">((50200+50000+50800+51200)/4+(39100+40000+40250+44950)/4)/(2*10^6)</f>
        <v>4.5812499999999999E-2</v>
      </c>
      <c r="F21" s="9">
        <f t="shared" si="7"/>
        <v>4.5812499999999999E-2</v>
      </c>
      <c r="G21" s="9">
        <f t="shared" si="7"/>
        <v>4.5812499999999999E-2</v>
      </c>
      <c r="H21" s="9">
        <f t="shared" si="7"/>
        <v>4.5812499999999999E-2</v>
      </c>
      <c r="I21" s="9">
        <f t="shared" si="7"/>
        <v>4.5812499999999999E-2</v>
      </c>
      <c r="J21" s="9">
        <f t="shared" si="7"/>
        <v>4.5812499999999999E-2</v>
      </c>
      <c r="K21" s="9">
        <f t="shared" si="7"/>
        <v>4.5812499999999999E-2</v>
      </c>
      <c r="L21" s="9">
        <f t="shared" si="7"/>
        <v>4.5812499999999999E-2</v>
      </c>
      <c r="M21" s="9">
        <f t="shared" si="7"/>
        <v>4.5812499999999999E-2</v>
      </c>
      <c r="N21" s="9">
        <f t="shared" si="7"/>
        <v>4.5812499999999999E-2</v>
      </c>
      <c r="O21" s="9">
        <f t="shared" si="7"/>
        <v>4.5812499999999999E-2</v>
      </c>
      <c r="P21" s="9">
        <f t="shared" si="7"/>
        <v>4.5812499999999999E-2</v>
      </c>
      <c r="Q21" s="9">
        <f t="shared" si="7"/>
        <v>4.5812499999999999E-2</v>
      </c>
      <c r="R21" s="9">
        <f t="shared" si="7"/>
        <v>4.5812499999999999E-2</v>
      </c>
      <c r="S21" s="9">
        <f t="shared" si="7"/>
        <v>4.5812499999999999E-2</v>
      </c>
      <c r="T21" s="9">
        <f t="shared" si="7"/>
        <v>4.5812499999999999E-2</v>
      </c>
      <c r="U21" s="9">
        <f t="shared" si="7"/>
        <v>4.5812499999999999E-2</v>
      </c>
      <c r="V21" s="9">
        <f t="shared" si="7"/>
        <v>4.5812499999999999E-2</v>
      </c>
      <c r="W21" s="9">
        <f t="shared" si="7"/>
        <v>4.5812499999999999E-2</v>
      </c>
      <c r="X21" s="9">
        <f t="shared" si="7"/>
        <v>4.5812499999999999E-2</v>
      </c>
      <c r="Y21" s="9">
        <f t="shared" si="7"/>
        <v>4.5812499999999999E-2</v>
      </c>
      <c r="Z21" s="9">
        <f t="shared" si="7"/>
        <v>4.5812499999999999E-2</v>
      </c>
      <c r="AA21" s="9">
        <f t="shared" si="7"/>
        <v>4.5812499999999999E-2</v>
      </c>
      <c r="AB21" s="9">
        <f t="shared" si="7"/>
        <v>4.5812499999999999E-2</v>
      </c>
      <c r="AC21" s="9">
        <f t="shared" si="7"/>
        <v>4.5812499999999999E-2</v>
      </c>
    </row>
    <row r="22" spans="1:29" x14ac:dyDescent="0.25">
      <c r="B22" s="2" t="s">
        <v>31</v>
      </c>
      <c r="C22" s="3" t="s">
        <v>32</v>
      </c>
      <c r="D22" s="9">
        <f>((1760+1960+1960+1860)/4+(1690+1720+1970+2835)/4)/(2*10^6)</f>
        <v>1.9693750000000002E-3</v>
      </c>
      <c r="E22" s="9">
        <f t="shared" ref="E22:AC22" si="8">((1760+1960+1960+1860)/4+(1690+1720+1970+2835)/4)/(2*10^6)</f>
        <v>1.9693750000000002E-3</v>
      </c>
      <c r="F22" s="9">
        <f t="shared" si="8"/>
        <v>1.9693750000000002E-3</v>
      </c>
      <c r="G22" s="9">
        <f t="shared" si="8"/>
        <v>1.9693750000000002E-3</v>
      </c>
      <c r="H22" s="9">
        <f t="shared" si="8"/>
        <v>1.9693750000000002E-3</v>
      </c>
      <c r="I22" s="9">
        <f t="shared" si="8"/>
        <v>1.9693750000000002E-3</v>
      </c>
      <c r="J22" s="9">
        <f t="shared" si="8"/>
        <v>1.9693750000000002E-3</v>
      </c>
      <c r="K22" s="9">
        <f t="shared" si="8"/>
        <v>1.9693750000000002E-3</v>
      </c>
      <c r="L22" s="9">
        <f t="shared" si="8"/>
        <v>1.9693750000000002E-3</v>
      </c>
      <c r="M22" s="9">
        <f t="shared" si="8"/>
        <v>1.9693750000000002E-3</v>
      </c>
      <c r="N22" s="9">
        <f t="shared" si="8"/>
        <v>1.9693750000000002E-3</v>
      </c>
      <c r="O22" s="9">
        <f t="shared" si="8"/>
        <v>1.9693750000000002E-3</v>
      </c>
      <c r="P22" s="9">
        <f t="shared" si="8"/>
        <v>1.9693750000000002E-3</v>
      </c>
      <c r="Q22" s="9">
        <f t="shared" si="8"/>
        <v>1.9693750000000002E-3</v>
      </c>
      <c r="R22" s="9">
        <f t="shared" si="8"/>
        <v>1.9693750000000002E-3</v>
      </c>
      <c r="S22" s="9">
        <f t="shared" si="8"/>
        <v>1.9693750000000002E-3</v>
      </c>
      <c r="T22" s="9">
        <f t="shared" si="8"/>
        <v>1.9693750000000002E-3</v>
      </c>
      <c r="U22" s="9">
        <f t="shared" si="8"/>
        <v>1.9693750000000002E-3</v>
      </c>
      <c r="V22" s="9">
        <f t="shared" si="8"/>
        <v>1.9693750000000002E-3</v>
      </c>
      <c r="W22" s="9">
        <f t="shared" si="8"/>
        <v>1.9693750000000002E-3</v>
      </c>
      <c r="X22" s="9">
        <f t="shared" si="8"/>
        <v>1.9693750000000002E-3</v>
      </c>
      <c r="Y22" s="9">
        <f t="shared" si="8"/>
        <v>1.9693750000000002E-3</v>
      </c>
      <c r="Z22" s="9">
        <f t="shared" si="8"/>
        <v>1.9693750000000002E-3</v>
      </c>
      <c r="AA22" s="9">
        <f t="shared" si="8"/>
        <v>1.9693750000000002E-3</v>
      </c>
      <c r="AB22" s="9">
        <f t="shared" si="8"/>
        <v>1.9693750000000002E-3</v>
      </c>
      <c r="AC22" s="9">
        <f t="shared" si="8"/>
        <v>1.9693750000000002E-3</v>
      </c>
    </row>
    <row r="23" spans="1:29" x14ac:dyDescent="0.25">
      <c r="B23" s="2" t="s">
        <v>33</v>
      </c>
      <c r="C23" s="3" t="s">
        <v>34</v>
      </c>
      <c r="D23" s="9">
        <f>((7040+9090+6870+7490)/4+(12680+13450+14800+17800)/4)/(2*10^6)</f>
        <v>1.1152499999999999E-2</v>
      </c>
      <c r="E23" s="9">
        <f t="shared" ref="E23:AC23" si="9">((7040+9090+6870+7490)/4+(12680+13450+14800+17800)/4)/(2*10^6)</f>
        <v>1.1152499999999999E-2</v>
      </c>
      <c r="F23" s="9">
        <f t="shared" si="9"/>
        <v>1.1152499999999999E-2</v>
      </c>
      <c r="G23" s="9">
        <f t="shared" si="9"/>
        <v>1.1152499999999999E-2</v>
      </c>
      <c r="H23" s="9">
        <f t="shared" si="9"/>
        <v>1.1152499999999999E-2</v>
      </c>
      <c r="I23" s="9">
        <f t="shared" si="9"/>
        <v>1.1152499999999999E-2</v>
      </c>
      <c r="J23" s="9">
        <f t="shared" si="9"/>
        <v>1.1152499999999999E-2</v>
      </c>
      <c r="K23" s="9">
        <f t="shared" si="9"/>
        <v>1.1152499999999999E-2</v>
      </c>
      <c r="L23" s="9">
        <f t="shared" si="9"/>
        <v>1.1152499999999999E-2</v>
      </c>
      <c r="M23" s="9">
        <f t="shared" si="9"/>
        <v>1.1152499999999999E-2</v>
      </c>
      <c r="N23" s="9">
        <f t="shared" si="9"/>
        <v>1.1152499999999999E-2</v>
      </c>
      <c r="O23" s="9">
        <f t="shared" si="9"/>
        <v>1.1152499999999999E-2</v>
      </c>
      <c r="P23" s="9">
        <f t="shared" si="9"/>
        <v>1.1152499999999999E-2</v>
      </c>
      <c r="Q23" s="9">
        <f t="shared" si="9"/>
        <v>1.1152499999999999E-2</v>
      </c>
      <c r="R23" s="9">
        <f t="shared" si="9"/>
        <v>1.1152499999999999E-2</v>
      </c>
      <c r="S23" s="9">
        <f t="shared" si="9"/>
        <v>1.1152499999999999E-2</v>
      </c>
      <c r="T23" s="9">
        <f t="shared" si="9"/>
        <v>1.1152499999999999E-2</v>
      </c>
      <c r="U23" s="9">
        <f t="shared" si="9"/>
        <v>1.1152499999999999E-2</v>
      </c>
      <c r="V23" s="9">
        <f t="shared" si="9"/>
        <v>1.1152499999999999E-2</v>
      </c>
      <c r="W23" s="9">
        <f t="shared" si="9"/>
        <v>1.1152499999999999E-2</v>
      </c>
      <c r="X23" s="9">
        <f t="shared" si="9"/>
        <v>1.1152499999999999E-2</v>
      </c>
      <c r="Y23" s="9">
        <f t="shared" si="9"/>
        <v>1.1152499999999999E-2</v>
      </c>
      <c r="Z23" s="9">
        <f t="shared" si="9"/>
        <v>1.1152499999999999E-2</v>
      </c>
      <c r="AA23" s="9">
        <f t="shared" si="9"/>
        <v>1.1152499999999999E-2</v>
      </c>
      <c r="AB23" s="9">
        <f t="shared" si="9"/>
        <v>1.1152499999999999E-2</v>
      </c>
      <c r="AC23" s="9">
        <f t="shared" si="9"/>
        <v>1.1152499999999999E-2</v>
      </c>
    </row>
    <row r="24" spans="1:29" x14ac:dyDescent="0.25">
      <c r="B24" s="2" t="s">
        <v>35</v>
      </c>
      <c r="C24" s="3" t="s">
        <v>36</v>
      </c>
      <c r="D24" s="9">
        <f>(20200+28200+20200+21900)/(4*10^6)</f>
        <v>2.2624999999999999E-2</v>
      </c>
      <c r="E24" s="9">
        <f t="shared" ref="E24:R24" si="10">(20200+28200+20200+21900)/(4*10^6)</f>
        <v>2.2624999999999999E-2</v>
      </c>
      <c r="F24" s="9">
        <f t="shared" si="10"/>
        <v>2.2624999999999999E-2</v>
      </c>
      <c r="G24" s="9">
        <f t="shared" si="10"/>
        <v>2.2624999999999999E-2</v>
      </c>
      <c r="H24" s="9">
        <f t="shared" si="10"/>
        <v>2.2624999999999999E-2</v>
      </c>
      <c r="I24" s="9">
        <f t="shared" si="10"/>
        <v>2.2624999999999999E-2</v>
      </c>
      <c r="J24" s="9">
        <f t="shared" si="10"/>
        <v>2.2624999999999999E-2</v>
      </c>
      <c r="K24" s="9">
        <f t="shared" si="10"/>
        <v>2.2624999999999999E-2</v>
      </c>
      <c r="L24" s="9">
        <f t="shared" si="10"/>
        <v>2.2624999999999999E-2</v>
      </c>
      <c r="M24" s="9">
        <f t="shared" si="10"/>
        <v>2.2624999999999999E-2</v>
      </c>
      <c r="N24" s="9">
        <f t="shared" si="10"/>
        <v>2.2624999999999999E-2</v>
      </c>
      <c r="O24" s="9">
        <f t="shared" si="10"/>
        <v>2.2624999999999999E-2</v>
      </c>
      <c r="P24" s="9">
        <f t="shared" si="10"/>
        <v>2.2624999999999999E-2</v>
      </c>
      <c r="Q24" s="9">
        <f t="shared" si="10"/>
        <v>2.2624999999999999E-2</v>
      </c>
      <c r="R24" s="9">
        <f t="shared" si="10"/>
        <v>2.2624999999999999E-2</v>
      </c>
      <c r="S24" s="9">
        <f>(20200+28200+20200+21900)/(4*10^6)</f>
        <v>2.2624999999999999E-2</v>
      </c>
      <c r="T24" s="9">
        <f t="shared" ref="T24:AC24" si="11">(20200+28200+20200+21900)/(4*10^6)</f>
        <v>2.2624999999999999E-2</v>
      </c>
      <c r="U24" s="9">
        <f t="shared" si="11"/>
        <v>2.2624999999999999E-2</v>
      </c>
      <c r="V24" s="9">
        <f t="shared" si="11"/>
        <v>2.2624999999999999E-2</v>
      </c>
      <c r="W24" s="9">
        <f t="shared" si="11"/>
        <v>2.2624999999999999E-2</v>
      </c>
      <c r="X24" s="9">
        <f t="shared" si="11"/>
        <v>2.2624999999999999E-2</v>
      </c>
      <c r="Y24" s="9">
        <f t="shared" si="11"/>
        <v>2.2624999999999999E-2</v>
      </c>
      <c r="Z24" s="9">
        <f t="shared" si="11"/>
        <v>2.2624999999999999E-2</v>
      </c>
      <c r="AA24" s="9">
        <f t="shared" si="11"/>
        <v>2.2624999999999999E-2</v>
      </c>
      <c r="AB24" s="9">
        <f t="shared" si="11"/>
        <v>2.2624999999999999E-2</v>
      </c>
      <c r="AC24" s="9">
        <f t="shared" si="11"/>
        <v>2.2624999999999999E-2</v>
      </c>
    </row>
    <row r="25" spans="1:29" x14ac:dyDescent="0.25">
      <c r="A25" s="10"/>
      <c r="B25" s="2" t="s">
        <v>37</v>
      </c>
      <c r="C25" s="3" t="s">
        <v>38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</row>
    <row r="26" spans="1:29" x14ac:dyDescent="0.25">
      <c r="A26" s="10"/>
      <c r="B26" s="2" t="s">
        <v>39</v>
      </c>
      <c r="C26" s="3" t="s">
        <v>40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</row>
    <row r="27" spans="1:29" x14ac:dyDescent="0.25">
      <c r="B27" s="2" t="s">
        <v>41</v>
      </c>
      <c r="C27" s="3" t="s">
        <v>42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</row>
    <row r="28" spans="1:29" x14ac:dyDescent="0.25">
      <c r="A28" s="10"/>
      <c r="B28" s="2" t="s">
        <v>43</v>
      </c>
      <c r="C28" s="3" t="s">
        <v>44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</row>
    <row r="29" spans="1:29" x14ac:dyDescent="0.25">
      <c r="A29" s="10"/>
    </row>
    <row r="30" spans="1:29" ht="14.4" x14ac:dyDescent="0.3">
      <c r="A30" s="12"/>
    </row>
    <row r="31" spans="1:29" x14ac:dyDescent="0.25">
      <c r="A31" s="10"/>
    </row>
    <row r="32" spans="1:29" x14ac:dyDescent="0.25">
      <c r="A32" s="10"/>
    </row>
    <row r="33" spans="1:29" x14ac:dyDescent="0.25">
      <c r="A33" s="10"/>
      <c r="B33" s="13"/>
      <c r="C33" s="11"/>
    </row>
    <row r="34" spans="1:29" x14ac:dyDescent="0.25">
      <c r="A34" s="4"/>
      <c r="B34" s="4"/>
      <c r="C34" s="5" t="s">
        <v>1</v>
      </c>
      <c r="D34" s="6">
        <v>2010</v>
      </c>
      <c r="E34" s="6">
        <v>2011</v>
      </c>
      <c r="F34" s="6">
        <v>2012</v>
      </c>
      <c r="G34" s="6">
        <v>2013</v>
      </c>
      <c r="H34" s="6">
        <v>2014</v>
      </c>
      <c r="I34" s="6">
        <v>2015</v>
      </c>
      <c r="J34" s="6">
        <v>2016</v>
      </c>
      <c r="K34" s="6">
        <v>2017</v>
      </c>
      <c r="L34" s="6">
        <v>2018</v>
      </c>
      <c r="M34" s="6">
        <v>2019</v>
      </c>
      <c r="N34" s="6">
        <v>2020</v>
      </c>
      <c r="O34" s="6">
        <v>2021</v>
      </c>
      <c r="P34" s="6">
        <v>2022</v>
      </c>
      <c r="Q34" s="6">
        <v>2023</v>
      </c>
      <c r="R34" s="6">
        <v>2024</v>
      </c>
      <c r="S34" s="6">
        <v>2025</v>
      </c>
      <c r="T34" s="6">
        <v>2026</v>
      </c>
      <c r="U34" s="6">
        <v>2027</v>
      </c>
      <c r="V34" s="6">
        <v>2028</v>
      </c>
      <c r="W34" s="6">
        <v>2029</v>
      </c>
      <c r="X34" s="6">
        <v>2030</v>
      </c>
      <c r="Y34" s="6">
        <v>2031</v>
      </c>
      <c r="Z34" s="6">
        <v>2032</v>
      </c>
      <c r="AA34" s="6">
        <v>2033</v>
      </c>
      <c r="AB34" s="6">
        <v>2034</v>
      </c>
      <c r="AC34" s="6">
        <v>2035</v>
      </c>
    </row>
    <row r="35" spans="1:29" ht="16.2" x14ac:dyDescent="0.35">
      <c r="A35" s="7" t="s">
        <v>45</v>
      </c>
    </row>
    <row r="36" spans="1:29" ht="16.2" x14ac:dyDescent="0.35">
      <c r="B36" s="14" t="s">
        <v>46</v>
      </c>
      <c r="C36" s="3" t="s">
        <v>47</v>
      </c>
      <c r="D36" s="3">
        <v>48</v>
      </c>
      <c r="E36" s="3">
        <v>48</v>
      </c>
      <c r="F36" s="3">
        <v>48</v>
      </c>
      <c r="G36" s="3">
        <v>48</v>
      </c>
      <c r="H36" s="3">
        <v>48</v>
      </c>
      <c r="I36" s="3">
        <v>48</v>
      </c>
      <c r="J36" s="3">
        <v>48</v>
      </c>
      <c r="K36" s="3">
        <v>48</v>
      </c>
      <c r="L36" s="3">
        <v>48</v>
      </c>
      <c r="M36" s="3">
        <v>48</v>
      </c>
      <c r="N36" s="3">
        <v>48</v>
      </c>
      <c r="O36" s="3">
        <v>48</v>
      </c>
      <c r="P36" s="3">
        <v>48</v>
      </c>
      <c r="Q36" s="3">
        <v>48</v>
      </c>
      <c r="R36" s="3">
        <v>48</v>
      </c>
      <c r="S36" s="3">
        <v>48</v>
      </c>
      <c r="T36" s="3">
        <v>48</v>
      </c>
      <c r="U36" s="3">
        <v>48</v>
      </c>
      <c r="V36" s="3">
        <v>48</v>
      </c>
      <c r="W36" s="3">
        <v>48</v>
      </c>
      <c r="X36" s="3">
        <v>48</v>
      </c>
      <c r="Y36" s="3">
        <v>48</v>
      </c>
      <c r="Z36" s="3">
        <v>48</v>
      </c>
      <c r="AA36" s="3">
        <v>48</v>
      </c>
      <c r="AB36" s="3">
        <v>48</v>
      </c>
      <c r="AC36" s="3">
        <v>48</v>
      </c>
    </row>
    <row r="37" spans="1:29" ht="16.2" x14ac:dyDescent="0.35">
      <c r="B37" s="14" t="s">
        <v>48</v>
      </c>
      <c r="C37" s="3" t="s">
        <v>49</v>
      </c>
      <c r="D37" s="8">
        <f>44/12</f>
        <v>3.6666666666666665</v>
      </c>
      <c r="E37" s="8">
        <f t="shared" ref="E37:AC37" si="12">44/12</f>
        <v>3.6666666666666665</v>
      </c>
      <c r="F37" s="8">
        <f t="shared" si="12"/>
        <v>3.6666666666666665</v>
      </c>
      <c r="G37" s="8">
        <f t="shared" si="12"/>
        <v>3.6666666666666665</v>
      </c>
      <c r="H37" s="8">
        <f t="shared" si="12"/>
        <v>3.6666666666666665</v>
      </c>
      <c r="I37" s="8">
        <f t="shared" si="12"/>
        <v>3.6666666666666665</v>
      </c>
      <c r="J37" s="8">
        <f t="shared" si="12"/>
        <v>3.6666666666666665</v>
      </c>
      <c r="K37" s="8">
        <f t="shared" si="12"/>
        <v>3.6666666666666665</v>
      </c>
      <c r="L37" s="8">
        <f t="shared" si="12"/>
        <v>3.6666666666666665</v>
      </c>
      <c r="M37" s="8">
        <f t="shared" si="12"/>
        <v>3.6666666666666665</v>
      </c>
      <c r="N37" s="8">
        <f t="shared" si="12"/>
        <v>3.6666666666666665</v>
      </c>
      <c r="O37" s="8">
        <f t="shared" si="12"/>
        <v>3.6666666666666665</v>
      </c>
      <c r="P37" s="8">
        <f t="shared" si="12"/>
        <v>3.6666666666666665</v>
      </c>
      <c r="Q37" s="8">
        <f t="shared" si="12"/>
        <v>3.6666666666666665</v>
      </c>
      <c r="R37" s="8">
        <f t="shared" si="12"/>
        <v>3.6666666666666665</v>
      </c>
      <c r="S37" s="8">
        <f t="shared" si="12"/>
        <v>3.6666666666666665</v>
      </c>
      <c r="T37" s="8">
        <f t="shared" si="12"/>
        <v>3.6666666666666665</v>
      </c>
      <c r="U37" s="8">
        <f t="shared" si="12"/>
        <v>3.6666666666666665</v>
      </c>
      <c r="V37" s="8">
        <f t="shared" si="12"/>
        <v>3.6666666666666665</v>
      </c>
      <c r="W37" s="8">
        <f t="shared" si="12"/>
        <v>3.6666666666666665</v>
      </c>
      <c r="X37" s="8">
        <f t="shared" si="12"/>
        <v>3.6666666666666665</v>
      </c>
      <c r="Y37" s="8">
        <f t="shared" si="12"/>
        <v>3.6666666666666665</v>
      </c>
      <c r="Z37" s="8">
        <f t="shared" si="12"/>
        <v>3.6666666666666665</v>
      </c>
      <c r="AA37" s="8">
        <f t="shared" si="12"/>
        <v>3.6666666666666665</v>
      </c>
      <c r="AB37" s="8">
        <f t="shared" si="12"/>
        <v>3.6666666666666665</v>
      </c>
      <c r="AC37" s="8">
        <f t="shared" si="12"/>
        <v>3.6666666666666665</v>
      </c>
    </row>
    <row r="39" spans="1:29" x14ac:dyDescent="0.25">
      <c r="A39" s="7" t="s">
        <v>50</v>
      </c>
    </row>
    <row r="40" spans="1:29" x14ac:dyDescent="0.25">
      <c r="B40" s="2" t="s">
        <v>51</v>
      </c>
      <c r="C40" s="3" t="s">
        <v>52</v>
      </c>
      <c r="D40" s="3">
        <v>0.2243</v>
      </c>
      <c r="E40" s="3">
        <v>0.2243</v>
      </c>
      <c r="F40" s="3">
        <v>0.2243</v>
      </c>
      <c r="G40" s="3">
        <v>0.2243</v>
      </c>
      <c r="H40" s="3">
        <v>0.2243</v>
      </c>
      <c r="I40" s="3">
        <v>0.2243</v>
      </c>
      <c r="J40" s="3">
        <v>0.2243</v>
      </c>
      <c r="K40" s="3">
        <v>0.2243</v>
      </c>
      <c r="L40" s="3">
        <v>0.2243</v>
      </c>
      <c r="M40" s="3">
        <v>0.2243</v>
      </c>
      <c r="N40" s="3">
        <v>0.2243</v>
      </c>
      <c r="O40" s="3">
        <v>0.2243</v>
      </c>
      <c r="P40" s="3">
        <v>0.2243</v>
      </c>
      <c r="Q40" s="3">
        <v>0.2243</v>
      </c>
      <c r="R40" s="3">
        <v>0.2243</v>
      </c>
      <c r="S40" s="3">
        <v>0.2243</v>
      </c>
      <c r="T40" s="3">
        <v>0.2243</v>
      </c>
      <c r="U40" s="3">
        <v>0.2243</v>
      </c>
      <c r="V40" s="3">
        <v>0.2243</v>
      </c>
      <c r="W40" s="3">
        <v>0.2243</v>
      </c>
      <c r="X40" s="3">
        <v>0.2243</v>
      </c>
      <c r="Y40" s="3">
        <v>0.2243</v>
      </c>
      <c r="Z40" s="3">
        <v>0.2243</v>
      </c>
      <c r="AA40" s="3">
        <v>0.2243</v>
      </c>
      <c r="AB40" s="3">
        <v>0.2243</v>
      </c>
      <c r="AC40" s="3">
        <v>0.2243</v>
      </c>
    </row>
    <row r="41" spans="1:29" x14ac:dyDescent="0.25">
      <c r="B41" s="2" t="s">
        <v>53</v>
      </c>
      <c r="C41" s="3" t="s">
        <v>52</v>
      </c>
      <c r="D41" s="3">
        <v>2.9600000000000001E-2</v>
      </c>
      <c r="E41" s="3">
        <v>2.9600000000000001E-2</v>
      </c>
      <c r="F41" s="3">
        <v>2.9600000000000001E-2</v>
      </c>
      <c r="G41" s="3">
        <v>2.9600000000000001E-2</v>
      </c>
      <c r="H41" s="3">
        <v>2.9600000000000001E-2</v>
      </c>
      <c r="I41" s="3">
        <v>2.9600000000000001E-2</v>
      </c>
      <c r="J41" s="3">
        <v>2.9600000000000001E-2</v>
      </c>
      <c r="K41" s="3">
        <v>2.9600000000000001E-2</v>
      </c>
      <c r="L41" s="3">
        <v>2.9600000000000001E-2</v>
      </c>
      <c r="M41" s="3">
        <v>2.9600000000000001E-2</v>
      </c>
      <c r="N41" s="3">
        <v>2.9600000000000001E-2</v>
      </c>
      <c r="O41" s="3">
        <v>2.9600000000000001E-2</v>
      </c>
      <c r="P41" s="3">
        <v>2.9600000000000001E-2</v>
      </c>
      <c r="Q41" s="3">
        <v>2.9600000000000001E-2</v>
      </c>
      <c r="R41" s="3">
        <v>2.9600000000000001E-2</v>
      </c>
      <c r="S41" s="3">
        <v>2.9600000000000001E-2</v>
      </c>
      <c r="T41" s="3">
        <v>2.9600000000000001E-2</v>
      </c>
      <c r="U41" s="3">
        <v>2.9600000000000001E-2</v>
      </c>
      <c r="V41" s="3">
        <v>2.9600000000000001E-2</v>
      </c>
      <c r="W41" s="3">
        <v>2.9600000000000001E-2</v>
      </c>
      <c r="X41" s="3">
        <v>2.9600000000000001E-2</v>
      </c>
      <c r="Y41" s="3">
        <v>2.9600000000000001E-2</v>
      </c>
      <c r="Z41" s="3">
        <v>2.9600000000000001E-2</v>
      </c>
      <c r="AA41" s="3">
        <v>2.9600000000000001E-2</v>
      </c>
      <c r="AB41" s="3">
        <v>2.9600000000000001E-2</v>
      </c>
      <c r="AC41" s="3">
        <v>2.9600000000000001E-2</v>
      </c>
    </row>
    <row r="43" spans="1:29" x14ac:dyDescent="0.25">
      <c r="A43" s="7" t="s">
        <v>54</v>
      </c>
    </row>
    <row r="44" spans="1:29" x14ac:dyDescent="0.25">
      <c r="B44" s="2" t="s">
        <v>55</v>
      </c>
      <c r="C44" s="3" t="s">
        <v>56</v>
      </c>
      <c r="D44" s="15">
        <v>1.51</v>
      </c>
      <c r="E44" s="15">
        <v>1.51</v>
      </c>
      <c r="F44" s="15">
        <v>1.51</v>
      </c>
      <c r="G44" s="15">
        <v>1.51</v>
      </c>
      <c r="H44" s="15">
        <v>1.51</v>
      </c>
      <c r="I44" s="15">
        <v>1.51</v>
      </c>
      <c r="J44" s="15">
        <v>1.51</v>
      </c>
      <c r="K44" s="15">
        <v>1.51</v>
      </c>
      <c r="L44" s="15">
        <v>1.51</v>
      </c>
      <c r="M44" s="15">
        <v>1.51</v>
      </c>
      <c r="N44" s="15">
        <v>1.51</v>
      </c>
      <c r="O44" s="15">
        <v>1.51</v>
      </c>
      <c r="P44" s="15">
        <v>1.51</v>
      </c>
      <c r="Q44" s="15">
        <v>1.51</v>
      </c>
      <c r="R44" s="15">
        <v>1.51</v>
      </c>
      <c r="S44" s="15">
        <v>1.51</v>
      </c>
      <c r="T44" s="15">
        <v>1.51</v>
      </c>
      <c r="U44" s="15">
        <v>1.51</v>
      </c>
      <c r="V44" s="15">
        <v>1.51</v>
      </c>
      <c r="W44" s="15">
        <v>1.51</v>
      </c>
      <c r="X44" s="15">
        <v>1.51</v>
      </c>
      <c r="Y44" s="15">
        <v>1.51</v>
      </c>
      <c r="Z44" s="15">
        <v>1.51</v>
      </c>
      <c r="AA44" s="15">
        <v>1.51</v>
      </c>
      <c r="AB44" s="15">
        <v>1.51</v>
      </c>
      <c r="AC44" s="15">
        <v>1.51</v>
      </c>
    </row>
    <row r="45" spans="1:29" x14ac:dyDescent="0.25">
      <c r="B45" s="2" t="s">
        <v>57</v>
      </c>
      <c r="C45" s="3" t="s">
        <v>58</v>
      </c>
      <c r="D45" s="15">
        <v>8.69</v>
      </c>
      <c r="E45" s="15">
        <v>8.69</v>
      </c>
      <c r="F45" s="15">
        <v>8.69</v>
      </c>
      <c r="G45" s="15">
        <v>8.69</v>
      </c>
      <c r="H45" s="15">
        <v>8.69</v>
      </c>
      <c r="I45" s="15">
        <v>8.69</v>
      </c>
      <c r="J45" s="15">
        <v>8.69</v>
      </c>
      <c r="K45" s="15">
        <v>8.69</v>
      </c>
      <c r="L45" s="15">
        <v>8.69</v>
      </c>
      <c r="M45" s="15">
        <v>8.69</v>
      </c>
      <c r="N45" s="15">
        <v>8.69</v>
      </c>
      <c r="O45" s="15">
        <v>8.69</v>
      </c>
      <c r="P45" s="15">
        <v>8.69</v>
      </c>
      <c r="Q45" s="15">
        <v>8.69</v>
      </c>
      <c r="R45" s="15">
        <v>8.69</v>
      </c>
      <c r="S45" s="15">
        <v>8.69</v>
      </c>
      <c r="T45" s="15">
        <v>8.69</v>
      </c>
      <c r="U45" s="15">
        <v>8.69</v>
      </c>
      <c r="V45" s="15">
        <v>8.69</v>
      </c>
      <c r="W45" s="15">
        <v>8.69</v>
      </c>
      <c r="X45" s="15">
        <v>8.69</v>
      </c>
      <c r="Y45" s="15">
        <v>8.69</v>
      </c>
      <c r="Z45" s="15">
        <v>8.69</v>
      </c>
      <c r="AA45" s="15">
        <v>8.69</v>
      </c>
      <c r="AB45" s="15">
        <v>8.69</v>
      </c>
      <c r="AC45" s="15">
        <v>8.69</v>
      </c>
    </row>
    <row r="46" spans="1:29" x14ac:dyDescent="0.25">
      <c r="B46" s="2" t="s">
        <v>59</v>
      </c>
      <c r="C46" s="3" t="s">
        <v>60</v>
      </c>
      <c r="D46" s="15">
        <v>1.35</v>
      </c>
      <c r="E46" s="15">
        <v>1.35</v>
      </c>
      <c r="F46" s="15">
        <v>1.35</v>
      </c>
      <c r="G46" s="15">
        <v>1.35</v>
      </c>
      <c r="H46" s="15">
        <v>1.35</v>
      </c>
      <c r="I46" s="15">
        <v>1.35</v>
      </c>
      <c r="J46" s="15">
        <v>1.35</v>
      </c>
      <c r="K46" s="15">
        <v>1.35</v>
      </c>
      <c r="L46" s="15">
        <v>1.35</v>
      </c>
      <c r="M46" s="15">
        <v>1.35</v>
      </c>
      <c r="N46" s="15">
        <v>1.35</v>
      </c>
      <c r="O46" s="15">
        <v>1.35</v>
      </c>
      <c r="P46" s="15">
        <v>1.35</v>
      </c>
      <c r="Q46" s="15">
        <v>1.35</v>
      </c>
      <c r="R46" s="15">
        <v>1.35</v>
      </c>
      <c r="S46" s="15">
        <v>1.35</v>
      </c>
      <c r="T46" s="15">
        <v>1.35</v>
      </c>
      <c r="U46" s="15">
        <v>1.35</v>
      </c>
      <c r="V46" s="15">
        <v>1.35</v>
      </c>
      <c r="W46" s="15">
        <v>1.35</v>
      </c>
      <c r="X46" s="15">
        <v>1.35</v>
      </c>
      <c r="Y46" s="15">
        <v>1.35</v>
      </c>
      <c r="Z46" s="15">
        <v>1.35</v>
      </c>
      <c r="AA46" s="15">
        <v>1.35</v>
      </c>
      <c r="AB46" s="15">
        <v>1.35</v>
      </c>
      <c r="AC46" s="15">
        <v>1.35</v>
      </c>
    </row>
    <row r="47" spans="1:29" x14ac:dyDescent="0.25">
      <c r="B47" s="2" t="s">
        <v>61</v>
      </c>
      <c r="C47" s="3" t="s">
        <v>62</v>
      </c>
      <c r="D47" s="15">
        <v>1.39</v>
      </c>
      <c r="E47" s="15">
        <v>1.39</v>
      </c>
      <c r="F47" s="15">
        <v>1.39</v>
      </c>
      <c r="G47" s="15">
        <v>1.39</v>
      </c>
      <c r="H47" s="15">
        <v>1.39</v>
      </c>
      <c r="I47" s="15">
        <v>1.39</v>
      </c>
      <c r="J47" s="15">
        <v>1.39</v>
      </c>
      <c r="K47" s="15">
        <v>1.39</v>
      </c>
      <c r="L47" s="15">
        <v>1.39</v>
      </c>
      <c r="M47" s="15">
        <v>1.39</v>
      </c>
      <c r="N47" s="15">
        <v>1.39</v>
      </c>
      <c r="O47" s="15">
        <v>1.39</v>
      </c>
      <c r="P47" s="15">
        <v>1.39</v>
      </c>
      <c r="Q47" s="15">
        <v>1.39</v>
      </c>
      <c r="R47" s="15">
        <v>1.39</v>
      </c>
      <c r="S47" s="15">
        <v>1.39</v>
      </c>
      <c r="T47" s="15">
        <v>1.39</v>
      </c>
      <c r="U47" s="15">
        <v>1.39</v>
      </c>
      <c r="V47" s="15">
        <v>1.39</v>
      </c>
      <c r="W47" s="15">
        <v>1.39</v>
      </c>
      <c r="X47" s="15">
        <v>1.39</v>
      </c>
      <c r="Y47" s="15">
        <v>1.39</v>
      </c>
      <c r="Z47" s="15">
        <v>1.39</v>
      </c>
      <c r="AA47" s="15">
        <v>1.39</v>
      </c>
      <c r="AB47" s="15">
        <v>1.39</v>
      </c>
      <c r="AC47" s="15">
        <v>1.39</v>
      </c>
    </row>
    <row r="48" spans="1:29" x14ac:dyDescent="0.25">
      <c r="B48" s="2" t="s">
        <v>63</v>
      </c>
      <c r="C48" s="3" t="s">
        <v>64</v>
      </c>
      <c r="D48" s="15">
        <v>2.44</v>
      </c>
      <c r="E48" s="15">
        <v>2.44</v>
      </c>
      <c r="F48" s="15">
        <v>2.44</v>
      </c>
      <c r="G48" s="15">
        <v>2.44</v>
      </c>
      <c r="H48" s="15">
        <v>2.44</v>
      </c>
      <c r="I48" s="15">
        <v>2.44</v>
      </c>
      <c r="J48" s="15">
        <v>2.44</v>
      </c>
      <c r="K48" s="15">
        <v>2.44</v>
      </c>
      <c r="L48" s="15">
        <v>2.44</v>
      </c>
      <c r="M48" s="15">
        <v>2.44</v>
      </c>
      <c r="N48" s="15">
        <v>2.44</v>
      </c>
      <c r="O48" s="15">
        <v>2.44</v>
      </c>
      <c r="P48" s="15">
        <v>2.44</v>
      </c>
      <c r="Q48" s="15">
        <v>2.44</v>
      </c>
      <c r="R48" s="15">
        <v>2.44</v>
      </c>
      <c r="S48" s="15">
        <v>2.44</v>
      </c>
      <c r="T48" s="15">
        <v>2.44</v>
      </c>
      <c r="U48" s="15">
        <v>2.44</v>
      </c>
      <c r="V48" s="15">
        <v>2.44</v>
      </c>
      <c r="W48" s="15">
        <v>2.44</v>
      </c>
      <c r="X48" s="15">
        <v>2.44</v>
      </c>
      <c r="Y48" s="15">
        <v>2.44</v>
      </c>
      <c r="Z48" s="15">
        <v>2.44</v>
      </c>
      <c r="AA48" s="15">
        <v>2.44</v>
      </c>
      <c r="AB48" s="15">
        <v>2.44</v>
      </c>
      <c r="AC48" s="15">
        <v>2.44</v>
      </c>
    </row>
    <row r="49" spans="1:29" x14ac:dyDescent="0.25">
      <c r="B49" s="2" t="s">
        <v>65</v>
      </c>
      <c r="C49" s="3" t="s">
        <v>66</v>
      </c>
      <c r="D49" s="16">
        <v>10813.9</v>
      </c>
      <c r="E49" s="16">
        <v>10813.9</v>
      </c>
      <c r="F49" s="16">
        <v>10813.9</v>
      </c>
      <c r="G49" s="16">
        <v>10813.9</v>
      </c>
      <c r="H49" s="16">
        <v>10813.9</v>
      </c>
      <c r="I49" s="16">
        <v>10813.9</v>
      </c>
      <c r="J49" s="16">
        <v>10813.9</v>
      </c>
      <c r="K49" s="16">
        <v>10813.9</v>
      </c>
      <c r="L49" s="16">
        <v>10813.9</v>
      </c>
      <c r="M49" s="16">
        <v>10813.9</v>
      </c>
      <c r="N49" s="16">
        <v>10813.9</v>
      </c>
      <c r="O49" s="16">
        <v>10813.9</v>
      </c>
      <c r="P49" s="16">
        <v>10813.9</v>
      </c>
      <c r="Q49" s="16">
        <v>10813.9</v>
      </c>
      <c r="R49" s="16">
        <v>10813.9</v>
      </c>
      <c r="S49" s="16">
        <v>10813.9</v>
      </c>
      <c r="T49" s="16">
        <v>10813.9</v>
      </c>
      <c r="U49" s="16">
        <v>10813.9</v>
      </c>
      <c r="V49" s="16">
        <v>10813.9</v>
      </c>
      <c r="W49" s="16">
        <v>10813.9</v>
      </c>
      <c r="X49" s="16">
        <v>10813.9</v>
      </c>
      <c r="Y49" s="16">
        <v>10813.9</v>
      </c>
      <c r="Z49" s="16">
        <v>10813.9</v>
      </c>
      <c r="AA49" s="16">
        <v>10813.9</v>
      </c>
      <c r="AB49" s="16">
        <v>10813.9</v>
      </c>
      <c r="AC49" s="16">
        <v>10813.9</v>
      </c>
    </row>
    <row r="50" spans="1:29" x14ac:dyDescent="0.25">
      <c r="B50" s="2" t="s">
        <v>67</v>
      </c>
      <c r="C50" s="3" t="s">
        <v>68</v>
      </c>
      <c r="D50" s="16">
        <v>469.4</v>
      </c>
      <c r="E50" s="16">
        <v>469.4</v>
      </c>
      <c r="F50" s="16">
        <v>469.4</v>
      </c>
      <c r="G50" s="16">
        <v>469.4</v>
      </c>
      <c r="H50" s="16">
        <v>469.4</v>
      </c>
      <c r="I50" s="16">
        <v>469.4</v>
      </c>
      <c r="J50" s="16">
        <v>469.4</v>
      </c>
      <c r="K50" s="16">
        <v>469.4</v>
      </c>
      <c r="L50" s="16">
        <v>469.4</v>
      </c>
      <c r="M50" s="16">
        <v>469.4</v>
      </c>
      <c r="N50" s="16">
        <v>469.4</v>
      </c>
      <c r="O50" s="16">
        <v>469.4</v>
      </c>
      <c r="P50" s="16">
        <v>469.4</v>
      </c>
      <c r="Q50" s="16">
        <v>469.4</v>
      </c>
      <c r="R50" s="16">
        <v>469.4</v>
      </c>
      <c r="S50" s="16">
        <v>469.4</v>
      </c>
      <c r="T50" s="16">
        <v>469.4</v>
      </c>
      <c r="U50" s="16">
        <v>469.4</v>
      </c>
      <c r="V50" s="16">
        <v>469.4</v>
      </c>
      <c r="W50" s="16">
        <v>469.4</v>
      </c>
      <c r="X50" s="16">
        <v>469.4</v>
      </c>
      <c r="Y50" s="16">
        <v>469.4</v>
      </c>
      <c r="Z50" s="16">
        <v>469.4</v>
      </c>
      <c r="AA50" s="16">
        <v>469.4</v>
      </c>
      <c r="AB50" s="16">
        <v>469.4</v>
      </c>
      <c r="AC50" s="16">
        <v>469.4</v>
      </c>
    </row>
    <row r="51" spans="1:29" x14ac:dyDescent="0.25">
      <c r="B51" s="2" t="s">
        <v>69</v>
      </c>
      <c r="C51" s="3" t="s">
        <v>70</v>
      </c>
      <c r="D51" s="15">
        <v>4.1500000000000004</v>
      </c>
      <c r="E51" s="15">
        <v>4.1500000000000004</v>
      </c>
      <c r="F51" s="15">
        <v>4.1500000000000004</v>
      </c>
      <c r="G51" s="15">
        <v>4.1500000000000004</v>
      </c>
      <c r="H51" s="15">
        <v>4.1500000000000004</v>
      </c>
      <c r="I51" s="15">
        <v>4.1500000000000004</v>
      </c>
      <c r="J51" s="15">
        <v>4.1500000000000004</v>
      </c>
      <c r="K51" s="15">
        <v>4.1500000000000004</v>
      </c>
      <c r="L51" s="15">
        <v>4.1500000000000004</v>
      </c>
      <c r="M51" s="15">
        <v>4.1500000000000004</v>
      </c>
      <c r="N51" s="15">
        <v>4.1500000000000004</v>
      </c>
      <c r="O51" s="15">
        <v>4.1500000000000004</v>
      </c>
      <c r="P51" s="15">
        <v>4.1500000000000004</v>
      </c>
      <c r="Q51" s="15">
        <v>4.1500000000000004</v>
      </c>
      <c r="R51" s="15">
        <v>4.1500000000000004</v>
      </c>
      <c r="S51" s="15">
        <v>4.1500000000000004</v>
      </c>
      <c r="T51" s="15">
        <v>4.1500000000000004</v>
      </c>
      <c r="U51" s="15">
        <v>4.1500000000000004</v>
      </c>
      <c r="V51" s="15">
        <v>4.1500000000000004</v>
      </c>
      <c r="W51" s="15">
        <v>4.1500000000000004</v>
      </c>
      <c r="X51" s="15">
        <v>4.1500000000000004</v>
      </c>
      <c r="Y51" s="15">
        <v>4.1500000000000004</v>
      </c>
      <c r="Z51" s="15">
        <v>4.1500000000000004</v>
      </c>
      <c r="AA51" s="15">
        <v>4.1500000000000004</v>
      </c>
      <c r="AB51" s="15">
        <v>4.1500000000000004</v>
      </c>
      <c r="AC51" s="15">
        <v>4.1500000000000004</v>
      </c>
    </row>
    <row r="52" spans="1:29" ht="25.5" customHeight="1" x14ac:dyDescent="0.25">
      <c r="B52" s="2" t="s">
        <v>71</v>
      </c>
      <c r="C52" s="3" t="s">
        <v>72</v>
      </c>
      <c r="D52" s="15">
        <v>5</v>
      </c>
      <c r="E52" s="15">
        <v>5</v>
      </c>
      <c r="F52" s="15">
        <v>5</v>
      </c>
      <c r="G52" s="15">
        <v>5</v>
      </c>
      <c r="H52" s="15">
        <v>5</v>
      </c>
      <c r="I52" s="15">
        <v>5</v>
      </c>
      <c r="J52" s="15">
        <v>5</v>
      </c>
      <c r="K52" s="15">
        <v>5</v>
      </c>
      <c r="L52" s="15">
        <v>5</v>
      </c>
      <c r="M52" s="15">
        <v>5</v>
      </c>
      <c r="N52" s="15">
        <v>5</v>
      </c>
      <c r="O52" s="15">
        <v>5</v>
      </c>
      <c r="P52" s="15">
        <v>5</v>
      </c>
      <c r="Q52" s="15">
        <v>5</v>
      </c>
      <c r="R52" s="15">
        <v>5</v>
      </c>
      <c r="S52" s="15">
        <v>5</v>
      </c>
      <c r="T52" s="15">
        <v>5</v>
      </c>
      <c r="U52" s="15">
        <v>5</v>
      </c>
      <c r="V52" s="15">
        <v>5</v>
      </c>
      <c r="W52" s="15">
        <v>5</v>
      </c>
      <c r="X52" s="15">
        <v>5</v>
      </c>
      <c r="Y52" s="15">
        <v>5</v>
      </c>
      <c r="Z52" s="15">
        <v>5</v>
      </c>
      <c r="AA52" s="15">
        <v>5</v>
      </c>
      <c r="AB52" s="15">
        <v>5</v>
      </c>
      <c r="AC52" s="15">
        <v>5</v>
      </c>
    </row>
    <row r="53" spans="1:29" x14ac:dyDescent="0.25">
      <c r="D53" s="15">
        <f>(6*D45+3*D51+1*D46)/10</f>
        <v>6.5939999999999994</v>
      </c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</row>
    <row r="55" spans="1:29" x14ac:dyDescent="0.25">
      <c r="A55" s="7" t="s">
        <v>73</v>
      </c>
      <c r="C55" s="17" t="s">
        <v>74</v>
      </c>
      <c r="D55" s="17"/>
      <c r="E55" s="17"/>
      <c r="F55" s="17"/>
      <c r="G55" s="17"/>
      <c r="H55" s="17"/>
      <c r="I55" s="17"/>
      <c r="J55" s="17"/>
      <c r="K55" s="17"/>
      <c r="L55" s="17" t="s">
        <v>75</v>
      </c>
    </row>
    <row r="56" spans="1:29" x14ac:dyDescent="0.25">
      <c r="B56" s="18" t="s">
        <v>76</v>
      </c>
      <c r="C56" s="3" t="s">
        <v>77</v>
      </c>
      <c r="D56" s="19">
        <v>264000</v>
      </c>
      <c r="E56" s="19">
        <v>264000</v>
      </c>
      <c r="F56" s="19">
        <v>264000</v>
      </c>
      <c r="G56" s="19">
        <v>264000</v>
      </c>
      <c r="H56" s="19">
        <v>264000</v>
      </c>
      <c r="I56" s="19">
        <v>264000</v>
      </c>
      <c r="J56" s="19">
        <v>264000</v>
      </c>
      <c r="K56" s="19">
        <v>264000</v>
      </c>
      <c r="L56" s="19">
        <v>264000</v>
      </c>
      <c r="M56" s="19">
        <v>264000</v>
      </c>
      <c r="N56" s="19">
        <v>264000</v>
      </c>
      <c r="O56" s="19">
        <v>264000</v>
      </c>
      <c r="P56" s="19">
        <v>264000</v>
      </c>
      <c r="Q56" s="19">
        <v>264000</v>
      </c>
      <c r="R56" s="19">
        <v>264000</v>
      </c>
      <c r="S56" s="19">
        <v>264000</v>
      </c>
      <c r="T56" s="19">
        <v>264000</v>
      </c>
      <c r="U56" s="19">
        <v>264000</v>
      </c>
      <c r="V56" s="19">
        <v>264000</v>
      </c>
      <c r="W56" s="19">
        <v>264000</v>
      </c>
      <c r="X56" s="19">
        <v>264000</v>
      </c>
      <c r="Y56" s="19">
        <v>264000</v>
      </c>
      <c r="Z56" s="19">
        <v>264000</v>
      </c>
      <c r="AA56" s="19">
        <v>264000</v>
      </c>
      <c r="AB56" s="19">
        <v>264000</v>
      </c>
      <c r="AC56" s="19">
        <v>264000</v>
      </c>
    </row>
    <row r="57" spans="1:29" x14ac:dyDescent="0.25">
      <c r="B57" s="18" t="s">
        <v>78</v>
      </c>
      <c r="C57" s="3" t="s">
        <v>79</v>
      </c>
      <c r="D57" s="19">
        <v>10</v>
      </c>
      <c r="E57" s="19">
        <v>10</v>
      </c>
      <c r="F57" s="19">
        <v>10</v>
      </c>
      <c r="G57" s="19">
        <v>10</v>
      </c>
      <c r="H57" s="19">
        <v>10</v>
      </c>
      <c r="I57" s="19">
        <v>10</v>
      </c>
      <c r="J57" s="19">
        <v>10</v>
      </c>
      <c r="K57" s="19">
        <v>10</v>
      </c>
      <c r="L57" s="19">
        <v>10</v>
      </c>
      <c r="M57" s="19">
        <v>10</v>
      </c>
      <c r="N57" s="19">
        <v>10</v>
      </c>
      <c r="O57" s="19">
        <v>10</v>
      </c>
      <c r="P57" s="19">
        <v>10</v>
      </c>
      <c r="Q57" s="19">
        <v>10</v>
      </c>
      <c r="R57" s="19">
        <v>10</v>
      </c>
      <c r="S57" s="19">
        <v>10</v>
      </c>
      <c r="T57" s="19">
        <v>10</v>
      </c>
      <c r="U57" s="19">
        <v>10</v>
      </c>
      <c r="V57" s="19">
        <v>10</v>
      </c>
      <c r="W57" s="19">
        <v>10</v>
      </c>
      <c r="X57" s="19">
        <v>10</v>
      </c>
      <c r="Y57" s="19">
        <v>10</v>
      </c>
      <c r="Z57" s="19">
        <v>10</v>
      </c>
      <c r="AA57" s="19">
        <v>10</v>
      </c>
      <c r="AB57" s="19">
        <v>10</v>
      </c>
      <c r="AC57" s="19">
        <v>10</v>
      </c>
    </row>
    <row r="58" spans="1:29" x14ac:dyDescent="0.25">
      <c r="B58" s="18" t="s">
        <v>80</v>
      </c>
      <c r="C58" s="20" t="s">
        <v>81</v>
      </c>
      <c r="D58" s="19">
        <f>98000/5</f>
        <v>19600</v>
      </c>
      <c r="E58" s="19">
        <f t="shared" ref="E58:AC58" si="13">98000/5</f>
        <v>19600</v>
      </c>
      <c r="F58" s="19">
        <f t="shared" si="13"/>
        <v>19600</v>
      </c>
      <c r="G58" s="19">
        <f t="shared" si="13"/>
        <v>19600</v>
      </c>
      <c r="H58" s="19">
        <f t="shared" si="13"/>
        <v>19600</v>
      </c>
      <c r="I58" s="19">
        <f t="shared" si="13"/>
        <v>19600</v>
      </c>
      <c r="J58" s="19">
        <f t="shared" si="13"/>
        <v>19600</v>
      </c>
      <c r="K58" s="19">
        <f t="shared" si="13"/>
        <v>19600</v>
      </c>
      <c r="L58" s="19">
        <f t="shared" si="13"/>
        <v>19600</v>
      </c>
      <c r="M58" s="19">
        <f t="shared" si="13"/>
        <v>19600</v>
      </c>
      <c r="N58" s="19">
        <f t="shared" si="13"/>
        <v>19600</v>
      </c>
      <c r="O58" s="19">
        <f t="shared" si="13"/>
        <v>19600</v>
      </c>
      <c r="P58" s="19">
        <f t="shared" si="13"/>
        <v>19600</v>
      </c>
      <c r="Q58" s="19">
        <f t="shared" si="13"/>
        <v>19600</v>
      </c>
      <c r="R58" s="19">
        <f t="shared" si="13"/>
        <v>19600</v>
      </c>
      <c r="S58" s="19">
        <f t="shared" si="13"/>
        <v>19600</v>
      </c>
      <c r="T58" s="19">
        <f t="shared" si="13"/>
        <v>19600</v>
      </c>
      <c r="U58" s="19">
        <f t="shared" si="13"/>
        <v>19600</v>
      </c>
      <c r="V58" s="19">
        <f t="shared" si="13"/>
        <v>19600</v>
      </c>
      <c r="W58" s="19">
        <f t="shared" si="13"/>
        <v>19600</v>
      </c>
      <c r="X58" s="19">
        <f t="shared" si="13"/>
        <v>19600</v>
      </c>
      <c r="Y58" s="19">
        <f t="shared" si="13"/>
        <v>19600</v>
      </c>
      <c r="Z58" s="19">
        <f t="shared" si="13"/>
        <v>19600</v>
      </c>
      <c r="AA58" s="19">
        <f t="shared" si="13"/>
        <v>19600</v>
      </c>
      <c r="AB58" s="19">
        <f t="shared" si="13"/>
        <v>19600</v>
      </c>
      <c r="AC58" s="19">
        <f t="shared" si="13"/>
        <v>19600</v>
      </c>
    </row>
    <row r="59" spans="1:29" x14ac:dyDescent="0.25">
      <c r="B59" s="18" t="s">
        <v>82</v>
      </c>
      <c r="C59" s="20" t="s">
        <v>83</v>
      </c>
      <c r="D59" s="21">
        <v>1000000</v>
      </c>
      <c r="E59" s="21">
        <v>1000001</v>
      </c>
      <c r="F59" s="21">
        <v>1000002</v>
      </c>
      <c r="G59" s="21">
        <v>1000003</v>
      </c>
      <c r="H59" s="21">
        <v>1000004</v>
      </c>
      <c r="I59" s="21">
        <v>1000005</v>
      </c>
      <c r="J59" s="21">
        <v>1000006</v>
      </c>
      <c r="K59" s="21">
        <v>1000007</v>
      </c>
      <c r="L59" s="21">
        <v>1000008</v>
      </c>
      <c r="M59" s="21">
        <v>1000009</v>
      </c>
      <c r="N59" s="21">
        <v>1000010</v>
      </c>
      <c r="O59" s="21">
        <v>1000011</v>
      </c>
      <c r="P59" s="21">
        <v>1000012</v>
      </c>
      <c r="Q59" s="21">
        <v>1000013</v>
      </c>
      <c r="R59" s="21">
        <v>1000014</v>
      </c>
      <c r="S59" s="21">
        <v>1000015</v>
      </c>
      <c r="T59" s="21">
        <v>1000015</v>
      </c>
      <c r="U59" s="21">
        <v>1000015</v>
      </c>
      <c r="V59" s="21">
        <v>1000015</v>
      </c>
      <c r="W59" s="21">
        <v>1000015</v>
      </c>
      <c r="X59" s="21">
        <v>1000015</v>
      </c>
      <c r="Y59" s="21">
        <v>1000015</v>
      </c>
      <c r="Z59" s="21">
        <v>1000015</v>
      </c>
      <c r="AA59" s="21">
        <v>1000015</v>
      </c>
      <c r="AB59" s="21">
        <v>1000015</v>
      </c>
      <c r="AC59" s="21">
        <v>1000015</v>
      </c>
    </row>
    <row r="88" spans="1:29" x14ac:dyDescent="0.25">
      <c r="A88" s="92" t="s">
        <v>227</v>
      </c>
      <c r="B88" s="4"/>
      <c r="C88" s="5" t="s">
        <v>1</v>
      </c>
      <c r="D88" s="6">
        <v>2010</v>
      </c>
      <c r="E88" s="6">
        <v>2011</v>
      </c>
      <c r="F88" s="6">
        <v>2012</v>
      </c>
      <c r="G88" s="6">
        <v>2013</v>
      </c>
      <c r="H88" s="6">
        <v>2014</v>
      </c>
      <c r="I88" s="6">
        <v>2015</v>
      </c>
      <c r="J88" s="6">
        <v>2016</v>
      </c>
      <c r="K88" s="6">
        <v>2017</v>
      </c>
      <c r="L88" s="6">
        <v>2018</v>
      </c>
      <c r="M88" s="6">
        <v>2019</v>
      </c>
      <c r="N88" s="6">
        <v>2020</v>
      </c>
      <c r="O88" s="6">
        <v>2021</v>
      </c>
      <c r="P88" s="6">
        <v>2022</v>
      </c>
      <c r="Q88" s="6">
        <v>2023</v>
      </c>
      <c r="R88" s="6">
        <v>2024</v>
      </c>
      <c r="S88" s="6">
        <v>2025</v>
      </c>
      <c r="T88" s="6">
        <v>2026</v>
      </c>
      <c r="U88" s="6">
        <v>2027</v>
      </c>
      <c r="V88" s="6">
        <v>2028</v>
      </c>
      <c r="W88" s="6">
        <v>2029</v>
      </c>
      <c r="X88" s="6">
        <v>2030</v>
      </c>
      <c r="Y88" s="6">
        <v>2031</v>
      </c>
      <c r="Z88" s="6">
        <v>2032</v>
      </c>
      <c r="AA88" s="6">
        <v>2033</v>
      </c>
      <c r="AB88" s="6">
        <v>2034</v>
      </c>
      <c r="AC88" s="6">
        <v>2035</v>
      </c>
    </row>
    <row r="89" spans="1:29" s="3" customFormat="1" ht="14.4" x14ac:dyDescent="0.3">
      <c r="A89" s="22"/>
      <c r="B89" s="2" t="s">
        <v>228</v>
      </c>
      <c r="D89">
        <v>1.1120000000000001</v>
      </c>
      <c r="E89">
        <v>0.878</v>
      </c>
      <c r="F89">
        <v>0.999</v>
      </c>
      <c r="G89">
        <v>1.099</v>
      </c>
      <c r="H89">
        <v>0.83199999999999996</v>
      </c>
      <c r="I89">
        <v>0.93</v>
      </c>
      <c r="J89">
        <v>0.996</v>
      </c>
      <c r="K89">
        <v>0.96699999999999997</v>
      </c>
      <c r="L89">
        <v>0.88600000000000001</v>
      </c>
      <c r="M89">
        <v>0.90900000000000003</v>
      </c>
      <c r="N89">
        <v>0.84199999999999997</v>
      </c>
      <c r="O89">
        <v>0.997</v>
      </c>
      <c r="P89">
        <v>0.80900000000000005</v>
      </c>
    </row>
    <row r="90" spans="1:29" s="3" customFormat="1" x14ac:dyDescent="0.25">
      <c r="A90" s="22"/>
      <c r="B90" s="23" t="s">
        <v>230</v>
      </c>
      <c r="D90" s="24">
        <v>0.4</v>
      </c>
      <c r="E90" s="24">
        <v>0.4</v>
      </c>
      <c r="F90" s="24">
        <v>0.4</v>
      </c>
      <c r="G90" s="24">
        <v>0.4</v>
      </c>
      <c r="H90" s="24">
        <v>0.4</v>
      </c>
      <c r="I90" s="24">
        <v>0.4</v>
      </c>
      <c r="J90" s="24">
        <v>0.4</v>
      </c>
      <c r="K90" s="24">
        <v>0.4</v>
      </c>
      <c r="L90" s="24">
        <v>0.4</v>
      </c>
      <c r="M90" s="24">
        <v>0.4</v>
      </c>
      <c r="N90" s="24">
        <v>0.4</v>
      </c>
      <c r="O90" s="24">
        <v>0.4</v>
      </c>
      <c r="P90" s="24">
        <v>0.4</v>
      </c>
    </row>
    <row r="91" spans="1:29" s="3" customFormat="1" x14ac:dyDescent="0.25">
      <c r="A91" s="22"/>
      <c r="B91" s="23"/>
      <c r="D91" s="24"/>
      <c r="E91" s="24"/>
      <c r="F91" s="24"/>
      <c r="G91" s="24"/>
      <c r="H91" s="24"/>
    </row>
    <row r="92" spans="1:29" s="3" customFormat="1" x14ac:dyDescent="0.25">
      <c r="A92" s="22"/>
      <c r="B92" s="23"/>
      <c r="D92" s="24"/>
      <c r="E92" s="24"/>
      <c r="F92" s="24"/>
      <c r="G92" s="24"/>
      <c r="H92" s="24"/>
    </row>
    <row r="93" spans="1:29" s="3" customFormat="1" x14ac:dyDescent="0.25">
      <c r="A93" s="22"/>
      <c r="B93" s="23"/>
      <c r="D93" s="24"/>
      <c r="E93" s="24"/>
      <c r="F93" s="24"/>
      <c r="G93" s="24"/>
      <c r="H93" s="24"/>
    </row>
    <row r="94" spans="1:29" s="3" customFormat="1" x14ac:dyDescent="0.25">
      <c r="A94" s="22"/>
      <c r="B94" s="23"/>
      <c r="D94" s="24"/>
      <c r="E94" s="24"/>
      <c r="F94" s="24"/>
      <c r="G94" s="24"/>
      <c r="H94" s="24"/>
    </row>
    <row r="95" spans="1:29" s="3" customFormat="1" ht="14.4" x14ac:dyDescent="0.3">
      <c r="A95" s="125" t="s">
        <v>286</v>
      </c>
      <c r="B95" s="23" t="s">
        <v>287</v>
      </c>
      <c r="D95" s="124">
        <v>99.5</v>
      </c>
      <c r="E95" s="124">
        <v>98.3</v>
      </c>
      <c r="F95" s="124">
        <v>101.1</v>
      </c>
      <c r="G95" s="124">
        <v>101.1</v>
      </c>
      <c r="H95" s="124">
        <v>103.5</v>
      </c>
      <c r="I95" s="124">
        <v>100</v>
      </c>
      <c r="J95" s="124">
        <v>101.1</v>
      </c>
      <c r="K95" s="124">
        <v>102.2</v>
      </c>
      <c r="L95" s="124">
        <v>101</v>
      </c>
      <c r="M95" s="124">
        <v>99.3</v>
      </c>
      <c r="N95" s="124">
        <v>102.6</v>
      </c>
      <c r="O95" s="124">
        <v>104.7</v>
      </c>
      <c r="P95" s="124">
        <v>96</v>
      </c>
    </row>
    <row r="96" spans="1:29" s="3" customFormat="1" x14ac:dyDescent="0.25">
      <c r="A96" s="22"/>
      <c r="B96" s="23" t="s">
        <v>288</v>
      </c>
      <c r="D96" s="24">
        <f>100*D_CH!D17/D_CH!$D$17</f>
        <v>100</v>
      </c>
      <c r="E96" s="24">
        <f>100*D_CH!E17/D_CH!$D$17</f>
        <v>98.969463237688444</v>
      </c>
      <c r="F96" s="24">
        <f>100*D_CH!F17/D_CH!$D$17</f>
        <v>102.79671343979487</v>
      </c>
      <c r="G96" s="24">
        <f>100*D_CH!G17/D_CH!$D$17</f>
        <v>101.27452934151911</v>
      </c>
      <c r="H96" s="24">
        <f>100*D_CH!H17/D_CH!$D$17</f>
        <v>101.97284556383649</v>
      </c>
      <c r="I96" s="24">
        <f>100*D_CH!I17/D_CH!$D$17</f>
        <v>102.99013745067886</v>
      </c>
      <c r="J96" s="24">
        <f>100*D_CH!J17/D_CH!$D$17</f>
        <v>105.9219547238886</v>
      </c>
      <c r="K96" s="24">
        <f>100*D_CH!K17/D_CH!$D$17</f>
        <v>105.6461267406406</v>
      </c>
      <c r="L96" s="24">
        <f>100*D_CH!L17/D_CH!$D$17</f>
        <v>106.25686086075211</v>
      </c>
      <c r="M96" s="24">
        <f>100*D_CH!M17/D_CH!$D$17</f>
        <v>106.86694912228286</v>
      </c>
      <c r="N96" s="24">
        <f>100*D_CH!N17/D_CH!$D$17</f>
        <v>107.22288226190734</v>
      </c>
      <c r="O96" s="24">
        <f>100*D_CH!O17/D_CH!$D$17</f>
        <v>108.72276693139128</v>
      </c>
      <c r="P96" s="24">
        <f>100*D_CH!P17/D_CH!$D$17</f>
        <v>104.5143357466066</v>
      </c>
    </row>
    <row r="97" spans="1:29" s="3" customFormat="1" x14ac:dyDescent="0.25">
      <c r="A97" s="22"/>
      <c r="B97" s="23"/>
      <c r="D97" s="24"/>
      <c r="E97" s="24"/>
      <c r="F97" s="24"/>
      <c r="G97" s="24"/>
      <c r="H97" s="24"/>
    </row>
    <row r="98" spans="1:29" s="3" customFormat="1" x14ac:dyDescent="0.25">
      <c r="A98" s="22"/>
      <c r="B98" s="23"/>
      <c r="D98" s="24"/>
      <c r="E98" s="24"/>
      <c r="F98" s="24"/>
      <c r="G98" s="24"/>
      <c r="H98" s="24"/>
    </row>
    <row r="100" spans="1:29" s="3" customFormat="1" x14ac:dyDescent="0.25">
      <c r="A100" s="7"/>
      <c r="B100" s="2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</row>
    <row r="101" spans="1:29" s="3" customFormat="1" x14ac:dyDescent="0.25">
      <c r="A101" s="7"/>
      <c r="B101" s="7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</row>
    <row r="102" spans="1:29" s="3" customFormat="1" ht="14.4" x14ac:dyDescent="0.3">
      <c r="A102" s="7"/>
      <c r="B102" s="14"/>
      <c r="C102" s="26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</row>
    <row r="103" spans="1:29" s="3" customFormat="1" ht="45.6" customHeight="1" x14ac:dyDescent="0.25">
      <c r="A103" s="2"/>
      <c r="B103" s="2"/>
    </row>
    <row r="104" spans="1:29" s="3" customFormat="1" ht="14.4" x14ac:dyDescent="0.3">
      <c r="A104" s="14"/>
      <c r="B104" s="2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</row>
    <row r="105" spans="1:29" s="3" customFormat="1" x14ac:dyDescent="0.25">
      <c r="A105" s="2"/>
      <c r="B105" s="2"/>
    </row>
    <row r="106" spans="1:29" s="3" customFormat="1" x14ac:dyDescent="0.25">
      <c r="A106" s="2"/>
      <c r="B106" s="2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s="3" customFormat="1" x14ac:dyDescent="0.25">
      <c r="A107" s="7"/>
      <c r="B107" s="2"/>
      <c r="E107" s="28"/>
      <c r="F107" s="28"/>
      <c r="G107" s="28"/>
      <c r="H107" s="28"/>
      <c r="I107" s="28"/>
      <c r="J107" s="28"/>
      <c r="K107" s="28"/>
      <c r="L107" s="28"/>
      <c r="M107" s="28"/>
      <c r="N107" s="28"/>
    </row>
    <row r="108" spans="1:29" s="3" customFormat="1" x14ac:dyDescent="0.25">
      <c r="A108" s="7"/>
      <c r="B108" s="2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</row>
  </sheetData>
  <conditionalFormatting sqref="D2:AC2">
    <cfRule type="expression" dxfId="3" priority="3">
      <formula>D$2 &lt;= aktuelles_Jahr</formula>
    </cfRule>
  </conditionalFormatting>
  <conditionalFormatting sqref="D3:AC33 D35:AC63">
    <cfRule type="expression" dxfId="2" priority="4">
      <formula>D$2 = aktuelles_Jahr</formula>
    </cfRule>
  </conditionalFormatting>
  <conditionalFormatting sqref="D34:AC34">
    <cfRule type="expression" dxfId="1" priority="2">
      <formula>D$2 &lt;= aktuelles_Jahr</formula>
    </cfRule>
  </conditionalFormatting>
  <conditionalFormatting sqref="D88:AC88">
    <cfRule type="expression" dxfId="0" priority="1">
      <formula>D$2 &lt;= aktuelles_Jahr</formula>
    </cfRule>
  </conditionalFormatting>
  <pageMargins left="0.7" right="0.7" top="0.78740157499999996" bottom="0.78740157499999996" header="0.3" footer="0.3"/>
  <drawing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2:Q28"/>
  <sheetViews>
    <sheetView showGridLines="0" tabSelected="1" zoomScale="80" zoomScaleNormal="80" zoomScalePageLayoutView="80" workbookViewId="0">
      <selection activeCell="C7" sqref="C7"/>
    </sheetView>
  </sheetViews>
  <sheetFormatPr baseColWidth="10" defaultColWidth="8.88671875" defaultRowHeight="14.4" x14ac:dyDescent="0.3"/>
  <cols>
    <col min="3" max="3" width="62.5546875" customWidth="1"/>
    <col min="4" max="4" width="28" customWidth="1"/>
    <col min="5" max="17" width="13.6640625" customWidth="1"/>
  </cols>
  <sheetData>
    <row r="2" spans="3:17" ht="18" x14ac:dyDescent="0.35">
      <c r="C2" s="107" t="s">
        <v>257</v>
      </c>
    </row>
    <row r="4" spans="3:17" ht="22.05" customHeight="1" x14ac:dyDescent="0.3">
      <c r="C4" s="113" t="s">
        <v>271</v>
      </c>
      <c r="D4" s="113" t="s">
        <v>1</v>
      </c>
      <c r="E4" s="114" t="s">
        <v>258</v>
      </c>
      <c r="F4" s="114" t="s">
        <v>259</v>
      </c>
      <c r="G4" s="114" t="s">
        <v>260</v>
      </c>
      <c r="H4" s="114" t="s">
        <v>261</v>
      </c>
      <c r="I4" s="114" t="s">
        <v>262</v>
      </c>
      <c r="J4" s="114" t="s">
        <v>263</v>
      </c>
      <c r="K4" s="114" t="s">
        <v>264</v>
      </c>
      <c r="L4" s="114" t="s">
        <v>265</v>
      </c>
      <c r="M4" s="114" t="s">
        <v>266</v>
      </c>
      <c r="N4" s="114" t="s">
        <v>267</v>
      </c>
      <c r="O4" s="114" t="s">
        <v>268</v>
      </c>
      <c r="P4" s="114" t="s">
        <v>269</v>
      </c>
      <c r="Q4" s="114" t="s">
        <v>270</v>
      </c>
    </row>
    <row r="5" spans="3:17" ht="22.05" customHeight="1" x14ac:dyDescent="0.3">
      <c r="C5" s="115" t="s">
        <v>231</v>
      </c>
      <c r="D5" s="115" t="s">
        <v>232</v>
      </c>
      <c r="E5" s="116">
        <f>D_CH!D19</f>
        <v>11.694022170225731</v>
      </c>
      <c r="F5" s="116">
        <f>D_CH!E19</f>
        <v>11.751161221548463</v>
      </c>
      <c r="G5" s="116">
        <f>D_CH!F19</f>
        <v>11.591369336769869</v>
      </c>
      <c r="H5" s="116">
        <f>D_CH!G19</f>
        <v>11.468021545280111</v>
      </c>
      <c r="I5" s="116">
        <f>D_CH!H19</f>
        <v>11.601029084145608</v>
      </c>
      <c r="J5" s="116">
        <f>D_CH!I19</f>
        <v>11.75897928370669</v>
      </c>
      <c r="K5" s="116">
        <f>D_CH!J19</f>
        <v>11.83093751480671</v>
      </c>
      <c r="L5" s="116">
        <f>D_CH!K19</f>
        <v>11.885093496124686</v>
      </c>
      <c r="M5" s="116">
        <f>D_CH!L19</f>
        <v>11.897166587697951</v>
      </c>
      <c r="N5" s="116">
        <f>D_CH!M19</f>
        <v>11.924741972657865</v>
      </c>
      <c r="O5" s="116">
        <f>D_CH!N19</f>
        <v>11.917956209089006</v>
      </c>
      <c r="P5" s="116">
        <f>D_CH!O19</f>
        <v>11.816138333643069</v>
      </c>
      <c r="Q5" s="116">
        <f>D_CH!P19</f>
        <v>11.859011332227388</v>
      </c>
    </row>
    <row r="6" spans="3:17" ht="22.05" customHeight="1" x14ac:dyDescent="0.3">
      <c r="C6" s="115" t="s">
        <v>233</v>
      </c>
      <c r="D6" s="115" t="s">
        <v>234</v>
      </c>
      <c r="E6" s="117">
        <f>D_CH!D10</f>
        <v>3732303</v>
      </c>
      <c r="F6" s="117">
        <f>D_CH!E10</f>
        <v>3748128</v>
      </c>
      <c r="G6" s="117">
        <f>D_CH!F10</f>
        <v>3869788</v>
      </c>
      <c r="H6" s="117">
        <f>D_CH!G10</f>
        <v>3794613</v>
      </c>
      <c r="I6" s="117">
        <f>D_CH!H10</f>
        <v>3816753</v>
      </c>
      <c r="J6" s="117">
        <f>D_CH!I10</f>
        <v>3889161</v>
      </c>
      <c r="K6" s="117">
        <f>D_CH!J10</f>
        <v>4010006</v>
      </c>
      <c r="L6" s="117">
        <f>D_CH!K10</f>
        <v>4011025.4168999996</v>
      </c>
      <c r="M6" s="117">
        <f>D_CH!L10</f>
        <v>4041685</v>
      </c>
      <c r="N6" s="117">
        <f>D_CH!M10</f>
        <v>4059376</v>
      </c>
      <c r="O6" s="117">
        <f>D_CH!N10</f>
        <v>4071644</v>
      </c>
      <c r="P6" s="117">
        <f>D_CH!O10</f>
        <v>4026665.0459200009</v>
      </c>
      <c r="Q6" s="117">
        <f>D_CH!P10</f>
        <v>3854935</v>
      </c>
    </row>
    <row r="7" spans="3:17" ht="22.05" customHeight="1" x14ac:dyDescent="0.3">
      <c r="C7" s="118" t="s">
        <v>280</v>
      </c>
      <c r="D7" s="115" t="s">
        <v>234</v>
      </c>
      <c r="E7" s="119">
        <f>D_CH!D12</f>
        <v>181883</v>
      </c>
      <c r="F7" s="119">
        <f>D_CH!E12</f>
        <v>189378</v>
      </c>
      <c r="G7" s="119">
        <f>D_CH!F12</f>
        <v>181530</v>
      </c>
      <c r="H7" s="119">
        <f>D_CH!G12</f>
        <v>185512</v>
      </c>
      <c r="I7" s="119">
        <f>D_CH!H12</f>
        <v>158153</v>
      </c>
      <c r="J7" s="119">
        <f>D_CH!I12</f>
        <v>131076</v>
      </c>
      <c r="K7" s="119">
        <f>D_CH!J12</f>
        <v>105119</v>
      </c>
      <c r="L7" s="119">
        <f>D_CH!K12</f>
        <v>98771.62</v>
      </c>
      <c r="M7" s="119">
        <f>D_CH!L12</f>
        <v>109295</v>
      </c>
      <c r="N7" s="119">
        <f>D_CH!M12</f>
        <v>99109</v>
      </c>
      <c r="O7" s="119">
        <f>D_CH!N12</f>
        <v>99034</v>
      </c>
      <c r="P7" s="119">
        <f>D_CH!O12</f>
        <v>99035.86</v>
      </c>
      <c r="Q7" s="119">
        <f>D_CH!P12</f>
        <v>96729</v>
      </c>
    </row>
    <row r="8" spans="3:17" ht="22.05" customHeight="1" x14ac:dyDescent="0.3">
      <c r="C8" s="118" t="s">
        <v>281</v>
      </c>
      <c r="D8" s="115" t="s">
        <v>234</v>
      </c>
      <c r="E8" s="119">
        <f>D_CH!D17</f>
        <v>3276739</v>
      </c>
      <c r="F8" s="119">
        <f>D_CH!E17</f>
        <v>3242971</v>
      </c>
      <c r="G8" s="119">
        <f>D_CH!F17</f>
        <v>3368380</v>
      </c>
      <c r="H8" s="119">
        <f>D_CH!G17</f>
        <v>3318502</v>
      </c>
      <c r="I8" s="119">
        <f>D_CH!H17</f>
        <v>3341384</v>
      </c>
      <c r="J8" s="119">
        <f>D_CH!I17</f>
        <v>3374718</v>
      </c>
      <c r="K8" s="119">
        <f>D_CH!J17</f>
        <v>3470786</v>
      </c>
      <c r="L8" s="119">
        <f>D_CH!K17</f>
        <v>3461747.8368999995</v>
      </c>
      <c r="M8" s="119">
        <f>D_CH!L17</f>
        <v>3481760</v>
      </c>
      <c r="N8" s="119">
        <f>D_CH!M17</f>
        <v>3501751</v>
      </c>
      <c r="O8" s="119">
        <f>D_CH!N17</f>
        <v>3513414</v>
      </c>
      <c r="P8" s="119">
        <f>D_CH!O17</f>
        <v>3562561.3059200011</v>
      </c>
      <c r="Q8" s="119">
        <f>D_CH!P17</f>
        <v>3424662</v>
      </c>
    </row>
    <row r="9" spans="3:17" ht="22.05" customHeight="1" x14ac:dyDescent="0.3">
      <c r="C9" s="118" t="s">
        <v>282</v>
      </c>
      <c r="D9" s="115" t="s">
        <v>234</v>
      </c>
      <c r="E9" s="119">
        <f>D_CH!D13</f>
        <v>209681</v>
      </c>
      <c r="F9" s="119">
        <f>D_CH!E13</f>
        <v>218876</v>
      </c>
      <c r="G9" s="119">
        <f>D_CH!F13</f>
        <v>235443</v>
      </c>
      <c r="H9" s="119">
        <f>D_CH!G13</f>
        <v>225827</v>
      </c>
      <c r="I9" s="119">
        <f>D_CH!H13</f>
        <v>236126</v>
      </c>
      <c r="J9" s="119">
        <f>D_CH!I13</f>
        <v>254015</v>
      </c>
      <c r="K9" s="119">
        <f>D_CH!J13</f>
        <v>285414</v>
      </c>
      <c r="L9" s="119">
        <f>D_CH!K13</f>
        <v>301369.81000000006</v>
      </c>
      <c r="M9" s="119">
        <f>D_CH!L13</f>
        <v>294325</v>
      </c>
      <c r="N9" s="119">
        <f>D_CH!M13</f>
        <v>305854</v>
      </c>
      <c r="O9" s="119">
        <f>D_CH!N13</f>
        <v>283413</v>
      </c>
      <c r="P9" s="119">
        <f>D_CH!O13</f>
        <v>196510.25000000003</v>
      </c>
      <c r="Q9" s="119">
        <f>D_CH!P13</f>
        <v>189172</v>
      </c>
    </row>
    <row r="10" spans="3:17" ht="22.05" customHeight="1" x14ac:dyDescent="0.3">
      <c r="C10" s="118" t="s">
        <v>283</v>
      </c>
      <c r="D10" s="115" t="s">
        <v>234</v>
      </c>
      <c r="E10" s="119">
        <f>D_CH!D15</f>
        <v>49000</v>
      </c>
      <c r="F10" s="119">
        <f>D_CH!E15</f>
        <v>69204</v>
      </c>
      <c r="G10" s="119">
        <f>D_CH!F15</f>
        <v>63039</v>
      </c>
      <c r="H10" s="119">
        <f>D_CH!G15</f>
        <v>45412</v>
      </c>
      <c r="I10" s="119">
        <f>D_CH!H15</f>
        <v>54133</v>
      </c>
      <c r="J10" s="119">
        <f>D_CH!I15</f>
        <v>84436</v>
      </c>
      <c r="K10" s="119">
        <f>D_CH!J15</f>
        <v>95865</v>
      </c>
      <c r="L10" s="119">
        <f>D_CH!K15</f>
        <v>96480.260000000009</v>
      </c>
      <c r="M10" s="119">
        <f>D_CH!L15</f>
        <v>95820</v>
      </c>
      <c r="N10" s="119">
        <f>D_CH!M15</f>
        <v>89623</v>
      </c>
      <c r="O10" s="119">
        <f>D_CH!N15</f>
        <v>99444</v>
      </c>
      <c r="P10" s="119">
        <f>D_CH!O15</f>
        <v>87248.11</v>
      </c>
      <c r="Q10" s="119">
        <f>D_CH!P15</f>
        <v>92351</v>
      </c>
    </row>
    <row r="11" spans="3:17" ht="22.05" customHeight="1" x14ac:dyDescent="0.3">
      <c r="C11" s="118" t="s">
        <v>285</v>
      </c>
      <c r="D11" s="115" t="s">
        <v>234</v>
      </c>
      <c r="E11" s="119">
        <f>D_CH!D16</f>
        <v>1500</v>
      </c>
      <c r="F11" s="119">
        <f>D_CH!E16</f>
        <v>1713</v>
      </c>
      <c r="G11" s="119">
        <f>D_CH!F16</f>
        <v>8238</v>
      </c>
      <c r="H11" s="119">
        <f>D_CH!G16</f>
        <v>4344</v>
      </c>
      <c r="I11" s="119">
        <f>D_CH!H16</f>
        <v>7991</v>
      </c>
      <c r="J11" s="119">
        <f>D_CH!I16</f>
        <v>4396</v>
      </c>
      <c r="K11" s="119">
        <f>D_CH!J16</f>
        <v>12703</v>
      </c>
      <c r="L11" s="119">
        <f>D_CH!K16</f>
        <v>6011.8899999999994</v>
      </c>
      <c r="M11" s="119">
        <f>D_CH!L16</f>
        <v>7569</v>
      </c>
      <c r="N11" s="119">
        <f>D_CH!M16</f>
        <v>18891</v>
      </c>
      <c r="O11" s="119">
        <f>D_CH!N16</f>
        <v>34516</v>
      </c>
      <c r="P11" s="119">
        <f>D_CH!O16</f>
        <v>56178.399999999994</v>
      </c>
      <c r="Q11" s="119">
        <f>D_CH!P16</f>
        <v>34470</v>
      </c>
    </row>
    <row r="12" spans="3:17" ht="22.05" customHeight="1" x14ac:dyDescent="0.3">
      <c r="C12" s="118" t="s">
        <v>284</v>
      </c>
      <c r="D12" s="115" t="s">
        <v>234</v>
      </c>
      <c r="E12" s="119">
        <f>D_CH!D14</f>
        <v>13500</v>
      </c>
      <c r="F12" s="119">
        <f>D_CH!E14</f>
        <v>25986</v>
      </c>
      <c r="G12" s="119">
        <f>D_CH!F14</f>
        <v>13158</v>
      </c>
      <c r="H12" s="119">
        <f>D_CH!G14</f>
        <v>15016</v>
      </c>
      <c r="I12" s="119">
        <f>D_CH!H14</f>
        <v>18966</v>
      </c>
      <c r="J12" s="119">
        <f>D_CH!I14</f>
        <v>40520</v>
      </c>
      <c r="K12" s="119">
        <f>D_CH!J14</f>
        <v>40119</v>
      </c>
      <c r="L12" s="119">
        <f>D_CH!K14</f>
        <v>46644</v>
      </c>
      <c r="M12" s="119">
        <f>D_CH!L14</f>
        <v>52916</v>
      </c>
      <c r="N12" s="119">
        <f>D_CH!M14</f>
        <v>44148</v>
      </c>
      <c r="O12" s="119">
        <f>D_CH!N14</f>
        <v>41823</v>
      </c>
      <c r="P12" s="119">
        <f>D_CH!O14</f>
        <v>25131.120000000003</v>
      </c>
      <c r="Q12" s="119">
        <f>D_CH!P14</f>
        <v>17551</v>
      </c>
    </row>
    <row r="13" spans="3:17" ht="22.05" customHeight="1" x14ac:dyDescent="0.3">
      <c r="C13" s="115" t="s">
        <v>235</v>
      </c>
      <c r="D13" s="115" t="s">
        <v>236</v>
      </c>
      <c r="E13" s="117">
        <f>D_CH!D42</f>
        <v>1952281.8144698879</v>
      </c>
      <c r="F13" s="117">
        <f>D_CH!E42</f>
        <v>1967945.357710514</v>
      </c>
      <c r="G13" s="117">
        <f>D_CH!F42</f>
        <v>2010489.6800162878</v>
      </c>
      <c r="H13" s="117">
        <f>D_CH!G42</f>
        <v>1955285.6267485595</v>
      </c>
      <c r="I13" s="117">
        <f>D_CH!H42</f>
        <v>1984204.0074937299</v>
      </c>
      <c r="J13" s="117">
        <f>D_CH!I42</f>
        <v>2043035.0882850387</v>
      </c>
      <c r="K13" s="117">
        <f>D_CH!J42</f>
        <v>2116468.5502370181</v>
      </c>
      <c r="L13" s="117">
        <f>D_CH!K42</f>
        <v>2124497.6820464572</v>
      </c>
      <c r="M13" s="117">
        <f>D_CH!L42</f>
        <v>2142418.0740864468</v>
      </c>
      <c r="N13" s="117">
        <f>D_CH!M42</f>
        <v>2155654.9830046729</v>
      </c>
      <c r="O13" s="117">
        <f>D_CH!N42</f>
        <v>2161214.422815708</v>
      </c>
      <c r="P13" s="117">
        <f>D_CH!O42</f>
        <v>2123194.8756285901</v>
      </c>
      <c r="Q13" s="117">
        <f>D_CH!P42</f>
        <v>2038343.5636308361</v>
      </c>
    </row>
    <row r="14" spans="3:17" ht="22.05" customHeight="1" x14ac:dyDescent="0.3">
      <c r="C14" s="115" t="s">
        <v>251</v>
      </c>
      <c r="D14" s="115" t="s">
        <v>237</v>
      </c>
      <c r="E14" s="117">
        <f>D_CH!D23</f>
        <v>1408184</v>
      </c>
      <c r="F14" s="117">
        <f>D_CH!E23</f>
        <v>1442379</v>
      </c>
      <c r="G14" s="117">
        <f>D_CH!F23</f>
        <v>1516543</v>
      </c>
      <c r="H14" s="117">
        <f>D_CH!G23</f>
        <v>1596455</v>
      </c>
      <c r="I14" s="117">
        <f>D_CH!H23</f>
        <v>1702041</v>
      </c>
      <c r="J14" s="117">
        <f>D_CH!I23</f>
        <v>1715470</v>
      </c>
      <c r="K14" s="117">
        <f>D_CH!J23</f>
        <v>1845190</v>
      </c>
      <c r="L14" s="117">
        <f>D_CH!K23</f>
        <v>1852441</v>
      </c>
      <c r="M14" s="117">
        <f>D_CH!L23</f>
        <v>1830591</v>
      </c>
      <c r="N14" s="117">
        <f>D_CH!M23</f>
        <v>1854717</v>
      </c>
      <c r="O14" s="117">
        <f>D_CH!N23</f>
        <v>1855487</v>
      </c>
      <c r="P14" s="117">
        <f>D_CH!O23</f>
        <v>1752443.4448473868</v>
      </c>
      <c r="Q14" s="117">
        <f>D_CH!P23</f>
        <v>1722783</v>
      </c>
    </row>
    <row r="15" spans="3:17" ht="22.05" customHeight="1" x14ac:dyDescent="0.3">
      <c r="C15" s="115" t="s">
        <v>254</v>
      </c>
      <c r="D15" s="115" t="s">
        <v>238</v>
      </c>
      <c r="E15" s="117">
        <f>D_CH!D45</f>
        <v>41682.246399999996</v>
      </c>
      <c r="F15" s="117">
        <f>D_CH!E45</f>
        <v>42694.41840000001</v>
      </c>
      <c r="G15" s="117">
        <f>D_CH!F45</f>
        <v>44889.672800000008</v>
      </c>
      <c r="H15" s="117">
        <f>D_CH!G45</f>
        <v>47255.068000000021</v>
      </c>
      <c r="I15" s="117">
        <f>D_CH!H45</f>
        <v>50380.413599999993</v>
      </c>
      <c r="J15" s="117">
        <f>D_CH!I45</f>
        <v>50777.911999999997</v>
      </c>
      <c r="K15" s="117">
        <f>D_CH!J45</f>
        <v>54617.624000000003</v>
      </c>
      <c r="L15" s="117">
        <f>D_CH!K45</f>
        <v>54832.253600000011</v>
      </c>
      <c r="M15" s="117">
        <f>D_CH!L45</f>
        <v>54185.493599999987</v>
      </c>
      <c r="N15" s="117">
        <f>D_CH!M45</f>
        <v>54899.623199999987</v>
      </c>
      <c r="O15" s="117">
        <f>D_CH!N45</f>
        <v>54922.415200000003</v>
      </c>
      <c r="P15" s="117">
        <f>D_CH!O45</f>
        <v>51872.325967482655</v>
      </c>
      <c r="Q15" s="117">
        <f>D_CH!P45</f>
        <v>50994.376799999998</v>
      </c>
    </row>
    <row r="16" spans="3:17" ht="22.05" customHeight="1" x14ac:dyDescent="0.3">
      <c r="C16" s="115" t="s">
        <v>250</v>
      </c>
      <c r="D16" s="115" t="s">
        <v>237</v>
      </c>
      <c r="E16" s="117">
        <f>D_CH!D21</f>
        <v>3041209</v>
      </c>
      <c r="F16" s="117">
        <f>D_CH!E21</f>
        <v>2909827</v>
      </c>
      <c r="G16" s="117">
        <f>D_CH!F21</f>
        <v>2971711</v>
      </c>
      <c r="H16" s="117">
        <f>D_CH!G21</f>
        <v>3105197</v>
      </c>
      <c r="I16" s="117">
        <f>D_CH!H21</f>
        <v>3055045</v>
      </c>
      <c r="J16" s="117">
        <f>D_CH!I21</f>
        <v>3395094</v>
      </c>
      <c r="K16" s="117">
        <f>D_CH!J21</f>
        <v>3600256</v>
      </c>
      <c r="L16" s="117">
        <f>D_CH!K21</f>
        <v>3696118</v>
      </c>
      <c r="M16" s="117">
        <f>D_CH!L21</f>
        <v>3731847</v>
      </c>
      <c r="N16" s="117">
        <f>D_CH!M21</f>
        <v>3996991</v>
      </c>
      <c r="O16" s="117">
        <f>D_CH!N21</f>
        <v>3929309</v>
      </c>
      <c r="P16" s="117">
        <f>D_CH!O21</f>
        <v>4175136.757571632</v>
      </c>
      <c r="Q16" s="117">
        <f>D_CH!P21</f>
        <v>3892572</v>
      </c>
    </row>
    <row r="17" spans="3:17" ht="22.05" customHeight="1" x14ac:dyDescent="0.3">
      <c r="C17" s="115" t="s">
        <v>243</v>
      </c>
      <c r="D17" s="115" t="s">
        <v>244</v>
      </c>
      <c r="E17" s="120">
        <f>Pars!D89</f>
        <v>1.1120000000000001</v>
      </c>
      <c r="F17" s="120">
        <f>Pars!E89</f>
        <v>0.878</v>
      </c>
      <c r="G17" s="120">
        <f>Pars!F89</f>
        <v>0.999</v>
      </c>
      <c r="H17" s="120">
        <f>Pars!G89</f>
        <v>1.099</v>
      </c>
      <c r="I17" s="120">
        <f>Pars!H89</f>
        <v>0.83199999999999996</v>
      </c>
      <c r="J17" s="120">
        <f>Pars!I89</f>
        <v>0.93</v>
      </c>
      <c r="K17" s="120">
        <f>Pars!J89</f>
        <v>0.996</v>
      </c>
      <c r="L17" s="120">
        <f>Pars!K89</f>
        <v>0.96699999999999997</v>
      </c>
      <c r="M17" s="120">
        <f>Pars!L89</f>
        <v>0.88600000000000001</v>
      </c>
      <c r="N17" s="120">
        <f>Pars!M89</f>
        <v>0.90900000000000003</v>
      </c>
      <c r="O17" s="120">
        <f>Pars!N89</f>
        <v>0.84199999999999997</v>
      </c>
      <c r="P17" s="120">
        <f>Pars!O89</f>
        <v>0.997</v>
      </c>
      <c r="Q17" s="120">
        <f>Pars!P89</f>
        <v>0.80900000000000005</v>
      </c>
    </row>
    <row r="18" spans="3:17" ht="22.05" customHeight="1" x14ac:dyDescent="0.3">
      <c r="C18" s="115" t="s">
        <v>272</v>
      </c>
      <c r="D18" s="115" t="s">
        <v>238</v>
      </c>
      <c r="E18" s="121">
        <f>D_CH!D44</f>
        <v>654661.15135669056</v>
      </c>
      <c r="F18" s="121">
        <f>D_CH!E44</f>
        <v>688950.39287640096</v>
      </c>
      <c r="G18" s="121">
        <f>D_CH!F44</f>
        <v>666821.6660997197</v>
      </c>
      <c r="H18" s="121">
        <f>D_CH!G44</f>
        <v>671399.02721905371</v>
      </c>
      <c r="I18" s="121">
        <f>D_CH!H44</f>
        <v>740593.43374423089</v>
      </c>
      <c r="J18" s="121">
        <f>D_CH!I44</f>
        <v>784447.05555225804</v>
      </c>
      <c r="K18" s="121">
        <f>D_CH!J44</f>
        <v>808834.66966875514</v>
      </c>
      <c r="L18" s="121">
        <f>D_CH!K44</f>
        <v>840356.03919904865</v>
      </c>
      <c r="M18" s="121">
        <f>D_CH!L44</f>
        <v>880134.12822162523</v>
      </c>
      <c r="N18" s="121">
        <f>D_CH!M44</f>
        <v>932425.53560068214</v>
      </c>
      <c r="O18" s="121">
        <f>D_CH!N44</f>
        <v>947497.14569505956</v>
      </c>
      <c r="P18" s="121">
        <f>D_CH!O44</f>
        <v>937610.33601686568</v>
      </c>
      <c r="Q18" s="121">
        <f>D_CH!P44</f>
        <v>955557.71657087747</v>
      </c>
    </row>
    <row r="19" spans="3:17" ht="22.05" customHeight="1" x14ac:dyDescent="0.3">
      <c r="C19" s="115" t="s">
        <v>239</v>
      </c>
      <c r="D19" s="115" t="s">
        <v>240</v>
      </c>
      <c r="E19" s="117">
        <f>D_CH!D30</f>
        <v>47230.748787635297</v>
      </c>
      <c r="F19" s="117">
        <f>D_CH!E30</f>
        <v>47101.966898068298</v>
      </c>
      <c r="G19" s="117">
        <f>D_CH!F30</f>
        <v>55572.134390220002</v>
      </c>
      <c r="H19" s="117">
        <f>D_CH!G30</f>
        <v>54199</v>
      </c>
      <c r="I19" s="117">
        <f>D_CH!H30</f>
        <v>54797</v>
      </c>
      <c r="J19" s="117">
        <f>D_CH!I30</f>
        <v>56471</v>
      </c>
      <c r="K19" s="117">
        <f>D_CH!J30</f>
        <v>60007</v>
      </c>
      <c r="L19" s="117">
        <f>D_CH!K30</f>
        <v>57249.097699796388</v>
      </c>
      <c r="M19" s="117">
        <f>D_CH!L30</f>
        <v>58034</v>
      </c>
      <c r="N19" s="117">
        <f>D_CH!M30</f>
        <v>59894.281200000005</v>
      </c>
      <c r="O19" s="117">
        <f>D_CH!N30</f>
        <v>62323</v>
      </c>
      <c r="P19" s="117">
        <f>D_CH!O30</f>
        <v>61867.004292645965</v>
      </c>
      <c r="Q19" s="117">
        <f>D_CH!P30</f>
        <v>59292</v>
      </c>
    </row>
    <row r="20" spans="3:17" ht="22.05" customHeight="1" x14ac:dyDescent="0.3">
      <c r="C20" s="115" t="s">
        <v>241</v>
      </c>
      <c r="D20" s="115" t="s">
        <v>240</v>
      </c>
      <c r="E20" s="117">
        <f>SUM(D_CH!D31:D38)</f>
        <v>5459.7295085977512</v>
      </c>
      <c r="F20" s="117">
        <f>SUM(D_CH!E31:E38)</f>
        <v>9327.3406871230745</v>
      </c>
      <c r="G20" s="117">
        <f>SUM(D_CH!F31:F38)</f>
        <v>11555.899003475</v>
      </c>
      <c r="H20" s="117">
        <f>SUM(D_CH!G31:G38)</f>
        <v>12985.150260056249</v>
      </c>
      <c r="I20" s="117">
        <f>SUM(D_CH!H31:H38)</f>
        <v>13776.08743125</v>
      </c>
      <c r="J20" s="117">
        <f>SUM(D_CH!I31:I38)</f>
        <v>16722</v>
      </c>
      <c r="K20" s="117">
        <f>SUM(D_CH!J31:J38)</f>
        <v>17736</v>
      </c>
      <c r="L20" s="117">
        <f>SUM(D_CH!K31:K38)</f>
        <v>19736.960061294019</v>
      </c>
      <c r="M20" s="117">
        <f>SUM(D_CH!L31:L38)</f>
        <v>21362</v>
      </c>
      <c r="N20" s="117">
        <f>SUM(D_CH!M31:M38)</f>
        <v>21124.648000000001</v>
      </c>
      <c r="O20" s="117">
        <f>SUM(D_CH!N31:N38)</f>
        <v>22978</v>
      </c>
      <c r="P20" s="117">
        <f>SUM(D_CH!O31:O38)</f>
        <v>26276.170812966313</v>
      </c>
      <c r="Q20" s="117">
        <f>SUM(D_CH!P31:P38)</f>
        <v>24972.723470987978</v>
      </c>
    </row>
    <row r="21" spans="3:17" ht="22.05" customHeight="1" x14ac:dyDescent="0.3">
      <c r="C21" s="115" t="s">
        <v>242</v>
      </c>
      <c r="D21" s="115" t="s">
        <v>238</v>
      </c>
      <c r="E21" s="121">
        <f>D_CH!D46</f>
        <v>98121.25197231803</v>
      </c>
      <c r="F21" s="121">
        <f>D_CH!E46</f>
        <v>117022.53204990648</v>
      </c>
      <c r="G21" s="121">
        <f>D_CH!F46</f>
        <v>140840.36938257521</v>
      </c>
      <c r="H21" s="121">
        <f>D_CH!G46</f>
        <v>145735.19174367326</v>
      </c>
      <c r="I21" s="121">
        <f>D_CH!H46</f>
        <v>150113.17979624998</v>
      </c>
      <c r="J21" s="121">
        <f>D_CH!I46</f>
        <v>166953.53000000003</v>
      </c>
      <c r="K21" s="121">
        <f>D_CH!J46</f>
        <v>214438.83000000002</v>
      </c>
      <c r="L21" s="121">
        <f>D_CH!K46</f>
        <v>216477.64499116756</v>
      </c>
      <c r="M21" s="121">
        <f>D_CH!L46</f>
        <v>230410.8432058281</v>
      </c>
      <c r="N21" s="121">
        <f>D_CH!M46</f>
        <v>235820.53371600001</v>
      </c>
      <c r="O21" s="121">
        <f>D_CH!N46</f>
        <v>254371.05728021974</v>
      </c>
      <c r="P21" s="121">
        <f>D_CH!O46</f>
        <v>273893.96196931635</v>
      </c>
      <c r="Q21" s="121">
        <f>D_CH!P46</f>
        <v>263560.07526921062</v>
      </c>
    </row>
    <row r="22" spans="3:17" ht="22.05" customHeight="1" x14ac:dyDescent="0.3">
      <c r="C22" s="115" t="s">
        <v>245</v>
      </c>
      <c r="D22" s="115" t="s">
        <v>238</v>
      </c>
      <c r="E22" s="121">
        <f>D_CH!D48</f>
        <v>1157817.1647408793</v>
      </c>
      <c r="F22" s="121">
        <f>D_CH!E48</f>
        <v>1119278.0143842066</v>
      </c>
      <c r="G22" s="121">
        <f>D_CH!F48</f>
        <v>1157937.9717339929</v>
      </c>
      <c r="H22" s="121">
        <f>D_CH!G48</f>
        <v>1090896.3397858324</v>
      </c>
      <c r="I22" s="121">
        <f>D_CH!H48</f>
        <v>1043116.9803532489</v>
      </c>
      <c r="J22" s="121">
        <f>D_CH!I48</f>
        <v>1040856.5907327805</v>
      </c>
      <c r="K22" s="121">
        <f>D_CH!J48</f>
        <v>1038577.426568263</v>
      </c>
      <c r="L22" s="121">
        <f>D_CH!K48</f>
        <v>1012831.744256241</v>
      </c>
      <c r="M22" s="121">
        <f>D_CH!L48</f>
        <v>977687.60905899352</v>
      </c>
      <c r="N22" s="121">
        <f>D_CH!M48</f>
        <v>932509.2904879906</v>
      </c>
      <c r="O22" s="121">
        <f>D_CH!N48</f>
        <v>904423.80464042875</v>
      </c>
      <c r="P22" s="121">
        <f>D_CH!O48</f>
        <v>859818.25167492533</v>
      </c>
      <c r="Q22" s="121">
        <f>D_CH!P48</f>
        <v>768231.39499074803</v>
      </c>
    </row>
    <row r="23" spans="3:17" ht="22.05" customHeight="1" x14ac:dyDescent="0.3"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</row>
    <row r="24" spans="3:17" ht="22.05" customHeight="1" x14ac:dyDescent="0.3">
      <c r="C24" s="113" t="s">
        <v>246</v>
      </c>
      <c r="D24" s="113" t="s">
        <v>1</v>
      </c>
      <c r="E24" s="114" t="s">
        <v>258</v>
      </c>
      <c r="F24" s="114" t="s">
        <v>259</v>
      </c>
      <c r="G24" s="114" t="s">
        <v>260</v>
      </c>
      <c r="H24" s="114" t="s">
        <v>261</v>
      </c>
      <c r="I24" s="114" t="s">
        <v>262</v>
      </c>
      <c r="J24" s="114" t="s">
        <v>263</v>
      </c>
      <c r="K24" s="114" t="s">
        <v>264</v>
      </c>
      <c r="L24" s="114" t="s">
        <v>265</v>
      </c>
      <c r="M24" s="114" t="s">
        <v>266</v>
      </c>
      <c r="N24" s="114" t="s">
        <v>267</v>
      </c>
      <c r="O24" s="114" t="s">
        <v>268</v>
      </c>
      <c r="P24" s="114" t="s">
        <v>269</v>
      </c>
      <c r="Q24" s="114" t="s">
        <v>270</v>
      </c>
    </row>
    <row r="25" spans="3:17" ht="22.05" customHeight="1" x14ac:dyDescent="0.3">
      <c r="C25" s="115" t="s">
        <v>247</v>
      </c>
      <c r="D25" s="115" t="s">
        <v>248</v>
      </c>
      <c r="E25" s="122">
        <f t="shared" ref="E25:Q25" si="0">E13/E6</f>
        <v>0.52307698878410669</v>
      </c>
      <c r="F25" s="122">
        <f t="shared" si="0"/>
        <v>0.52504753245100322</v>
      </c>
      <c r="G25" s="122">
        <f t="shared" si="0"/>
        <v>0.51953483757153829</v>
      </c>
      <c r="H25" s="122">
        <f t="shared" si="0"/>
        <v>0.51527932538800647</v>
      </c>
      <c r="I25" s="122">
        <f t="shared" si="0"/>
        <v>0.51986701981860761</v>
      </c>
      <c r="J25" s="122">
        <f t="shared" si="0"/>
        <v>0.52531512279513204</v>
      </c>
      <c r="K25" s="122">
        <f t="shared" si="0"/>
        <v>0.5277968537296498</v>
      </c>
      <c r="L25" s="122">
        <f t="shared" si="0"/>
        <v>0.52966447759097401</v>
      </c>
      <c r="M25" s="122">
        <f t="shared" si="0"/>
        <v>0.53008041796588468</v>
      </c>
      <c r="N25" s="122">
        <f t="shared" si="0"/>
        <v>0.53103111980872753</v>
      </c>
      <c r="O25" s="122">
        <f t="shared" si="0"/>
        <v>0.53079650942364021</v>
      </c>
      <c r="P25" s="122">
        <f t="shared" si="0"/>
        <v>0.52728370783656497</v>
      </c>
      <c r="Q25" s="122">
        <f t="shared" si="0"/>
        <v>0.52876210977119875</v>
      </c>
    </row>
    <row r="26" spans="3:17" ht="22.05" customHeight="1" x14ac:dyDescent="0.3">
      <c r="C26" s="115" t="s">
        <v>252</v>
      </c>
      <c r="D26" s="115" t="s">
        <v>249</v>
      </c>
      <c r="E26" s="122">
        <f t="shared" ref="E26:Q26" si="1">E14/E6</f>
        <v>0.37729626989019915</v>
      </c>
      <c r="F26" s="122">
        <f t="shared" si="1"/>
        <v>0.38482650539149144</v>
      </c>
      <c r="G26" s="122">
        <f t="shared" si="1"/>
        <v>0.39189304427012539</v>
      </c>
      <c r="H26" s="122">
        <f t="shared" si="1"/>
        <v>0.42071615735254164</v>
      </c>
      <c r="I26" s="122">
        <f t="shared" si="1"/>
        <v>0.44593951979601509</v>
      </c>
      <c r="J26" s="122">
        <f t="shared" si="1"/>
        <v>0.44108999344588717</v>
      </c>
      <c r="K26" s="122">
        <f t="shared" si="1"/>
        <v>0.46014644367115659</v>
      </c>
      <c r="L26" s="122">
        <f t="shared" si="1"/>
        <v>0.46183726290911808</v>
      </c>
      <c r="M26" s="122">
        <f t="shared" si="1"/>
        <v>0.45292767744146317</v>
      </c>
      <c r="N26" s="122">
        <f t="shared" si="1"/>
        <v>0.45689706989448625</v>
      </c>
      <c r="O26" s="122">
        <f t="shared" si="1"/>
        <v>0.45570953649189372</v>
      </c>
      <c r="P26" s="122">
        <f t="shared" si="1"/>
        <v>0.43520963995330125</v>
      </c>
      <c r="Q26" s="122">
        <f t="shared" si="1"/>
        <v>0.44690325517810287</v>
      </c>
    </row>
    <row r="27" spans="3:17" ht="22.05" customHeight="1" x14ac:dyDescent="0.3">
      <c r="C27" s="115" t="s">
        <v>253</v>
      </c>
      <c r="D27" s="115" t="s">
        <v>249</v>
      </c>
      <c r="E27" s="122">
        <f t="shared" ref="E27:Q27" si="2">E16/E6</f>
        <v>0.81483443332441119</v>
      </c>
      <c r="F27" s="122">
        <f t="shared" si="2"/>
        <v>0.77634141630168452</v>
      </c>
      <c r="G27" s="122">
        <f t="shared" si="2"/>
        <v>0.76792604659480057</v>
      </c>
      <c r="H27" s="122">
        <f t="shared" si="2"/>
        <v>0.81831717753562749</v>
      </c>
      <c r="I27" s="122">
        <f t="shared" si="2"/>
        <v>0.80043036581093929</v>
      </c>
      <c r="J27" s="122">
        <f t="shared" si="2"/>
        <v>0.8729630889541472</v>
      </c>
      <c r="K27" s="122">
        <f t="shared" si="2"/>
        <v>0.89781810800283091</v>
      </c>
      <c r="L27" s="122">
        <f t="shared" si="2"/>
        <v>0.92148954839000197</v>
      </c>
      <c r="M27" s="122">
        <f t="shared" si="2"/>
        <v>0.92333939928519915</v>
      </c>
      <c r="N27" s="122">
        <f t="shared" si="2"/>
        <v>0.98463187445558131</v>
      </c>
      <c r="O27" s="122">
        <f t="shared" si="2"/>
        <v>0.96504237600340304</v>
      </c>
      <c r="P27" s="122">
        <f t="shared" si="2"/>
        <v>1.0368721286619231</v>
      </c>
      <c r="Q27" s="122">
        <f t="shared" si="2"/>
        <v>1.0097633293427775</v>
      </c>
    </row>
    <row r="28" spans="3:17" ht="22.05" customHeight="1" x14ac:dyDescent="0.3">
      <c r="C28" s="115" t="s">
        <v>255</v>
      </c>
      <c r="D28" s="115" t="s">
        <v>256</v>
      </c>
      <c r="E28" s="123">
        <f t="shared" ref="E28:Q28" si="3">1000*(E19+E20)/E6</f>
        <v>14.117417127235663</v>
      </c>
      <c r="F28" s="123">
        <f t="shared" si="3"/>
        <v>15.05533097727489</v>
      </c>
      <c r="G28" s="123">
        <f t="shared" si="3"/>
        <v>17.346695321215275</v>
      </c>
      <c r="H28" s="123">
        <f t="shared" si="3"/>
        <v>17.705138906143066</v>
      </c>
      <c r="I28" s="123">
        <f t="shared" si="3"/>
        <v>17.966341398369241</v>
      </c>
      <c r="J28" s="123">
        <f t="shared" si="3"/>
        <v>18.819740298743096</v>
      </c>
      <c r="K28" s="123">
        <f t="shared" si="3"/>
        <v>19.387252787152939</v>
      </c>
      <c r="L28" s="123">
        <f t="shared" si="3"/>
        <v>19.193610052112458</v>
      </c>
      <c r="M28" s="123">
        <f t="shared" si="3"/>
        <v>19.644282025937201</v>
      </c>
      <c r="N28" s="123">
        <f t="shared" si="3"/>
        <v>19.958468789291757</v>
      </c>
      <c r="O28" s="123">
        <f t="shared" si="3"/>
        <v>20.950014293980516</v>
      </c>
      <c r="P28" s="123">
        <f t="shared" si="3"/>
        <v>21.889870178033043</v>
      </c>
      <c r="Q28" s="123">
        <f t="shared" si="3"/>
        <v>21.858921997644057</v>
      </c>
    </row>
  </sheetData>
  <phoneticPr fontId="40" type="noConversion"/>
  <pageMargins left="0.7" right="0.7" top="0.75" bottom="0.75" header="0.3" footer="0.3"/>
  <pageSetup paperSize="9" scale="45" orientation="landscape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9496C-1162-4C56-BB92-0F7715DCD4AB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163</v>
      </c>
      <c r="D1" s="32"/>
      <c r="E1" s="32"/>
    </row>
    <row r="2" spans="1:30" x14ac:dyDescent="0.3">
      <c r="A2" s="30"/>
      <c r="B2" s="31" t="s">
        <v>86</v>
      </c>
      <c r="C2" s="33" t="s">
        <v>164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115627</v>
      </c>
      <c r="E5" s="42">
        <v>115627</v>
      </c>
      <c r="F5" s="42">
        <v>115627</v>
      </c>
      <c r="G5" s="42">
        <v>138000</v>
      </c>
      <c r="H5" s="43">
        <v>138000</v>
      </c>
      <c r="I5" s="43">
        <v>138000</v>
      </c>
      <c r="J5" s="43">
        <v>138000</v>
      </c>
      <c r="K5" s="43">
        <v>138000</v>
      </c>
      <c r="L5" s="43">
        <v>138000</v>
      </c>
      <c r="M5" s="43">
        <v>138000</v>
      </c>
      <c r="N5" s="43">
        <v>138000</v>
      </c>
      <c r="O5" s="43">
        <v>160000</v>
      </c>
      <c r="P5" s="43">
        <v>164000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106087</v>
      </c>
      <c r="E6" s="42">
        <v>109163</v>
      </c>
      <c r="F6" s="42">
        <v>112956</v>
      </c>
      <c r="G6" s="42">
        <v>116676</v>
      </c>
      <c r="H6" s="47">
        <v>120260</v>
      </c>
      <c r="I6" s="47">
        <v>121068</v>
      </c>
      <c r="J6" s="47">
        <v>126937</v>
      </c>
      <c r="K6" s="47">
        <v>136110</v>
      </c>
      <c r="L6" s="47">
        <v>129712</v>
      </c>
      <c r="M6" s="47">
        <v>138194</v>
      </c>
      <c r="N6" s="47">
        <v>144032</v>
      </c>
      <c r="O6" s="47">
        <v>147264</v>
      </c>
      <c r="P6" s="47">
        <v>138770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0</v>
      </c>
      <c r="E7" s="42">
        <v>0</v>
      </c>
      <c r="F7" s="42">
        <v>0</v>
      </c>
      <c r="G7" s="42">
        <v>0</v>
      </c>
      <c r="H7" s="47">
        <v>1700</v>
      </c>
      <c r="I7" s="47">
        <v>0</v>
      </c>
      <c r="J7" s="47">
        <v>0</v>
      </c>
      <c r="K7" s="47">
        <v>0</v>
      </c>
      <c r="L7" s="47"/>
      <c r="M7" s="47">
        <v>0</v>
      </c>
      <c r="N7" s="47">
        <v>0</v>
      </c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12.678000000000001</v>
      </c>
      <c r="E14" s="51">
        <v>12.688000000000001</v>
      </c>
      <c r="F14" s="51">
        <v>12.7</v>
      </c>
      <c r="G14" s="51">
        <v>12.46</v>
      </c>
      <c r="H14" s="43">
        <v>12.11</v>
      </c>
      <c r="I14" s="43">
        <v>12.58</v>
      </c>
      <c r="J14" s="43">
        <v>12.56</v>
      </c>
      <c r="K14" s="43">
        <v>12.9</v>
      </c>
      <c r="L14" s="43">
        <v>13.29</v>
      </c>
      <c r="M14" s="43">
        <v>13.12</v>
      </c>
      <c r="N14" s="43">
        <v>13.12</v>
      </c>
      <c r="O14" s="43">
        <v>12.66</v>
      </c>
      <c r="P14" s="43">
        <v>12.67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178547</v>
      </c>
      <c r="E15" s="42">
        <v>160519</v>
      </c>
      <c r="F15" s="42">
        <v>167000</v>
      </c>
      <c r="G15" s="42">
        <v>157366</v>
      </c>
      <c r="H15" s="47">
        <v>143244</v>
      </c>
      <c r="I15" s="47">
        <v>120178</v>
      </c>
      <c r="J15" s="47">
        <v>98156</v>
      </c>
      <c r="K15" s="47">
        <v>124754</v>
      </c>
      <c r="L15" s="47">
        <v>104925</v>
      </c>
      <c r="M15" s="47">
        <v>141087</v>
      </c>
      <c r="N15" s="47">
        <v>142502</v>
      </c>
      <c r="O15" s="47">
        <v>148303</v>
      </c>
      <c r="P15" s="47">
        <v>126675</v>
      </c>
      <c r="Q15" s="47">
        <v>170000</v>
      </c>
      <c r="R15" s="47">
        <v>180000</v>
      </c>
      <c r="S15" s="47">
        <v>190000</v>
      </c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18795</v>
      </c>
      <c r="E16" s="42">
        <v>23339</v>
      </c>
      <c r="F16" s="42">
        <v>20000</v>
      </c>
      <c r="G16" s="42">
        <v>46554</v>
      </c>
      <c r="H16" s="47">
        <v>45198</v>
      </c>
      <c r="I16" s="47">
        <v>60519</v>
      </c>
      <c r="J16" s="47">
        <v>73081</v>
      </c>
      <c r="K16" s="47">
        <v>72863</v>
      </c>
      <c r="L16" s="47">
        <v>76311</v>
      </c>
      <c r="M16" s="47">
        <v>75372</v>
      </c>
      <c r="N16" s="47">
        <v>77655</v>
      </c>
      <c r="O16" s="47">
        <v>59787</v>
      </c>
      <c r="P16" s="47">
        <v>73399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24682</v>
      </c>
      <c r="E18" s="42">
        <v>22632</v>
      </c>
      <c r="F18" s="42">
        <v>22259</v>
      </c>
      <c r="G18" s="42">
        <v>25034</v>
      </c>
      <c r="H18" s="43">
        <v>25488</v>
      </c>
      <c r="I18" s="43">
        <v>25547</v>
      </c>
      <c r="J18" s="43">
        <v>27093</v>
      </c>
      <c r="K18" s="43">
        <v>29010.949999999997</v>
      </c>
      <c r="L18" s="43">
        <v>27285</v>
      </c>
      <c r="M18" s="43">
        <v>29307</v>
      </c>
      <c r="N18" s="43">
        <v>31533</v>
      </c>
      <c r="O18" s="43">
        <v>33192</v>
      </c>
      <c r="P18" s="43">
        <v>24954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2122</v>
      </c>
      <c r="E19" s="42">
        <v>1754</v>
      </c>
      <c r="F19" s="42">
        <v>1790</v>
      </c>
      <c r="G19" s="42">
        <v>2780</v>
      </c>
      <c r="H19" s="47">
        <v>1900</v>
      </c>
      <c r="I19" s="47">
        <v>1574</v>
      </c>
      <c r="J19" s="47">
        <v>1531</v>
      </c>
      <c r="K19" s="47">
        <v>1676</v>
      </c>
      <c r="L19" s="47">
        <v>1290</v>
      </c>
      <c r="M19" s="47">
        <v>1431</v>
      </c>
      <c r="N19" s="47">
        <v>1200</v>
      </c>
      <c r="O19" s="47">
        <v>1562</v>
      </c>
      <c r="P19" s="47">
        <v>1634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113</v>
      </c>
      <c r="G23" s="59" t="s">
        <v>113</v>
      </c>
      <c r="H23" s="59" t="s">
        <v>113</v>
      </c>
      <c r="I23" s="59" t="s">
        <v>113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112</v>
      </c>
      <c r="E25" s="59" t="s">
        <v>112</v>
      </c>
      <c r="F25" s="59" t="s">
        <v>112</v>
      </c>
      <c r="G25" s="59" t="s">
        <v>112</v>
      </c>
      <c r="H25" s="59" t="s">
        <v>112</v>
      </c>
      <c r="I25" s="59" t="s">
        <v>112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112</v>
      </c>
      <c r="K26" s="59" t="s">
        <v>112</v>
      </c>
      <c r="L26" s="59" t="s">
        <v>112</v>
      </c>
      <c r="M26" s="59" t="s">
        <v>112</v>
      </c>
      <c r="N26" s="59" t="s">
        <v>112</v>
      </c>
      <c r="O26" s="59" t="s">
        <v>112</v>
      </c>
      <c r="P26" s="59" t="s">
        <v>112</v>
      </c>
      <c r="Q26" s="59" t="s">
        <v>112</v>
      </c>
      <c r="R26" s="59" t="s">
        <v>112</v>
      </c>
      <c r="S26" s="59" t="s">
        <v>112</v>
      </c>
      <c r="T26" s="59" t="s">
        <v>112</v>
      </c>
      <c r="U26" s="59" t="s">
        <v>112</v>
      </c>
      <c r="V26" s="59" t="s">
        <v>112</v>
      </c>
      <c r="W26" s="59" t="s">
        <v>112</v>
      </c>
      <c r="X26" s="59" t="s">
        <v>112</v>
      </c>
      <c r="Y26" s="59" t="s">
        <v>112</v>
      </c>
      <c r="Z26" s="59" t="s">
        <v>112</v>
      </c>
      <c r="AA26" s="59" t="s">
        <v>112</v>
      </c>
      <c r="AB26" s="59" t="s">
        <v>112</v>
      </c>
      <c r="AC26" s="59" t="s">
        <v>112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1348</v>
      </c>
      <c r="E33" s="47">
        <v>939</v>
      </c>
      <c r="F33" s="47">
        <v>972</v>
      </c>
      <c r="G33" s="47">
        <v>1375</v>
      </c>
      <c r="H33" s="43">
        <v>1391</v>
      </c>
      <c r="I33" s="43">
        <v>2218</v>
      </c>
      <c r="J33" s="43">
        <v>2511</v>
      </c>
      <c r="K33" s="43">
        <v>2668.35</v>
      </c>
      <c r="L33" s="43">
        <v>2460</v>
      </c>
      <c r="M33" s="43">
        <v>2528</v>
      </c>
      <c r="N33" s="43">
        <v>2648</v>
      </c>
      <c r="O33" s="63">
        <v>3065</v>
      </c>
      <c r="P33" s="63">
        <v>2925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423</v>
      </c>
      <c r="K34" s="47">
        <v>609</v>
      </c>
      <c r="L34" s="47">
        <v>498</v>
      </c>
      <c r="M34" s="47">
        <v>500</v>
      </c>
      <c r="N34" s="47">
        <v>433.14560439560438</v>
      </c>
      <c r="O34" s="47">
        <v>455.93406593406593</v>
      </c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>
        <v>29</v>
      </c>
      <c r="E37" s="47">
        <v>24</v>
      </c>
      <c r="F37" s="47">
        <v>24</v>
      </c>
      <c r="G37" s="47">
        <v>38</v>
      </c>
      <c r="H37" s="47">
        <v>26</v>
      </c>
      <c r="I37" s="47">
        <v>35</v>
      </c>
      <c r="J37" s="47">
        <v>45</v>
      </c>
      <c r="K37" s="47">
        <v>71.3</v>
      </c>
      <c r="L37" s="47">
        <v>50</v>
      </c>
      <c r="M37" s="47">
        <v>63</v>
      </c>
      <c r="N37" s="47">
        <v>8</v>
      </c>
      <c r="O37" s="64">
        <v>55</v>
      </c>
      <c r="P37" s="64">
        <v>45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292</v>
      </c>
      <c r="E41" s="47">
        <v>268</v>
      </c>
      <c r="F41" s="47">
        <v>263</v>
      </c>
      <c r="G41" s="47">
        <v>296</v>
      </c>
      <c r="H41" s="47">
        <v>301.55490000000003</v>
      </c>
      <c r="I41" s="47">
        <v>554</v>
      </c>
      <c r="J41" s="47">
        <v>228</v>
      </c>
      <c r="K41" s="47">
        <v>47</v>
      </c>
      <c r="L41" s="47">
        <v>10</v>
      </c>
      <c r="M41" s="47">
        <v>44</v>
      </c>
      <c r="N41" s="47">
        <v>196.85439560439562</v>
      </c>
      <c r="O41" s="64">
        <v>691</v>
      </c>
      <c r="P41" s="64">
        <v>872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(Pars!D56+(D_BE_1!D14-Pars!D57)*Pars!D58)/Pars!D59</f>
        <v>0.31648880000000007</v>
      </c>
      <c r="E43" s="66">
        <f>(Pars!E56+(D_BE_1!E14-Pars!E57)*Pars!E58)/Pars!E59</f>
        <v>0.31668448331551668</v>
      </c>
      <c r="F43" s="66">
        <f>(Pars!F56+(D_BE_1!F14-Pars!F57)*Pars!F58)/Pars!F59</f>
        <v>0.3169193661612677</v>
      </c>
      <c r="G43" s="66">
        <f>(Pars!G56+(D_BE_1!G14-Pars!G57)*Pars!G58)/Pars!G59</f>
        <v>0.31221506335480992</v>
      </c>
      <c r="H43" s="66">
        <f>(Pars!H56+(D_BE_1!H14-Pars!H57)*Pars!H58)/Pars!H59</f>
        <v>0.30535477858088567</v>
      </c>
      <c r="I43" s="66">
        <f>(Pars!I56+(D_BE_1!I14-Pars!I57)*Pars!I58)/Pars!I59</f>
        <v>0.31456642716786415</v>
      </c>
      <c r="J43" s="66">
        <f>(Pars!J56+(D_BE_1!J14-Pars!J57)*Pars!J58)/Pars!J59</f>
        <v>0.31417411495531028</v>
      </c>
      <c r="K43" s="66">
        <f>(Pars!K56+(D_BE_1!K14-Pars!K57)*Pars!K58)/Pars!K59</f>
        <v>0.32083775413572108</v>
      </c>
      <c r="L43" s="66">
        <f>(Pars!L56+(D_BE_1!L14-Pars!L57)*Pars!L58)/Pars!L59</f>
        <v>0.32848137214902279</v>
      </c>
      <c r="M43" s="66">
        <f>(Pars!M56+(D_BE_1!M14-Pars!M57)*Pars!M58)/Pars!M59</f>
        <v>0.32514907365833706</v>
      </c>
      <c r="N43" s="66">
        <f>(Pars!N56+(D_BE_1!N14-Pars!N57)*Pars!N58)/Pars!N59</f>
        <v>0.32514874851251485</v>
      </c>
      <c r="O43" s="66">
        <f>(Pars!O56+(D_BE_1!O14-Pars!O57)*Pars!O58)/Pars!O59</f>
        <v>0.31613252254225205</v>
      </c>
      <c r="P43" s="66">
        <f>(Pars!P56+(D_BE_1!P14-Pars!P57)*Pars!P58)/Pars!P59</f>
        <v>0.31632820406155127</v>
      </c>
      <c r="Q43" s="66">
        <f>(Pars!Q56+(D_BE_1!Q14-Pars!Q57)*Pars!Q58)/Pars!Q59</f>
        <v>6.7999116011491847E-2</v>
      </c>
      <c r="R43" s="66">
        <f>(Pars!R56+(D_BE_1!R14-Pars!R57)*Pars!R58)/Pars!R59</f>
        <v>6.7999048013327817E-2</v>
      </c>
      <c r="S43" s="66">
        <f>(Pars!S56+(D_BE_1!S14-Pars!S57)*Pars!S58)/Pars!S59</f>
        <v>6.7998980015299776E-2</v>
      </c>
      <c r="T43" s="66">
        <f>(Pars!T56+(D_BE_1!T14-Pars!T57)*Pars!T58)/Pars!T59</f>
        <v>6.7998980015299776E-2</v>
      </c>
      <c r="U43" s="66">
        <f>(Pars!U56+(D_BE_1!U14-Pars!U57)*Pars!U58)/Pars!U59</f>
        <v>6.7998980015299776E-2</v>
      </c>
      <c r="V43" s="66">
        <f>(Pars!V56+(D_BE_1!V14-Pars!V57)*Pars!V58)/Pars!V59</f>
        <v>6.7998980015299776E-2</v>
      </c>
      <c r="W43" s="66">
        <f>(Pars!W56+(D_BE_1!W14-Pars!W57)*Pars!W58)/Pars!W59</f>
        <v>6.7998980015299776E-2</v>
      </c>
      <c r="X43" s="66">
        <f>(Pars!X56+(D_BE_1!X14-Pars!X57)*Pars!X58)/Pars!X59</f>
        <v>6.7998980015299776E-2</v>
      </c>
      <c r="Y43" s="66">
        <f>(Pars!Y56+(D_BE_1!Y14-Pars!Y57)*Pars!Y58)/Pars!Y59</f>
        <v>6.7998980015299776E-2</v>
      </c>
      <c r="Z43" s="66">
        <f>(Pars!Z56+(D_BE_1!Z14-Pars!Z57)*Pars!Z58)/Pars!Z59</f>
        <v>6.7998980015299776E-2</v>
      </c>
      <c r="AA43" s="66">
        <f>(Pars!AA56+(D_BE_1!AA14-Pars!AA57)*Pars!AA58)/Pars!AA59</f>
        <v>6.7998980015299776E-2</v>
      </c>
      <c r="AB43" s="66">
        <f>(Pars!AB56+(D_BE_1!AB14-Pars!AB57)*Pars!AB58)/Pars!AB59</f>
        <v>6.7998980015299776E-2</v>
      </c>
      <c r="AC43" s="66">
        <f>(Pars!AC56+(D_BE_1!AC14-Pars!AC57)*Pars!AC58)/Pars!AC59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123109.60686053336</v>
      </c>
      <c r="E44" s="43">
        <f>Pars!E37*E43*E6</f>
        <v>126757.50359129639</v>
      </c>
      <c r="F44" s="43">
        <f>Pars!F37*F43*F6</f>
        <v>131259.12772174456</v>
      </c>
      <c r="G44" s="43">
        <f>Pars!G37*G43*G6</f>
        <v>133569.35068394794</v>
      </c>
      <c r="H44" s="43">
        <f>Pars!H37*H43*H6</f>
        <v>134647.20746450347</v>
      </c>
      <c r="I44" s="43">
        <f>Pars!I37*I43*I6</f>
        <v>139641.07008264959</v>
      </c>
      <c r="J44" s="43">
        <f>Pars!J37*J43*J6</f>
        <v>146227.83864363481</v>
      </c>
      <c r="K44" s="43">
        <f>Pars!K37*K43*K6</f>
        <v>160120.49795651433</v>
      </c>
      <c r="L44" s="43">
        <f>Pars!L37*L43*L6</f>
        <v>156229.24439537816</v>
      </c>
      <c r="M44" s="43">
        <f>Pars!M37*M43*M6</f>
        <v>164756.72064551417</v>
      </c>
      <c r="N44" s="43">
        <f>Pars!N37*N43*N6</f>
        <v>171716.69000109998</v>
      </c>
      <c r="O44" s="63">
        <f>Pars!O37*O43*O6</f>
        <v>170701.44593209474</v>
      </c>
      <c r="P44" s="63">
        <f>Pars!P37*P43*P6</f>
        <v>160955.17121794538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59092.611293056012</v>
      </c>
      <c r="E45" s="43">
        <f>E44*Pars!E36/100</f>
        <v>60843.60172382227</v>
      </c>
      <c r="F45" s="43">
        <f>F44*Pars!F36/100</f>
        <v>63004.381306437383</v>
      </c>
      <c r="G45" s="43">
        <f>G44*Pars!G36/100</f>
        <v>64113.288328295013</v>
      </c>
      <c r="H45" s="43">
        <f>H44*Pars!H36/100</f>
        <v>64630.659582961671</v>
      </c>
      <c r="I45" s="43">
        <f>I44*Pars!I36/100</f>
        <v>67027.713639671798</v>
      </c>
      <c r="J45" s="43">
        <f>J44*Pars!J36/100</f>
        <v>70189.362548944715</v>
      </c>
      <c r="K45" s="43">
        <f>K44*Pars!K36/100</f>
        <v>76857.83901912687</v>
      </c>
      <c r="L45" s="43">
        <f>L44*Pars!L36/100</f>
        <v>74990.037309781517</v>
      </c>
      <c r="M45" s="43">
        <f>M44*Pars!M36/100</f>
        <v>79083.225909846791</v>
      </c>
      <c r="N45" s="43">
        <f>N44*Pars!N36/100</f>
        <v>82424.011200527995</v>
      </c>
      <c r="O45" s="63">
        <f>O44*Pars!O36/100</f>
        <v>81936.694047405472</v>
      </c>
      <c r="P45" s="63">
        <f>P44*Pars!P36/100</f>
        <v>77258.482184613778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40048.092100000002</v>
      </c>
      <c r="E46" s="43">
        <f>Pars!E40*E15</f>
        <v>36004.411699999997</v>
      </c>
      <c r="F46" s="43">
        <f>Pars!F40*F15</f>
        <v>37458.1</v>
      </c>
      <c r="G46" s="43">
        <f>Pars!G40*G15</f>
        <v>35297.193800000001</v>
      </c>
      <c r="H46" s="43">
        <f>Pars!H40*H15</f>
        <v>32129.629199999999</v>
      </c>
      <c r="I46" s="43">
        <f>Pars!I40*I15</f>
        <v>26955.9254</v>
      </c>
      <c r="J46" s="43">
        <f>Pars!J40*J15</f>
        <v>22016.390800000001</v>
      </c>
      <c r="K46" s="43">
        <f>Pars!K40*K15</f>
        <v>27982.322199999999</v>
      </c>
      <c r="L46" s="43">
        <f>Pars!L40*L15</f>
        <v>23534.677500000002</v>
      </c>
      <c r="M46" s="43">
        <f>Pars!M40*M15</f>
        <v>31645.8141</v>
      </c>
      <c r="N46" s="43">
        <f>Pars!N40*N15</f>
        <v>31963.1986</v>
      </c>
      <c r="O46" s="63">
        <f>Pars!O40*O15</f>
        <v>33264.3629</v>
      </c>
      <c r="P46" s="63">
        <f>Pars!P40*P15</f>
        <v>28413.202499999999</v>
      </c>
      <c r="Q46" s="63">
        <f>Pars!Q40*Q15</f>
        <v>38131</v>
      </c>
      <c r="R46" s="63">
        <f>Pars!R40*R15</f>
        <v>40374</v>
      </c>
      <c r="S46" s="63">
        <f>Pars!S40*S15</f>
        <v>42617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556.33199999999999</v>
      </c>
      <c r="E47" s="43">
        <f>Pars!E41*E16</f>
        <v>690.83440000000007</v>
      </c>
      <c r="F47" s="43">
        <f>Pars!F41*F16</f>
        <v>592</v>
      </c>
      <c r="G47" s="43">
        <f>Pars!G41*G16</f>
        <v>1377.9984000000002</v>
      </c>
      <c r="H47" s="43">
        <f>Pars!H41*H16</f>
        <v>1337.8608000000002</v>
      </c>
      <c r="I47" s="43">
        <f>Pars!I41*I16</f>
        <v>1791.3624</v>
      </c>
      <c r="J47" s="43">
        <f>Pars!J41*J16</f>
        <v>2163.1976</v>
      </c>
      <c r="K47" s="43">
        <f>Pars!K41*K16</f>
        <v>2156.7447999999999</v>
      </c>
      <c r="L47" s="43">
        <f>Pars!L41*L16</f>
        <v>2258.8056000000001</v>
      </c>
      <c r="M47" s="43">
        <f>Pars!M41*M16</f>
        <v>2231.0111999999999</v>
      </c>
      <c r="N47" s="43">
        <f>Pars!N41*N16</f>
        <v>2298.5880000000002</v>
      </c>
      <c r="O47" s="63">
        <f>Pars!O41*O16</f>
        <v>1769.6952000000001</v>
      </c>
      <c r="P47" s="63">
        <f>Pars!P41*P16</f>
        <v>2172.6104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3566.2400000000002</v>
      </c>
      <c r="E48" s="67">
        <f t="array" ref="E48">SUMPRODUCT(E33:E41,Pars!E44:E52)</f>
        <v>2816.45</v>
      </c>
      <c r="F48" s="67">
        <f t="array" ref="F48">SUMPRODUCT(F33:F41,Pars!F44:F52)</f>
        <v>2841.2799999999997</v>
      </c>
      <c r="G48" s="67">
        <f t="array" ref="G48">SUMPRODUCT(G33:G41,Pars!G44:G52)</f>
        <v>3648.97</v>
      </c>
      <c r="H48" s="67">
        <f t="array" ref="H48">SUMPRODUCT(H33:H41,Pars!H44:H52)</f>
        <v>3671.6244999999999</v>
      </c>
      <c r="I48" s="67">
        <f t="array" ref="I48">SUMPRODUCT(I33:I41,Pars!I44:I52)</f>
        <v>6204.58</v>
      </c>
      <c r="J48" s="67">
        <f t="array" ref="J48">SUMPRODUCT(J33:J41,Pars!J44:J52)</f>
        <v>8717.2799999999988</v>
      </c>
      <c r="K48" s="67">
        <f t="array" ref="K48">SUMPRODUCT(K33:K41,Pars!K44:K52)</f>
        <v>9730.3904999999995</v>
      </c>
      <c r="L48" s="67">
        <f t="array" ref="L48">SUMPRODUCT(L33:L41,Pars!L44:L52)</f>
        <v>8214.2199999999993</v>
      </c>
      <c r="M48" s="67">
        <f t="array" ref="M48">SUMPRODUCT(M33:M41,Pars!M44:M52)</f>
        <v>8536</v>
      </c>
      <c r="N48" s="67">
        <f t="array" ref="N48">SUMPRODUCT(N33:N41,Pars!N44:N52)</f>
        <v>8766.3072802197803</v>
      </c>
      <c r="O48" s="67">
        <f t="array" ref="O48">SUMPRODUCT(O33:O41,Pars!O44:O52)</f>
        <v>12179.417032967034</v>
      </c>
      <c r="P48" s="67">
        <f t="array" ref="P48">SUMPRODUCT(P33:P41,Pars!P44:P52)</f>
        <v>8886.5499999999993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44170.664100000002</v>
      </c>
      <c r="E49" s="67">
        <f t="shared" ref="E49:AC49" si="1">SUM(E46:E48)</f>
        <v>39511.696099999994</v>
      </c>
      <c r="F49" s="67">
        <f t="shared" si="1"/>
        <v>40891.379999999997</v>
      </c>
      <c r="G49" s="67">
        <f t="shared" si="1"/>
        <v>40324.162199999999</v>
      </c>
      <c r="H49" s="67">
        <f t="shared" si="1"/>
        <v>37139.114499999996</v>
      </c>
      <c r="I49" s="67">
        <f t="shared" si="1"/>
        <v>34951.8678</v>
      </c>
      <c r="J49" s="67">
        <f t="shared" si="1"/>
        <v>32896.868399999999</v>
      </c>
      <c r="K49" s="67">
        <f t="shared" si="1"/>
        <v>39869.457499999997</v>
      </c>
      <c r="L49" s="67">
        <f t="shared" si="1"/>
        <v>34007.703099999999</v>
      </c>
      <c r="M49" s="67">
        <f t="shared" si="1"/>
        <v>42412.825299999997</v>
      </c>
      <c r="N49" s="67">
        <f t="shared" si="1"/>
        <v>43028.093880219778</v>
      </c>
      <c r="O49" s="67">
        <f t="shared" si="1"/>
        <v>47213.47513296704</v>
      </c>
      <c r="P49" s="67">
        <f t="shared" si="1"/>
        <v>39472.3629</v>
      </c>
      <c r="Q49" s="67">
        <f t="shared" si="1"/>
        <v>38131</v>
      </c>
      <c r="R49" s="67">
        <f t="shared" si="1"/>
        <v>40374</v>
      </c>
      <c r="S49" s="67">
        <f t="shared" si="1"/>
        <v>42617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14921.94719305601</v>
      </c>
      <c r="E50" s="70">
        <f t="shared" ref="E50:AC50" si="2">E45-E49</f>
        <v>21331.905623822277</v>
      </c>
      <c r="F50" s="70">
        <f t="shared" si="2"/>
        <v>22113.001306437385</v>
      </c>
      <c r="G50" s="70">
        <f t="shared" si="2"/>
        <v>23789.126128295014</v>
      </c>
      <c r="H50" s="70">
        <f t="shared" si="2"/>
        <v>27491.545082961675</v>
      </c>
      <c r="I50" s="70">
        <f t="shared" si="2"/>
        <v>32075.845839671798</v>
      </c>
      <c r="J50" s="70">
        <f t="shared" si="2"/>
        <v>37292.494148944716</v>
      </c>
      <c r="K50" s="70">
        <f t="shared" si="2"/>
        <v>36988.381519126873</v>
      </c>
      <c r="L50" s="70">
        <f t="shared" si="2"/>
        <v>40982.334209781518</v>
      </c>
      <c r="M50" s="70">
        <f t="shared" si="2"/>
        <v>36670.400609846794</v>
      </c>
      <c r="N50" s="70">
        <f t="shared" si="2"/>
        <v>39395.917320308217</v>
      </c>
      <c r="O50" s="70">
        <f t="shared" si="2"/>
        <v>34723.218914438432</v>
      </c>
      <c r="P50" s="70">
        <f t="shared" si="2"/>
        <v>37786.119284613778</v>
      </c>
      <c r="Q50" s="70">
        <f t="shared" si="2"/>
        <v>-38131</v>
      </c>
      <c r="R50" s="70">
        <f t="shared" si="2"/>
        <v>-40374</v>
      </c>
      <c r="S50" s="70">
        <f t="shared" si="2"/>
        <v>-42617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14921.94719305601</v>
      </c>
      <c r="E62" s="79">
        <f t="shared" ref="E62:AC62" si="4">E50+E61</f>
        <v>21331.905623822277</v>
      </c>
      <c r="F62" s="79">
        <f t="shared" si="4"/>
        <v>22113.001306437385</v>
      </c>
      <c r="G62" s="79">
        <f t="shared" si="4"/>
        <v>23789.126128295014</v>
      </c>
      <c r="H62" s="79">
        <f t="shared" si="4"/>
        <v>27491.545082961675</v>
      </c>
      <c r="I62" s="79">
        <f t="shared" si="4"/>
        <v>32075.845839671798</v>
      </c>
      <c r="J62" s="79">
        <f t="shared" si="4"/>
        <v>37292.494148944716</v>
      </c>
      <c r="K62" s="79">
        <f t="shared" si="4"/>
        <v>36988.381519126873</v>
      </c>
      <c r="L62" s="79">
        <f t="shared" si="4"/>
        <v>40982.334209781518</v>
      </c>
      <c r="M62" s="79">
        <f t="shared" si="4"/>
        <v>36670.400609846794</v>
      </c>
      <c r="N62" s="79">
        <f t="shared" si="4"/>
        <v>39395.917320308217</v>
      </c>
      <c r="O62" s="79">
        <f t="shared" si="4"/>
        <v>34723.218914438432</v>
      </c>
      <c r="P62" s="79">
        <f t="shared" si="4"/>
        <v>37786.119284613778</v>
      </c>
      <c r="Q62" s="79">
        <f t="shared" si="4"/>
        <v>-38131</v>
      </c>
      <c r="R62" s="79">
        <f t="shared" si="4"/>
        <v>-40374</v>
      </c>
      <c r="S62" s="79">
        <f t="shared" si="4"/>
        <v>-42617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76" priority="5" operator="containsText" text="Nein">
      <formula>NOT(ISERROR(SEARCH("Nein",D22)))</formula>
    </cfRule>
  </conditionalFormatting>
  <conditionalFormatting sqref="D31:AC31">
    <cfRule type="cellIs" dxfId="175" priority="6" operator="equal">
      <formula>"ok"</formula>
    </cfRule>
  </conditionalFormatting>
  <conditionalFormatting sqref="H5:AC12 H14:AC16 H18:AC19 H33:AC41">
    <cfRule type="cellIs" dxfId="174" priority="4" operator="greaterThan">
      <formula>0</formula>
    </cfRule>
  </conditionalFormatting>
  <conditionalFormatting sqref="H6:AC12">
    <cfRule type="expression" dxfId="173" priority="3">
      <formula>NOT(ISBLANK(H6))</formula>
    </cfRule>
  </conditionalFormatting>
  <conditionalFormatting sqref="H18:AC19">
    <cfRule type="expression" dxfId="172" priority="2">
      <formula>NOT(ISBLANK(H18))</formula>
    </cfRule>
  </conditionalFormatting>
  <conditionalFormatting sqref="H56:AC60">
    <cfRule type="cellIs" dxfId="171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DC3E725A-57F6-4CF7-BA33-BA088B880183}">
      <formula1>"Ja, Nein"</formula1>
    </dataValidation>
  </dataValidation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3A348-D6C2-41E5-951D-91588585245F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165</v>
      </c>
      <c r="D1" s="32"/>
      <c r="E1" s="32"/>
    </row>
    <row r="2" spans="1:30" x14ac:dyDescent="0.3">
      <c r="A2" s="30"/>
      <c r="B2" s="31" t="s">
        <v>86</v>
      </c>
      <c r="C2" s="33" t="s">
        <v>166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47497</v>
      </c>
      <c r="E5" s="42">
        <v>47497</v>
      </c>
      <c r="F5" s="42">
        <v>47497</v>
      </c>
      <c r="G5" s="42">
        <v>47497</v>
      </c>
      <c r="H5" s="43">
        <v>47497</v>
      </c>
      <c r="I5" s="43">
        <v>47301</v>
      </c>
      <c r="J5" s="43">
        <v>46912</v>
      </c>
      <c r="K5" s="43">
        <v>46106.504654215387</v>
      </c>
      <c r="L5" s="43">
        <v>46065</v>
      </c>
      <c r="M5" s="43">
        <v>47497</v>
      </c>
      <c r="N5" s="43">
        <v>46677</v>
      </c>
      <c r="O5" s="43">
        <v>47492</v>
      </c>
      <c r="P5" s="43">
        <v>50513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46000</v>
      </c>
      <c r="E6" s="42">
        <v>49060</v>
      </c>
      <c r="F6" s="42">
        <v>46898</v>
      </c>
      <c r="G6" s="42">
        <v>47836</v>
      </c>
      <c r="H6" s="47">
        <v>46879</v>
      </c>
      <c r="I6" s="47">
        <v>45294</v>
      </c>
      <c r="J6" s="47">
        <v>43980</v>
      </c>
      <c r="K6" s="47">
        <v>47470</v>
      </c>
      <c r="L6" s="47">
        <v>47130</v>
      </c>
      <c r="M6" s="47">
        <v>46630</v>
      </c>
      <c r="N6" s="47">
        <v>50285</v>
      </c>
      <c r="O6" s="47">
        <v>47136</v>
      </c>
      <c r="P6" s="47">
        <v>51539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/>
      <c r="E7" s="42"/>
      <c r="F7" s="42"/>
      <c r="G7" s="42"/>
      <c r="H7" s="47">
        <v>3015</v>
      </c>
      <c r="I7" s="47">
        <v>1243</v>
      </c>
      <c r="J7" s="47">
        <v>19</v>
      </c>
      <c r="K7" s="47">
        <v>56</v>
      </c>
      <c r="L7" s="47">
        <v>25</v>
      </c>
      <c r="M7" s="47">
        <v>0</v>
      </c>
      <c r="N7" s="47">
        <v>108</v>
      </c>
      <c r="O7" s="47">
        <v>117</v>
      </c>
      <c r="P7" s="47">
        <v>38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12.16</v>
      </c>
      <c r="E14" s="51">
        <v>12.16</v>
      </c>
      <c r="F14" s="51">
        <v>12.16</v>
      </c>
      <c r="G14" s="51">
        <v>12.16</v>
      </c>
      <c r="H14" s="43">
        <v>12.16</v>
      </c>
      <c r="I14" s="43">
        <v>12.71</v>
      </c>
      <c r="J14" s="43">
        <v>12.52</v>
      </c>
      <c r="K14" s="43">
        <v>12.71</v>
      </c>
      <c r="L14" s="43">
        <v>12.77</v>
      </c>
      <c r="M14" s="43">
        <v>12.58</v>
      </c>
      <c r="N14" s="43">
        <v>12.6</v>
      </c>
      <c r="O14" s="43">
        <v>12.22</v>
      </c>
      <c r="P14" s="43">
        <v>12.5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21000</v>
      </c>
      <c r="E15" s="42">
        <f>13991+7673</f>
        <v>21664</v>
      </c>
      <c r="F15" s="42">
        <f>15402+7035</f>
        <v>22437</v>
      </c>
      <c r="G15" s="42">
        <f>16369+5771</f>
        <v>22140</v>
      </c>
      <c r="H15" s="47">
        <v>22079</v>
      </c>
      <c r="I15" s="47">
        <v>23920</v>
      </c>
      <c r="J15" s="47">
        <v>24584</v>
      </c>
      <c r="K15" s="47">
        <v>25432</v>
      </c>
      <c r="L15" s="47">
        <v>26935</v>
      </c>
      <c r="M15" s="47">
        <f>7532+20386</f>
        <v>27918</v>
      </c>
      <c r="N15" s="47">
        <v>28951</v>
      </c>
      <c r="O15" s="47">
        <v>33569</v>
      </c>
      <c r="P15" s="47">
        <f>7093+22092</f>
        <v>29185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15000</v>
      </c>
      <c r="E16" s="42">
        <f>3606+14155</f>
        <v>17761</v>
      </c>
      <c r="F16" s="42">
        <f>3876+13093</f>
        <v>16969</v>
      </c>
      <c r="G16" s="42">
        <f>4067+10683</f>
        <v>14750</v>
      </c>
      <c r="H16" s="47">
        <v>14326</v>
      </c>
      <c r="I16" s="47">
        <v>15629</v>
      </c>
      <c r="J16" s="47">
        <v>14583</v>
      </c>
      <c r="K16" s="47">
        <v>15438</v>
      </c>
      <c r="L16" s="47">
        <v>14929</v>
      </c>
      <c r="M16" s="47">
        <v>14236</v>
      </c>
      <c r="N16" s="47">
        <v>15507</v>
      </c>
      <c r="O16" s="47">
        <v>14453</v>
      </c>
      <c r="P16" s="47">
        <v>22776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9065</v>
      </c>
      <c r="E18" s="42">
        <v>9207</v>
      </c>
      <c r="F18" s="42">
        <v>8981</v>
      </c>
      <c r="G18" s="42">
        <v>9034</v>
      </c>
      <c r="H18" s="43">
        <v>8594</v>
      </c>
      <c r="I18" s="43">
        <v>8463</v>
      </c>
      <c r="J18" s="43">
        <v>8268</v>
      </c>
      <c r="K18" s="43">
        <v>8490</v>
      </c>
      <c r="L18" s="43">
        <v>8496</v>
      </c>
      <c r="M18" s="43">
        <v>7972</v>
      </c>
      <c r="N18" s="43">
        <v>9100</v>
      </c>
      <c r="O18" s="43">
        <v>8626</v>
      </c>
      <c r="P18" s="43">
        <v>9284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1745</v>
      </c>
      <c r="E19" s="42">
        <v>1083</v>
      </c>
      <c r="F19" s="42">
        <v>1414</v>
      </c>
      <c r="G19" s="42">
        <v>1623</v>
      </c>
      <c r="H19" s="47">
        <v>1478</v>
      </c>
      <c r="I19" s="47">
        <v>1485</v>
      </c>
      <c r="J19" s="47">
        <v>1159</v>
      </c>
      <c r="K19" s="47">
        <v>1240</v>
      </c>
      <c r="L19" s="47">
        <v>1290</v>
      </c>
      <c r="M19" s="47">
        <v>1251</v>
      </c>
      <c r="N19" s="47">
        <v>1200</v>
      </c>
      <c r="O19" s="47">
        <v>1125</v>
      </c>
      <c r="P19" s="47">
        <v>1134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112</v>
      </c>
      <c r="E22" s="59" t="s">
        <v>112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112</v>
      </c>
      <c r="G23" s="59" t="s">
        <v>112</v>
      </c>
      <c r="H23" s="59" t="s">
        <v>112</v>
      </c>
      <c r="I23" s="59" t="s">
        <v>112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112</v>
      </c>
      <c r="K24" s="59" t="s">
        <v>112</v>
      </c>
      <c r="L24" s="59" t="s">
        <v>112</v>
      </c>
      <c r="M24" s="59" t="s">
        <v>112</v>
      </c>
      <c r="N24" s="59" t="s">
        <v>112</v>
      </c>
      <c r="O24" s="59" t="s">
        <v>112</v>
      </c>
      <c r="P24" s="59" t="s">
        <v>112</v>
      </c>
      <c r="Q24" s="59" t="s">
        <v>112</v>
      </c>
      <c r="R24" s="59" t="s">
        <v>112</v>
      </c>
      <c r="S24" s="59" t="s">
        <v>112</v>
      </c>
      <c r="T24" s="59" t="s">
        <v>112</v>
      </c>
      <c r="U24" s="59" t="s">
        <v>112</v>
      </c>
      <c r="V24" s="59" t="s">
        <v>112</v>
      </c>
      <c r="W24" s="59" t="s">
        <v>112</v>
      </c>
      <c r="X24" s="59" t="s">
        <v>112</v>
      </c>
      <c r="Y24" s="59" t="s">
        <v>112</v>
      </c>
      <c r="Z24" s="59" t="s">
        <v>112</v>
      </c>
      <c r="AA24" s="59" t="s">
        <v>112</v>
      </c>
      <c r="AB24" s="59" t="s">
        <v>112</v>
      </c>
      <c r="AC24" s="59" t="s">
        <v>112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371</v>
      </c>
      <c r="E33" s="47">
        <v>377</v>
      </c>
      <c r="F33" s="47">
        <v>282</v>
      </c>
      <c r="G33" s="47">
        <v>284</v>
      </c>
      <c r="H33" s="43">
        <v>270</v>
      </c>
      <c r="I33" s="43">
        <v>313</v>
      </c>
      <c r="J33" s="43">
        <v>306</v>
      </c>
      <c r="K33" s="43">
        <v>314</v>
      </c>
      <c r="L33" s="43">
        <v>298</v>
      </c>
      <c r="M33" s="43">
        <v>287</v>
      </c>
      <c r="N33" s="43">
        <v>282</v>
      </c>
      <c r="O33" s="63">
        <v>306</v>
      </c>
      <c r="P33" s="63">
        <v>338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118</v>
      </c>
      <c r="K34" s="47">
        <v>121</v>
      </c>
      <c r="L34" s="47">
        <v>110</v>
      </c>
      <c r="M34" s="47">
        <v>107</v>
      </c>
      <c r="N34" s="47">
        <v>125</v>
      </c>
      <c r="O34" s="64">
        <v>124</v>
      </c>
      <c r="P34" s="64">
        <v>176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64">
        <v>14</v>
      </c>
      <c r="P37" s="64">
        <v>31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/>
      <c r="E41" s="47"/>
      <c r="F41" s="47">
        <v>106</v>
      </c>
      <c r="G41" s="47">
        <v>107</v>
      </c>
      <c r="H41" s="47">
        <v>102</v>
      </c>
      <c r="I41" s="47">
        <v>186</v>
      </c>
      <c r="J41" s="47">
        <v>64</v>
      </c>
      <c r="K41" s="47">
        <v>65</v>
      </c>
      <c r="L41" s="47">
        <v>58</v>
      </c>
      <c r="M41" s="47">
        <v>58</v>
      </c>
      <c r="N41" s="47">
        <v>67</v>
      </c>
      <c r="O41" s="64">
        <v>67</v>
      </c>
      <c r="P41" s="64">
        <v>95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(Pars!D56+(D_BE_2!D14-Pars!D57)*Pars!D58)/Pars!D59</f>
        <v>0.306336</v>
      </c>
      <c r="E43" s="66">
        <f>(Pars!E56+(D_BE_2!E14-Pars!E57)*Pars!E58)/Pars!E59</f>
        <v>0.30633569366430635</v>
      </c>
      <c r="F43" s="66">
        <f>(Pars!F56+(D_BE_2!F14-Pars!F57)*Pars!F58)/Pars!F59</f>
        <v>0.30633538732922533</v>
      </c>
      <c r="G43" s="66">
        <f>(Pars!G56+(D_BE_2!G14-Pars!G57)*Pars!G58)/Pars!G59</f>
        <v>0.30633508099475704</v>
      </c>
      <c r="H43" s="66">
        <f>(Pars!H56+(D_BE_2!H14-Pars!H57)*Pars!H58)/Pars!H59</f>
        <v>0.30633477466090137</v>
      </c>
      <c r="I43" s="66">
        <f>(Pars!I56+(D_BE_2!I14-Pars!I57)*Pars!I58)/Pars!I59</f>
        <v>0.31711441442792787</v>
      </c>
      <c r="J43" s="66">
        <f>(Pars!J56+(D_BE_2!J14-Pars!J57)*Pars!J58)/Pars!J59</f>
        <v>0.31339011965928204</v>
      </c>
      <c r="K43" s="66">
        <f>(Pars!K56+(D_BE_2!K14-Pars!K57)*Pars!K58)/Pars!K59</f>
        <v>0.31711378020353859</v>
      </c>
      <c r="L43" s="66">
        <f>(Pars!L56+(D_BE_2!L14-Pars!L57)*Pars!L58)/Pars!L59</f>
        <v>0.3182894536843705</v>
      </c>
      <c r="M43" s="66">
        <f>(Pars!M56+(D_BE_2!M14-Pars!M57)*Pars!M58)/Pars!M59</f>
        <v>0.3145651689134798</v>
      </c>
      <c r="N43" s="66">
        <f>(Pars!N56+(D_BE_2!N14-Pars!N57)*Pars!N58)/Pars!N59</f>
        <v>0.31495685043149568</v>
      </c>
      <c r="O43" s="66">
        <f>(Pars!O56+(D_BE_2!O14-Pars!O57)*Pars!O58)/Pars!O59</f>
        <v>0.30750861740520852</v>
      </c>
      <c r="P43" s="66">
        <f>(Pars!P56+(D_BE_2!P14-Pars!P57)*Pars!P58)/Pars!P59</f>
        <v>0.31299624404507148</v>
      </c>
      <c r="Q43" s="66">
        <f>(Pars!Q56+(D_BE_2!Q14-Pars!Q57)*Pars!Q58)/Pars!Q59</f>
        <v>6.7999116011491847E-2</v>
      </c>
      <c r="R43" s="66">
        <f>(Pars!R56+(D_BE_2!R14-Pars!R57)*Pars!R58)/Pars!R59</f>
        <v>6.7999048013327817E-2</v>
      </c>
      <c r="S43" s="66">
        <f>(Pars!S56+(D_BE_2!S14-Pars!S57)*Pars!S58)/Pars!S59</f>
        <v>6.7998980015299776E-2</v>
      </c>
      <c r="T43" s="66">
        <f>(Pars!T56+(D_BE_2!T14-Pars!T57)*Pars!T58)/Pars!T59</f>
        <v>6.7998980015299776E-2</v>
      </c>
      <c r="U43" s="66">
        <f>(Pars!U56+(D_BE_2!U14-Pars!U57)*Pars!U58)/Pars!U59</f>
        <v>6.7998980015299776E-2</v>
      </c>
      <c r="V43" s="66">
        <f>(Pars!V56+(D_BE_2!V14-Pars!V57)*Pars!V58)/Pars!V59</f>
        <v>6.7998980015299776E-2</v>
      </c>
      <c r="W43" s="66">
        <f>(Pars!W56+(D_BE_2!W14-Pars!W57)*Pars!W58)/Pars!W59</f>
        <v>6.7998980015299776E-2</v>
      </c>
      <c r="X43" s="66">
        <f>(Pars!X56+(D_BE_2!X14-Pars!X57)*Pars!X58)/Pars!X59</f>
        <v>6.7998980015299776E-2</v>
      </c>
      <c r="Y43" s="66">
        <f>(Pars!Y56+(D_BE_2!Y14-Pars!Y57)*Pars!Y58)/Pars!Y59</f>
        <v>6.7998980015299776E-2</v>
      </c>
      <c r="Z43" s="66">
        <f>(Pars!Z56+(D_BE_2!Z14-Pars!Z57)*Pars!Z58)/Pars!Z59</f>
        <v>6.7998980015299776E-2</v>
      </c>
      <c r="AA43" s="66">
        <f>(Pars!AA56+(D_BE_2!AA14-Pars!AA57)*Pars!AA58)/Pars!AA59</f>
        <v>6.7998980015299776E-2</v>
      </c>
      <c r="AB43" s="66">
        <f>(Pars!AB56+(D_BE_2!AB14-Pars!AB57)*Pars!AB58)/Pars!AB59</f>
        <v>6.7998980015299776E-2</v>
      </c>
      <c r="AC43" s="66">
        <f>(Pars!AC56+(D_BE_2!AC14-Pars!AC57)*Pars!AC58)/Pars!AC59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51668.671999999999</v>
      </c>
      <c r="E44" s="43">
        <f>Pars!E37*E43*E6</f>
        <v>55105.706814293189</v>
      </c>
      <c r="F44" s="43">
        <f>Pars!F37*F43*F6</f>
        <v>52677.228981542037</v>
      </c>
      <c r="G44" s="43">
        <f>Pars!G37*G43*G6</f>
        <v>53730.764759705722</v>
      </c>
      <c r="H44" s="43">
        <f>Pars!H37*H43*H6</f>
        <v>52655.78230487078</v>
      </c>
      <c r="I44" s="43">
        <f>Pars!I37*I43*I6</f>
        <v>52665.727719361399</v>
      </c>
      <c r="J44" s="43">
        <f>Pars!J37*J43*J6</f>
        <v>50537.290696255826</v>
      </c>
      <c r="K44" s="43">
        <f>Pars!K37*K43*K6</f>
        <v>55195.767536293912</v>
      </c>
      <c r="L44" s="43">
        <f>Pars!L37*L43*L6</f>
        <v>55003.600491196063</v>
      </c>
      <c r="M44" s="43">
        <f>Pars!M37*M43*M6</f>
        <v>53783.304030263731</v>
      </c>
      <c r="N44" s="43">
        <f>Pars!N37*N43*N6</f>
        <v>58071.219154475119</v>
      </c>
      <c r="O44" s="63">
        <f>Pars!O37*O43*O6</f>
        <v>53147.329363376994</v>
      </c>
      <c r="P44" s="63">
        <f>Pars!P37*P43*P6</f>
        <v>59148.882546742774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24800.96256</v>
      </c>
      <c r="E45" s="43">
        <f>E44*Pars!E36/100</f>
        <v>26450.739270860729</v>
      </c>
      <c r="F45" s="43">
        <f>F44*Pars!F36/100</f>
        <v>25285.069911140177</v>
      </c>
      <c r="G45" s="43">
        <f>G44*Pars!G36/100</f>
        <v>25790.767084658746</v>
      </c>
      <c r="H45" s="43">
        <f>H44*Pars!H36/100</f>
        <v>25274.775506337974</v>
      </c>
      <c r="I45" s="43">
        <f>I44*Pars!I36/100</f>
        <v>25279.549305293473</v>
      </c>
      <c r="J45" s="43">
        <f>J44*Pars!J36/100</f>
        <v>24257.899534202796</v>
      </c>
      <c r="K45" s="43">
        <f>K44*Pars!K36/100</f>
        <v>26493.968417421078</v>
      </c>
      <c r="L45" s="43">
        <f>L44*Pars!L36/100</f>
        <v>26401.72823577411</v>
      </c>
      <c r="M45" s="43">
        <f>M44*Pars!M36/100</f>
        <v>25815.98593452659</v>
      </c>
      <c r="N45" s="43">
        <f>N44*Pars!N36/100</f>
        <v>27874.185194148056</v>
      </c>
      <c r="O45" s="63">
        <f>O44*Pars!O36/100</f>
        <v>25510.718094420954</v>
      </c>
      <c r="P45" s="63">
        <f>P44*Pars!P36/100</f>
        <v>28391.463622436531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4710.3</v>
      </c>
      <c r="E46" s="43">
        <f>Pars!E40*E15</f>
        <v>4859.2352000000001</v>
      </c>
      <c r="F46" s="43">
        <f>Pars!F40*F15</f>
        <v>5032.6190999999999</v>
      </c>
      <c r="G46" s="43">
        <f>Pars!G40*G15</f>
        <v>4966.0020000000004</v>
      </c>
      <c r="H46" s="43">
        <f>Pars!H40*H15</f>
        <v>4952.3197</v>
      </c>
      <c r="I46" s="43">
        <f>Pars!I40*I15</f>
        <v>5365.2560000000003</v>
      </c>
      <c r="J46" s="43">
        <f>Pars!J40*J15</f>
        <v>5514.1912000000002</v>
      </c>
      <c r="K46" s="43">
        <f>Pars!K40*K15</f>
        <v>5704.3976000000002</v>
      </c>
      <c r="L46" s="43">
        <f>Pars!L40*L15</f>
        <v>6041.5204999999996</v>
      </c>
      <c r="M46" s="43">
        <f>Pars!M40*M15</f>
        <v>6262.0074000000004</v>
      </c>
      <c r="N46" s="43">
        <f>Pars!N40*N15</f>
        <v>6493.7092999999995</v>
      </c>
      <c r="O46" s="63">
        <f>Pars!O40*O15</f>
        <v>7529.5267000000003</v>
      </c>
      <c r="P46" s="63">
        <f>Pars!P40*P15</f>
        <v>6546.1954999999998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444</v>
      </c>
      <c r="E47" s="43">
        <f>Pars!E41*E16</f>
        <v>525.72559999999999</v>
      </c>
      <c r="F47" s="43">
        <f>Pars!F41*F16</f>
        <v>502.2824</v>
      </c>
      <c r="G47" s="43">
        <f>Pars!G41*G16</f>
        <v>436.6</v>
      </c>
      <c r="H47" s="43">
        <f>Pars!H41*H16</f>
        <v>424.0496</v>
      </c>
      <c r="I47" s="43">
        <f>Pars!I41*I16</f>
        <v>462.61840000000001</v>
      </c>
      <c r="J47" s="43">
        <f>Pars!J41*J16</f>
        <v>431.65680000000003</v>
      </c>
      <c r="K47" s="43">
        <f>Pars!K41*K16</f>
        <v>456.96480000000003</v>
      </c>
      <c r="L47" s="43">
        <f>Pars!L41*L16</f>
        <v>441.89840000000004</v>
      </c>
      <c r="M47" s="43">
        <f>Pars!M41*M16</f>
        <v>421.38560000000001</v>
      </c>
      <c r="N47" s="43">
        <f>Pars!N41*N16</f>
        <v>459.00720000000001</v>
      </c>
      <c r="O47" s="63">
        <f>Pars!O41*O16</f>
        <v>427.80880000000002</v>
      </c>
      <c r="P47" s="63">
        <f>Pars!P41*P16</f>
        <v>674.16960000000006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560.21</v>
      </c>
      <c r="E48" s="67">
        <f t="array" ref="E48">SUMPRODUCT(E33:E41,Pars!E44:E52)</f>
        <v>569.27</v>
      </c>
      <c r="F48" s="67">
        <f t="array" ref="F48">SUMPRODUCT(F33:F41,Pars!F44:F52)</f>
        <v>955.81999999999994</v>
      </c>
      <c r="G48" s="67">
        <f t="array" ref="G48">SUMPRODUCT(G33:G41,Pars!G44:G52)</f>
        <v>963.83999999999992</v>
      </c>
      <c r="H48" s="67">
        <f t="array" ref="H48">SUMPRODUCT(H33:H41,Pars!H44:H52)</f>
        <v>917.7</v>
      </c>
      <c r="I48" s="67">
        <f t="array" ref="I48">SUMPRODUCT(I33:I41,Pars!I44:I52)</f>
        <v>1402.63</v>
      </c>
      <c r="J48" s="67">
        <f t="array" ref="J48">SUMPRODUCT(J33:J41,Pars!J44:J52)</f>
        <v>1807.4799999999998</v>
      </c>
      <c r="K48" s="67">
        <f t="array" ref="K48">SUMPRODUCT(K33:K41,Pars!K44:K52)</f>
        <v>1850.63</v>
      </c>
      <c r="L48" s="67">
        <f t="array" ref="L48">SUMPRODUCT(L33:L41,Pars!L44:L52)</f>
        <v>1695.88</v>
      </c>
      <c r="M48" s="67">
        <f t="array" ref="M48">SUMPRODUCT(M33:M41,Pars!M44:M52)</f>
        <v>1653.1999999999998</v>
      </c>
      <c r="N48" s="67">
        <f t="array" ref="N48">SUMPRODUCT(N33:N41,Pars!N44:N52)</f>
        <v>1847.07</v>
      </c>
      <c r="O48" s="67">
        <f t="array" ref="O48">SUMPRODUCT(O33:O41,Pars!O44:O52)</f>
        <v>1908.78</v>
      </c>
      <c r="P48" s="67">
        <f t="array" ref="P48">SUMPRODUCT(P33:P41,Pars!P44:P52)</f>
        <v>2590.4599999999996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5714.51</v>
      </c>
      <c r="E49" s="67">
        <f t="shared" ref="E49:AC49" si="1">SUM(E46:E48)</f>
        <v>5954.2307999999994</v>
      </c>
      <c r="F49" s="67">
        <f t="shared" si="1"/>
        <v>6490.7214999999997</v>
      </c>
      <c r="G49" s="67">
        <f t="shared" si="1"/>
        <v>6366.4420000000009</v>
      </c>
      <c r="H49" s="67">
        <f t="shared" si="1"/>
        <v>6294.0693000000001</v>
      </c>
      <c r="I49" s="67">
        <f t="shared" si="1"/>
        <v>7230.5044000000007</v>
      </c>
      <c r="J49" s="67">
        <f t="shared" si="1"/>
        <v>7753.3279999999995</v>
      </c>
      <c r="K49" s="67">
        <f t="shared" si="1"/>
        <v>8011.9924000000001</v>
      </c>
      <c r="L49" s="67">
        <f t="shared" si="1"/>
        <v>8179.2988999999998</v>
      </c>
      <c r="M49" s="67">
        <f t="shared" si="1"/>
        <v>8336.5930000000008</v>
      </c>
      <c r="N49" s="67">
        <f t="shared" si="1"/>
        <v>8799.7865000000002</v>
      </c>
      <c r="O49" s="67">
        <f t="shared" si="1"/>
        <v>9866.1154999999999</v>
      </c>
      <c r="P49" s="67">
        <f t="shared" si="1"/>
        <v>9810.8251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19086.452559999998</v>
      </c>
      <c r="E50" s="70">
        <f t="shared" ref="E50:AC50" si="2">E45-E49</f>
        <v>20496.508470860732</v>
      </c>
      <c r="F50" s="70">
        <f t="shared" si="2"/>
        <v>18794.348411140178</v>
      </c>
      <c r="G50" s="70">
        <f t="shared" si="2"/>
        <v>19424.325084658747</v>
      </c>
      <c r="H50" s="70">
        <f t="shared" si="2"/>
        <v>18980.706206337974</v>
      </c>
      <c r="I50" s="70">
        <f t="shared" si="2"/>
        <v>18049.044905293471</v>
      </c>
      <c r="J50" s="70">
        <f t="shared" si="2"/>
        <v>16504.571534202798</v>
      </c>
      <c r="K50" s="70">
        <f t="shared" si="2"/>
        <v>18481.976017421079</v>
      </c>
      <c r="L50" s="70">
        <f t="shared" si="2"/>
        <v>18222.429335774112</v>
      </c>
      <c r="M50" s="70">
        <f t="shared" si="2"/>
        <v>17479.39293452659</v>
      </c>
      <c r="N50" s="70">
        <f t="shared" si="2"/>
        <v>19074.398694148054</v>
      </c>
      <c r="O50" s="70">
        <f t="shared" si="2"/>
        <v>15644.602594420954</v>
      </c>
      <c r="P50" s="70">
        <f t="shared" si="2"/>
        <v>18580.638522436529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19086.452559999998</v>
      </c>
      <c r="E62" s="79">
        <f t="shared" ref="E62:AC62" si="4">E50+E61</f>
        <v>20496.508470860732</v>
      </c>
      <c r="F62" s="79">
        <f t="shared" si="4"/>
        <v>18794.348411140178</v>
      </c>
      <c r="G62" s="79">
        <f t="shared" si="4"/>
        <v>19424.325084658747</v>
      </c>
      <c r="H62" s="79">
        <f t="shared" si="4"/>
        <v>18980.706206337974</v>
      </c>
      <c r="I62" s="79">
        <f t="shared" si="4"/>
        <v>18049.044905293471</v>
      </c>
      <c r="J62" s="79">
        <f t="shared" si="4"/>
        <v>16504.571534202798</v>
      </c>
      <c r="K62" s="79">
        <f t="shared" si="4"/>
        <v>18481.976017421079</v>
      </c>
      <c r="L62" s="79">
        <f t="shared" si="4"/>
        <v>18222.429335774112</v>
      </c>
      <c r="M62" s="79">
        <f t="shared" si="4"/>
        <v>17479.39293452659</v>
      </c>
      <c r="N62" s="79">
        <f t="shared" si="4"/>
        <v>19074.398694148054</v>
      </c>
      <c r="O62" s="79">
        <f t="shared" si="4"/>
        <v>15644.602594420954</v>
      </c>
      <c r="P62" s="79">
        <f t="shared" si="4"/>
        <v>18580.638522436529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70" priority="5" operator="containsText" text="Nein">
      <formula>NOT(ISERROR(SEARCH("Nein",D22)))</formula>
    </cfRule>
  </conditionalFormatting>
  <conditionalFormatting sqref="D31:AC31">
    <cfRule type="cellIs" dxfId="169" priority="6" operator="equal">
      <formula>"ok"</formula>
    </cfRule>
  </conditionalFormatting>
  <conditionalFormatting sqref="H5:AC12 H14:AC16 H18:AC19 H33:AC41">
    <cfRule type="cellIs" dxfId="168" priority="4" operator="greaterThan">
      <formula>0</formula>
    </cfRule>
  </conditionalFormatting>
  <conditionalFormatting sqref="H6:AC12">
    <cfRule type="expression" dxfId="167" priority="3">
      <formula>NOT(ISBLANK(H6))</formula>
    </cfRule>
  </conditionalFormatting>
  <conditionalFormatting sqref="H18:AC19">
    <cfRule type="expression" dxfId="166" priority="2">
      <formula>NOT(ISBLANK(H18))</formula>
    </cfRule>
  </conditionalFormatting>
  <conditionalFormatting sqref="H56:AC60">
    <cfRule type="cellIs" dxfId="165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16D43C01-3646-4945-97C8-A8600CDEE6CB}">
      <formula1>"Ja, Nein"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907C4-0074-40A7-8D16-2CCAFA198443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167</v>
      </c>
      <c r="D1" s="32"/>
      <c r="E1" s="32"/>
    </row>
    <row r="2" spans="1:30" x14ac:dyDescent="0.3">
      <c r="A2" s="30"/>
      <c r="B2" s="31" t="s">
        <v>86</v>
      </c>
      <c r="C2" s="33" t="s">
        <v>168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138215</v>
      </c>
      <c r="E5" s="42">
        <v>138215</v>
      </c>
      <c r="F5" s="42">
        <v>138215</v>
      </c>
      <c r="G5" s="42">
        <v>138215</v>
      </c>
      <c r="H5" s="43">
        <v>138215</v>
      </c>
      <c r="I5" s="43">
        <v>139943</v>
      </c>
      <c r="J5" s="43">
        <v>139605</v>
      </c>
      <c r="K5" s="43">
        <v>137978.74872752337</v>
      </c>
      <c r="L5" s="43">
        <v>138596</v>
      </c>
      <c r="M5" s="43">
        <v>139502</v>
      </c>
      <c r="N5" s="43">
        <v>139623</v>
      </c>
      <c r="O5" s="82">
        <v>137852</v>
      </c>
      <c r="P5" s="43">
        <v>141293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132277</v>
      </c>
      <c r="E6" s="42">
        <v>133423</v>
      </c>
      <c r="F6" s="42">
        <v>138327</v>
      </c>
      <c r="G6" s="42">
        <v>143570</v>
      </c>
      <c r="H6" s="47">
        <v>147525</v>
      </c>
      <c r="I6" s="47">
        <v>146350</v>
      </c>
      <c r="J6" s="47">
        <v>145877</v>
      </c>
      <c r="K6" s="47">
        <v>145017.52899999998</v>
      </c>
      <c r="L6" s="47">
        <v>157256</v>
      </c>
      <c r="M6" s="47">
        <v>149566</v>
      </c>
      <c r="N6" s="47">
        <v>147149</v>
      </c>
      <c r="O6" s="83">
        <v>151667</v>
      </c>
      <c r="P6" s="47">
        <v>145965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16165</v>
      </c>
      <c r="E7" s="42">
        <v>17648</v>
      </c>
      <c r="F7" s="42">
        <v>18578</v>
      </c>
      <c r="G7" s="42">
        <v>18081</v>
      </c>
      <c r="H7" s="47">
        <v>17385</v>
      </c>
      <c r="I7" s="47">
        <v>17058</v>
      </c>
      <c r="J7" s="47">
        <v>17217</v>
      </c>
      <c r="K7" s="47">
        <v>16679.2</v>
      </c>
      <c r="L7" s="47">
        <v>17898</v>
      </c>
      <c r="M7" s="47">
        <v>16867</v>
      </c>
      <c r="N7" s="47">
        <v>16567</v>
      </c>
      <c r="O7" s="83">
        <v>16632</v>
      </c>
      <c r="P7" s="47">
        <v>16031</v>
      </c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>
        <v>0</v>
      </c>
      <c r="E8" s="42">
        <v>75</v>
      </c>
      <c r="F8" s="42"/>
      <c r="G8" s="42"/>
      <c r="H8" s="47"/>
      <c r="I8" s="47"/>
      <c r="J8" s="47"/>
      <c r="K8" s="47">
        <v>201.28</v>
      </c>
      <c r="L8" s="47">
        <v>744</v>
      </c>
      <c r="M8" s="47">
        <v>648</v>
      </c>
      <c r="N8" s="47"/>
      <c r="O8" s="83">
        <v>347</v>
      </c>
      <c r="P8" s="47">
        <v>93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83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83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83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83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10.526999999999999</v>
      </c>
      <c r="E14" s="51">
        <v>10.359</v>
      </c>
      <c r="F14" s="51">
        <v>10.045</v>
      </c>
      <c r="G14" s="51">
        <v>9.6</v>
      </c>
      <c r="H14" s="43">
        <v>9.3699999999999992</v>
      </c>
      <c r="I14" s="43">
        <v>9.59</v>
      </c>
      <c r="J14" s="43">
        <v>9.66</v>
      </c>
      <c r="K14" s="43">
        <v>9.69</v>
      </c>
      <c r="L14" s="43">
        <v>9.5</v>
      </c>
      <c r="M14" s="43">
        <v>9.4700000000000006</v>
      </c>
      <c r="N14" s="43">
        <v>9.77</v>
      </c>
      <c r="O14" s="43">
        <v>9.93</v>
      </c>
      <c r="P14" s="43">
        <v>9.69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60179</v>
      </c>
      <c r="E15" s="42">
        <v>52878</v>
      </c>
      <c r="F15" s="42">
        <v>58495</v>
      </c>
      <c r="G15" s="42">
        <v>59243</v>
      </c>
      <c r="H15" s="47">
        <v>55509</v>
      </c>
      <c r="I15" s="47">
        <v>57777</v>
      </c>
      <c r="J15" s="47">
        <v>58128</v>
      </c>
      <c r="K15" s="47">
        <v>64545</v>
      </c>
      <c r="L15" s="47">
        <v>67489</v>
      </c>
      <c r="M15" s="47">
        <f>62238+4221</f>
        <v>66459</v>
      </c>
      <c r="N15" s="47">
        <v>67252</v>
      </c>
      <c r="O15" s="47">
        <v>73998</v>
      </c>
      <c r="P15" s="47">
        <f>4277+68152</f>
        <v>72429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70199</v>
      </c>
      <c r="E16" s="42">
        <v>69391</v>
      </c>
      <c r="F16" s="42">
        <v>67576</v>
      </c>
      <c r="G16" s="42">
        <v>72534</v>
      </c>
      <c r="H16" s="47">
        <v>73262</v>
      </c>
      <c r="I16" s="47">
        <v>71084</v>
      </c>
      <c r="J16" s="47">
        <v>73291</v>
      </c>
      <c r="K16" s="47">
        <v>64382</v>
      </c>
      <c r="L16" s="47">
        <v>75287</v>
      </c>
      <c r="M16" s="47">
        <v>73001</v>
      </c>
      <c r="N16" s="47">
        <v>73104</v>
      </c>
      <c r="O16" s="47">
        <v>74106</v>
      </c>
      <c r="P16" s="47">
        <v>70349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28460</v>
      </c>
      <c r="E18" s="42">
        <v>29357</v>
      </c>
      <c r="F18" s="42">
        <v>28872</v>
      </c>
      <c r="G18" s="42">
        <v>29240</v>
      </c>
      <c r="H18" s="43">
        <v>29161</v>
      </c>
      <c r="I18" s="43">
        <v>28891</v>
      </c>
      <c r="J18" s="43">
        <v>29186</v>
      </c>
      <c r="K18" s="43">
        <v>29008.94</v>
      </c>
      <c r="L18" s="43">
        <v>33305</v>
      </c>
      <c r="M18" s="43">
        <v>28737</v>
      </c>
      <c r="N18" s="43">
        <v>30414</v>
      </c>
      <c r="O18" s="43">
        <v>31112</v>
      </c>
      <c r="P18" s="43">
        <v>30624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2494</v>
      </c>
      <c r="E19" s="42">
        <v>2424</v>
      </c>
      <c r="F19" s="42">
        <v>2604</v>
      </c>
      <c r="G19" s="42">
        <v>3535</v>
      </c>
      <c r="H19" s="47">
        <v>4047</v>
      </c>
      <c r="I19" s="47">
        <v>2820</v>
      </c>
      <c r="J19" s="47">
        <v>2884</v>
      </c>
      <c r="K19" s="47">
        <v>2952.52</v>
      </c>
      <c r="L19" s="47">
        <v>3453</v>
      </c>
      <c r="M19" s="47">
        <v>3240</v>
      </c>
      <c r="N19" s="47">
        <v>3139</v>
      </c>
      <c r="O19" s="47">
        <v>3305</v>
      </c>
      <c r="P19" s="47">
        <v>3212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113</v>
      </c>
      <c r="G23" s="59" t="s">
        <v>113</v>
      </c>
      <c r="H23" s="59" t="s">
        <v>113</v>
      </c>
      <c r="I23" s="59" t="s">
        <v>113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112</v>
      </c>
      <c r="E25" s="59" t="s">
        <v>112</v>
      </c>
      <c r="F25" s="59" t="s">
        <v>112</v>
      </c>
      <c r="G25" s="59" t="s">
        <v>112</v>
      </c>
      <c r="H25" s="59" t="s">
        <v>112</v>
      </c>
      <c r="I25" s="59" t="s">
        <v>112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112</v>
      </c>
      <c r="K26" s="59" t="s">
        <v>112</v>
      </c>
      <c r="L26" s="59" t="s">
        <v>112</v>
      </c>
      <c r="M26" s="59" t="s">
        <v>112</v>
      </c>
      <c r="N26" s="59" t="s">
        <v>112</v>
      </c>
      <c r="O26" s="59" t="s">
        <v>112</v>
      </c>
      <c r="P26" s="59" t="s">
        <v>112</v>
      </c>
      <c r="Q26" s="59" t="s">
        <v>112</v>
      </c>
      <c r="R26" s="59" t="s">
        <v>112</v>
      </c>
      <c r="S26" s="59" t="s">
        <v>112</v>
      </c>
      <c r="T26" s="59" t="s">
        <v>112</v>
      </c>
      <c r="U26" s="59" t="s">
        <v>112</v>
      </c>
      <c r="V26" s="59" t="s">
        <v>112</v>
      </c>
      <c r="W26" s="59" t="s">
        <v>112</v>
      </c>
      <c r="X26" s="59" t="s">
        <v>112</v>
      </c>
      <c r="Y26" s="59" t="s">
        <v>112</v>
      </c>
      <c r="Z26" s="59" t="s">
        <v>112</v>
      </c>
      <c r="AA26" s="59" t="s">
        <v>112</v>
      </c>
      <c r="AB26" s="59" t="s">
        <v>112</v>
      </c>
      <c r="AC26" s="59" t="s">
        <v>112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1793</v>
      </c>
      <c r="E33" s="47">
        <v>1603.2327412000002</v>
      </c>
      <c r="F33" s="47">
        <v>1739</v>
      </c>
      <c r="G33" s="47">
        <v>2235</v>
      </c>
      <c r="H33" s="43">
        <v>2285</v>
      </c>
      <c r="I33" s="43">
        <v>2255</v>
      </c>
      <c r="J33" s="43">
        <v>2243</v>
      </c>
      <c r="K33" s="43">
        <v>2044.58</v>
      </c>
      <c r="L33" s="43">
        <v>2300</v>
      </c>
      <c r="M33" s="43">
        <v>2142</v>
      </c>
      <c r="N33" s="43">
        <v>2286</v>
      </c>
      <c r="O33" s="82">
        <v>2270</v>
      </c>
      <c r="P33" s="63">
        <v>2256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324</v>
      </c>
      <c r="K34" s="47">
        <v>331.2</v>
      </c>
      <c r="L34" s="47">
        <v>369</v>
      </c>
      <c r="M34" s="47">
        <v>348</v>
      </c>
      <c r="N34" s="47">
        <v>395</v>
      </c>
      <c r="O34" s="83">
        <v>394</v>
      </c>
      <c r="P34" s="64">
        <v>350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83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83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>
        <v>33.856050000000003</v>
      </c>
      <c r="E37" s="47">
        <v>32.905799999999999</v>
      </c>
      <c r="F37" s="47">
        <v>35.349299999999999</v>
      </c>
      <c r="G37" s="47">
        <v>47.987625000000008</v>
      </c>
      <c r="H37" s="47">
        <v>54.938024999999996</v>
      </c>
      <c r="I37" s="47">
        <v>38</v>
      </c>
      <c r="J37" s="47">
        <v>36</v>
      </c>
      <c r="K37" s="47">
        <v>34.676130585599999</v>
      </c>
      <c r="L37" s="47">
        <v>32</v>
      </c>
      <c r="M37" s="47">
        <v>46</v>
      </c>
      <c r="N37" s="47">
        <v>43</v>
      </c>
      <c r="O37" s="83">
        <v>40</v>
      </c>
      <c r="P37" s="64">
        <v>37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83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83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83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/>
      <c r="E41" s="47"/>
      <c r="F41" s="47"/>
      <c r="G41" s="47">
        <v>497</v>
      </c>
      <c r="H41" s="47">
        <v>439</v>
      </c>
      <c r="I41" s="47">
        <v>502</v>
      </c>
      <c r="J41" s="47">
        <v>185</v>
      </c>
      <c r="K41" s="47">
        <v>178.3</v>
      </c>
      <c r="L41" s="47">
        <v>188</v>
      </c>
      <c r="M41" s="47">
        <v>178</v>
      </c>
      <c r="N41" s="47">
        <v>265</v>
      </c>
      <c r="O41" s="83">
        <v>273</v>
      </c>
      <c r="P41" s="64">
        <v>161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(Pars!D56+(D_BE_3!D14-Pars!D57)*Pars!D58)/Pars!D59</f>
        <v>0.2743292</v>
      </c>
      <c r="E43" s="66">
        <f>(Pars!E56+(D_BE_3!E14-Pars!E57)*Pars!E58)/Pars!E59</f>
        <v>0.27103612896387108</v>
      </c>
      <c r="F43" s="66">
        <f>(Pars!F56+(D_BE_3!F14-Pars!F57)*Pars!F58)/Pars!F59</f>
        <v>0.26488147023705955</v>
      </c>
      <c r="G43" s="66">
        <f>(Pars!G56+(D_BE_3!G14-Pars!G57)*Pars!G58)/Pars!G59</f>
        <v>0.25615923152230541</v>
      </c>
      <c r="H43" s="66">
        <f>(Pars!H56+(D_BE_3!H14-Pars!H57)*Pars!H58)/Pars!H59</f>
        <v>0.25165099339602642</v>
      </c>
      <c r="I43" s="66">
        <f>(Pars!I56+(D_BE_3!I14-Pars!I57)*Pars!I58)/Pars!I59</f>
        <v>0.2559627201863991</v>
      </c>
      <c r="J43" s="66">
        <f>(Pars!J56+(D_BE_3!J14-Pars!J57)*Pars!J58)/Pars!J59</f>
        <v>0.25733445599326404</v>
      </c>
      <c r="K43" s="66">
        <f>(Pars!K56+(D_BE_3!K14-Pars!K57)*Pars!K58)/Pars!K59</f>
        <v>0.25792219454463816</v>
      </c>
      <c r="L43" s="66">
        <f>(Pars!L56+(D_BE_3!L14-Pars!L57)*Pars!L58)/Pars!L59</f>
        <v>0.25419796641626868</v>
      </c>
      <c r="M43" s="66">
        <f>(Pars!M56+(D_BE_3!M14-Pars!M57)*Pars!M58)/Pars!M59</f>
        <v>0.25360971751254241</v>
      </c>
      <c r="N43" s="66">
        <f>(Pars!N56+(D_BE_3!N14-Pars!N57)*Pars!N58)/Pars!N59</f>
        <v>0.25948940510594892</v>
      </c>
      <c r="O43" s="66">
        <f>(Pars!O56+(D_BE_3!O14-Pars!O57)*Pars!O58)/Pars!O59</f>
        <v>0.26262511112377762</v>
      </c>
      <c r="P43" s="66">
        <f>(Pars!P56+(D_BE_3!P14-Pars!P57)*Pars!P58)/Pars!P59</f>
        <v>0.25792090494914061</v>
      </c>
      <c r="Q43" s="66">
        <f>(Pars!Q56+(D_BE_3!Q14-Pars!Q57)*Pars!Q58)/Pars!Q59</f>
        <v>6.7999116011491847E-2</v>
      </c>
      <c r="R43" s="66">
        <f>(Pars!R56+(D_BE_3!R14-Pars!R57)*Pars!R58)/Pars!R59</f>
        <v>6.7999048013327817E-2</v>
      </c>
      <c r="S43" s="66">
        <f>(Pars!S56+(D_BE_3!S14-Pars!S57)*Pars!S58)/Pars!S59</f>
        <v>6.7998980015299776E-2</v>
      </c>
      <c r="T43" s="66">
        <f>(Pars!T56+(D_BE_3!T14-Pars!T57)*Pars!T58)/Pars!T59</f>
        <v>6.7998980015299776E-2</v>
      </c>
      <c r="U43" s="66">
        <f>(Pars!U56+(D_BE_3!U14-Pars!U57)*Pars!U58)/Pars!U59</f>
        <v>6.7998980015299776E-2</v>
      </c>
      <c r="V43" s="66">
        <f>(Pars!V56+(D_BE_3!V14-Pars!V57)*Pars!V58)/Pars!V59</f>
        <v>6.7998980015299776E-2</v>
      </c>
      <c r="W43" s="66">
        <f>(Pars!W56+(D_BE_3!W14-Pars!W57)*Pars!W58)/Pars!W59</f>
        <v>6.7998980015299776E-2</v>
      </c>
      <c r="X43" s="66">
        <f>(Pars!X56+(D_BE_3!X14-Pars!X57)*Pars!X58)/Pars!X59</f>
        <v>6.7998980015299776E-2</v>
      </c>
      <c r="Y43" s="66">
        <f>(Pars!Y56+(D_BE_3!Y14-Pars!Y57)*Pars!Y58)/Pars!Y59</f>
        <v>6.7998980015299776E-2</v>
      </c>
      <c r="Z43" s="66">
        <f>(Pars!Z56+(D_BE_3!Z14-Pars!Z57)*Pars!Z58)/Pars!Z59</f>
        <v>6.7998980015299776E-2</v>
      </c>
      <c r="AA43" s="66">
        <f>(Pars!AA56+(D_BE_3!AA14-Pars!AA57)*Pars!AA58)/Pars!AA59</f>
        <v>6.7998980015299776E-2</v>
      </c>
      <c r="AB43" s="66">
        <f>(Pars!AB56+(D_BE_3!AB14-Pars!AB57)*Pars!AB58)/Pars!AB59</f>
        <v>6.7998980015299776E-2</v>
      </c>
      <c r="AC43" s="66">
        <f>(Pars!AC56+(D_BE_3!AC14-Pars!AC57)*Pars!AC58)/Pars!AC59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133053.95982413332</v>
      </c>
      <c r="E44" s="43">
        <f>Pars!E37*E43*E6</f>
        <v>132595.66259407077</v>
      </c>
      <c r="F44" s="43">
        <f>Pars!F37*F43*F6</f>
        <v>134347.61682276634</v>
      </c>
      <c r="G44" s="43">
        <f>Pars!G37*G43*G6</f>
        <v>134848.19652207708</v>
      </c>
      <c r="H44" s="43">
        <f>Pars!H37*H43*H6</f>
        <v>136124.31360274559</v>
      </c>
      <c r="I44" s="43">
        <f>Pars!I37*I43*I6</f>
        <v>137353.8616973582</v>
      </c>
      <c r="J44" s="43">
        <f>Pars!J37*J43*J6</f>
        <v>137643.65426874105</v>
      </c>
      <c r="K44" s="43">
        <f>Pars!K37*K43*K6</f>
        <v>137145.21086610924</v>
      </c>
      <c r="L44" s="43">
        <f>Pars!L37*L43*L6</f>
        <v>146571.90315810806</v>
      </c>
      <c r="M44" s="43">
        <f>Pars!M37*M43*M6</f>
        <v>139081.76703476335</v>
      </c>
      <c r="N44" s="43">
        <f>Pars!N37*N43*N6</f>
        <v>140006.55706376268</v>
      </c>
      <c r="O44" s="96">
        <f>Pars!O37*O43*O6</f>
        <v>146049.06333896992</v>
      </c>
      <c r="P44" s="63">
        <f>Pars!P37*P43*P6</f>
        <v>138040.55793330481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63865.900715583994</v>
      </c>
      <c r="E45" s="43">
        <f>E44*Pars!E36/100</f>
        <v>63645.918045153972</v>
      </c>
      <c r="F45" s="43">
        <f>F44*Pars!F36/100</f>
        <v>64486.85607492784</v>
      </c>
      <c r="G45" s="43">
        <f>G44*Pars!G36/100</f>
        <v>64727.134330597</v>
      </c>
      <c r="H45" s="43">
        <f>H44*Pars!H36/100</f>
        <v>65339.670529317882</v>
      </c>
      <c r="I45" s="43">
        <f>I44*Pars!I36/100</f>
        <v>65929.853614731939</v>
      </c>
      <c r="J45" s="43">
        <f>J44*Pars!J36/100</f>
        <v>66068.954048995714</v>
      </c>
      <c r="K45" s="43">
        <f>K44*Pars!K36/100</f>
        <v>65829.701215732435</v>
      </c>
      <c r="L45" s="43">
        <f>L44*Pars!L36/100</f>
        <v>70354.513515891871</v>
      </c>
      <c r="M45" s="43">
        <f>M44*Pars!M36/100</f>
        <v>66759.248176686408</v>
      </c>
      <c r="N45" s="43">
        <f>N44*Pars!N36/100</f>
        <v>67203.147390606086</v>
      </c>
      <c r="O45" s="96">
        <f>O44*Pars!O36/100</f>
        <v>70103.550402705558</v>
      </c>
      <c r="P45" s="63">
        <f>P44*Pars!P36/100</f>
        <v>66259.467807986308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13498.1497</v>
      </c>
      <c r="E46" s="43">
        <f>Pars!E40*E15</f>
        <v>11860.535400000001</v>
      </c>
      <c r="F46" s="43">
        <f>Pars!F40*F15</f>
        <v>13120.4285</v>
      </c>
      <c r="G46" s="43">
        <f>Pars!G40*G15</f>
        <v>13288.204900000001</v>
      </c>
      <c r="H46" s="43">
        <f>Pars!H40*H15</f>
        <v>12450.6687</v>
      </c>
      <c r="I46" s="43">
        <f>Pars!I40*I15</f>
        <v>12959.381100000001</v>
      </c>
      <c r="J46" s="43">
        <f>Pars!J40*J15</f>
        <v>13038.1104</v>
      </c>
      <c r="K46" s="43">
        <f>Pars!K40*K15</f>
        <v>14477.443499999999</v>
      </c>
      <c r="L46" s="43">
        <f>Pars!L40*L15</f>
        <v>15137.7827</v>
      </c>
      <c r="M46" s="43">
        <f>Pars!M40*M15</f>
        <v>14906.753699999999</v>
      </c>
      <c r="N46" s="43">
        <f>Pars!N40*N15</f>
        <v>15084.623600000001</v>
      </c>
      <c r="O46" s="63">
        <f>Pars!O40*O15</f>
        <v>16597.751400000001</v>
      </c>
      <c r="P46" s="63">
        <f>Pars!P40*P15</f>
        <v>16245.824699999999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2077.8904000000002</v>
      </c>
      <c r="E47" s="43">
        <f>Pars!E41*E16</f>
        <v>2053.9736000000003</v>
      </c>
      <c r="F47" s="43">
        <f>Pars!F41*F16</f>
        <v>2000.2496000000001</v>
      </c>
      <c r="G47" s="43">
        <f>Pars!G41*G16</f>
        <v>2147.0064000000002</v>
      </c>
      <c r="H47" s="43">
        <f>Pars!H41*H16</f>
        <v>2168.5552000000002</v>
      </c>
      <c r="I47" s="43">
        <f>Pars!I41*I16</f>
        <v>2104.0864000000001</v>
      </c>
      <c r="J47" s="43">
        <f>Pars!J41*J16</f>
        <v>2169.4136000000003</v>
      </c>
      <c r="K47" s="43">
        <f>Pars!K41*K16</f>
        <v>1905.7072000000001</v>
      </c>
      <c r="L47" s="43">
        <f>Pars!L41*L16</f>
        <v>2228.4952000000003</v>
      </c>
      <c r="M47" s="43">
        <f>Pars!M41*M16</f>
        <v>2160.8296</v>
      </c>
      <c r="N47" s="43">
        <f>Pars!N41*N16</f>
        <v>2163.8784000000001</v>
      </c>
      <c r="O47" s="63">
        <f>Pars!O41*O16</f>
        <v>2193.5376000000001</v>
      </c>
      <c r="P47" s="63">
        <f>Pars!P41*P16</f>
        <v>2082.3304000000003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2790.0387619999997</v>
      </c>
      <c r="E48" s="67">
        <f t="array" ref="E48">SUMPRODUCT(E33:E41,Pars!E44:E52)</f>
        <v>2501.1715912120003</v>
      </c>
      <c r="F48" s="67">
        <f t="array" ref="F48">SUMPRODUCT(F33:F41,Pars!F44:F52)</f>
        <v>2712.142292</v>
      </c>
      <c r="G48" s="67">
        <f t="array" ref="G48">SUMPRODUCT(G33:G41,Pars!G44:G52)</f>
        <v>5976.939805</v>
      </c>
      <c r="H48" s="67">
        <f t="array" ref="H48">SUMPRODUCT(H33:H41,Pars!H44:H52)</f>
        <v>5779.3987809999999</v>
      </c>
      <c r="I48" s="67">
        <f t="array" ref="I48">SUMPRODUCT(I33:I41,Pars!I44:I52)</f>
        <v>6007.77</v>
      </c>
      <c r="J48" s="67">
        <f t="array" ref="J48">SUMPRODUCT(J33:J41,Pars!J44:J52)</f>
        <v>7215.33</v>
      </c>
      <c r="K48" s="67">
        <f t="array" ref="K48">SUMPRODUCT(K33:K41,Pars!K44:K52)</f>
        <v>6941.5535586288634</v>
      </c>
      <c r="L48" s="67">
        <f t="array" ref="L48">SUMPRODUCT(L33:L41,Pars!L44:L52)</f>
        <v>7697.69</v>
      </c>
      <c r="M48" s="67">
        <f t="array" ref="M48">SUMPRODUCT(M33:M41,Pars!M44:M52)</f>
        <v>7260.78</v>
      </c>
      <c r="N48" s="67">
        <f t="array" ref="N48">SUMPRODUCT(N33:N41,Pars!N44:N52)</f>
        <v>8314.33</v>
      </c>
      <c r="O48" s="67">
        <f t="array" ref="O48">SUMPRODUCT(O33:O41,Pars!O44:O52)</f>
        <v>8314.16</v>
      </c>
      <c r="P48" s="67">
        <f t="array" ref="P48">SUMPRODUCT(P33:P41,Pars!P44:P52)</f>
        <v>7343.3399999999992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18366.078861999998</v>
      </c>
      <c r="E49" s="67">
        <f t="shared" ref="E49:AC49" si="1">SUM(E46:E48)</f>
        <v>16415.680591212003</v>
      </c>
      <c r="F49" s="67">
        <f t="shared" si="1"/>
        <v>17832.820392000001</v>
      </c>
      <c r="G49" s="67">
        <f t="shared" si="1"/>
        <v>21412.151105000001</v>
      </c>
      <c r="H49" s="67">
        <f t="shared" si="1"/>
        <v>20398.622681000001</v>
      </c>
      <c r="I49" s="67">
        <f t="shared" si="1"/>
        <v>21071.237500000003</v>
      </c>
      <c r="J49" s="67">
        <f t="shared" si="1"/>
        <v>22422.853999999999</v>
      </c>
      <c r="K49" s="67">
        <f t="shared" si="1"/>
        <v>23324.704258628863</v>
      </c>
      <c r="L49" s="67">
        <f t="shared" si="1"/>
        <v>25063.9679</v>
      </c>
      <c r="M49" s="67">
        <f t="shared" si="1"/>
        <v>24328.363299999997</v>
      </c>
      <c r="N49" s="67">
        <f t="shared" si="1"/>
        <v>25562.832000000002</v>
      </c>
      <c r="O49" s="67">
        <f t="shared" si="1"/>
        <v>27105.449000000001</v>
      </c>
      <c r="P49" s="67">
        <f t="shared" si="1"/>
        <v>25671.4951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45499.821853583999</v>
      </c>
      <c r="E50" s="70">
        <f t="shared" ref="E50:AC50" si="2">E45-E49</f>
        <v>47230.237453941969</v>
      </c>
      <c r="F50" s="70">
        <f t="shared" si="2"/>
        <v>46654.035682927839</v>
      </c>
      <c r="G50" s="70">
        <f t="shared" si="2"/>
        <v>43314.983225596996</v>
      </c>
      <c r="H50" s="70">
        <f t="shared" si="2"/>
        <v>44941.047848317881</v>
      </c>
      <c r="I50" s="70">
        <f t="shared" si="2"/>
        <v>44858.616114731936</v>
      </c>
      <c r="J50" s="70">
        <f t="shared" si="2"/>
        <v>43646.100048995715</v>
      </c>
      <c r="K50" s="70">
        <f t="shared" si="2"/>
        <v>42504.996957103576</v>
      </c>
      <c r="L50" s="70">
        <f t="shared" si="2"/>
        <v>45290.545615891868</v>
      </c>
      <c r="M50" s="70">
        <f t="shared" si="2"/>
        <v>42430.88487668641</v>
      </c>
      <c r="N50" s="70">
        <f t="shared" si="2"/>
        <v>41640.315390606083</v>
      </c>
      <c r="O50" s="70">
        <f t="shared" si="2"/>
        <v>42998.101402705557</v>
      </c>
      <c r="P50" s="70">
        <f t="shared" si="2"/>
        <v>40587.972707986308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509</v>
      </c>
      <c r="L56" s="47">
        <v>1836</v>
      </c>
      <c r="M56" s="47">
        <v>2145</v>
      </c>
      <c r="N56" s="47">
        <v>2157</v>
      </c>
      <c r="O56" s="64">
        <v>2362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509</v>
      </c>
      <c r="L61" s="76">
        <f t="shared" si="3"/>
        <v>1836</v>
      </c>
      <c r="M61" s="76">
        <f t="shared" si="3"/>
        <v>2145</v>
      </c>
      <c r="N61" s="76">
        <f t="shared" si="3"/>
        <v>2157</v>
      </c>
      <c r="O61" s="76">
        <f t="shared" si="3"/>
        <v>2362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45499.821853583999</v>
      </c>
      <c r="E62" s="79">
        <f t="shared" ref="E62:AC62" si="4">E50+E61</f>
        <v>47230.237453941969</v>
      </c>
      <c r="F62" s="79">
        <f t="shared" si="4"/>
        <v>46654.035682927839</v>
      </c>
      <c r="G62" s="79">
        <f t="shared" si="4"/>
        <v>43314.983225596996</v>
      </c>
      <c r="H62" s="79">
        <f t="shared" si="4"/>
        <v>44941.047848317881</v>
      </c>
      <c r="I62" s="79">
        <f t="shared" si="4"/>
        <v>44858.616114731936</v>
      </c>
      <c r="J62" s="79">
        <f t="shared" si="4"/>
        <v>43646.100048995715</v>
      </c>
      <c r="K62" s="79">
        <f t="shared" si="4"/>
        <v>43013.996957103576</v>
      </c>
      <c r="L62" s="79">
        <f t="shared" si="4"/>
        <v>47126.545615891868</v>
      </c>
      <c r="M62" s="79">
        <f t="shared" si="4"/>
        <v>44575.88487668641</v>
      </c>
      <c r="N62" s="79">
        <f t="shared" si="4"/>
        <v>43797.315390606083</v>
      </c>
      <c r="O62" s="79">
        <f t="shared" si="4"/>
        <v>45360.101402705557</v>
      </c>
      <c r="P62" s="79">
        <f t="shared" si="4"/>
        <v>40587.972707986308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64" priority="5" operator="containsText" text="Nein">
      <formula>NOT(ISERROR(SEARCH("Nein",D22)))</formula>
    </cfRule>
  </conditionalFormatting>
  <conditionalFormatting sqref="D31:AC31">
    <cfRule type="cellIs" dxfId="163" priority="6" operator="equal">
      <formula>"ok"</formula>
    </cfRule>
  </conditionalFormatting>
  <conditionalFormatting sqref="H5:AC12 H14:AC16 H18:AC19 H33:AC41">
    <cfRule type="cellIs" dxfId="162" priority="4" operator="greaterThan">
      <formula>0</formula>
    </cfRule>
  </conditionalFormatting>
  <conditionalFormatting sqref="H6:AC12">
    <cfRule type="expression" dxfId="161" priority="3">
      <formula>NOT(ISBLANK(H6))</formula>
    </cfRule>
  </conditionalFormatting>
  <conditionalFormatting sqref="H18:AC19">
    <cfRule type="expression" dxfId="160" priority="2">
      <formula>NOT(ISBLANK(H18))</formula>
    </cfRule>
  </conditionalFormatting>
  <conditionalFormatting sqref="H56:AC60">
    <cfRule type="cellIs" dxfId="159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12012E76-BE65-4BB9-B8F1-9B644865A415}">
      <formula1>"Ja, Nein"</formula1>
    </dataValidation>
  </dataValidation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C5980-8B7F-4E9C-9144-4AC7ACDF3443}">
  <sheetPr>
    <tabColor theme="2" tint="-0.499984740745262"/>
  </sheetPr>
  <dimension ref="A1:AD134"/>
  <sheetViews>
    <sheetView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169</v>
      </c>
      <c r="D1" s="32"/>
      <c r="E1" s="32"/>
    </row>
    <row r="2" spans="1:30" x14ac:dyDescent="0.3">
      <c r="A2" s="30"/>
      <c r="B2" s="31" t="s">
        <v>86</v>
      </c>
      <c r="C2" s="33" t="s">
        <v>170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205000</v>
      </c>
      <c r="E5" s="42">
        <v>205000</v>
      </c>
      <c r="F5" s="42">
        <v>205000</v>
      </c>
      <c r="G5" s="42">
        <v>205000</v>
      </c>
      <c r="H5" s="43">
        <v>205000</v>
      </c>
      <c r="I5" s="43">
        <v>205000</v>
      </c>
      <c r="J5" s="43">
        <v>205000</v>
      </c>
      <c r="K5" s="43">
        <v>205000</v>
      </c>
      <c r="L5" s="43">
        <v>205000</v>
      </c>
      <c r="M5" s="43">
        <v>231394</v>
      </c>
      <c r="N5" s="43">
        <v>205000</v>
      </c>
      <c r="O5" s="43">
        <v>205000</v>
      </c>
      <c r="P5" s="43">
        <v>241110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210721</v>
      </c>
      <c r="E6" s="42">
        <v>219766</v>
      </c>
      <c r="F6" s="42">
        <v>226516</v>
      </c>
      <c r="G6" s="42">
        <v>223006</v>
      </c>
      <c r="H6" s="47">
        <v>226926</v>
      </c>
      <c r="I6" s="47">
        <v>226637</v>
      </c>
      <c r="J6" s="47">
        <v>233271</v>
      </c>
      <c r="K6" s="47">
        <v>224632</v>
      </c>
      <c r="L6" s="47">
        <v>234160</v>
      </c>
      <c r="M6" s="47">
        <v>227304</v>
      </c>
      <c r="N6" s="47">
        <v>223192</v>
      </c>
      <c r="O6" s="47">
        <v>234955</v>
      </c>
      <c r="P6" s="47">
        <v>220133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0</v>
      </c>
      <c r="E7" s="42">
        <v>0</v>
      </c>
      <c r="F7" s="42">
        <v>0</v>
      </c>
      <c r="G7" s="42">
        <v>0</v>
      </c>
      <c r="H7" s="47">
        <v>0</v>
      </c>
      <c r="I7" s="47">
        <v>0</v>
      </c>
      <c r="J7" s="47">
        <v>0</v>
      </c>
      <c r="K7" s="47">
        <v>0</v>
      </c>
      <c r="L7" s="47">
        <v>0</v>
      </c>
      <c r="M7" s="47"/>
      <c r="N7" s="47">
        <v>0</v>
      </c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>
        <v>43681</v>
      </c>
      <c r="E8" s="42">
        <v>43681</v>
      </c>
      <c r="F8" s="42">
        <v>43085</v>
      </c>
      <c r="G8" s="42">
        <v>42673</v>
      </c>
      <c r="H8" s="47">
        <v>43754</v>
      </c>
      <c r="I8" s="47">
        <v>46696</v>
      </c>
      <c r="J8" s="47">
        <v>38696</v>
      </c>
      <c r="K8" s="47">
        <v>38648</v>
      </c>
      <c r="L8" s="47">
        <v>41613</v>
      </c>
      <c r="M8" s="47">
        <v>44416</v>
      </c>
      <c r="N8" s="47">
        <v>41506</v>
      </c>
      <c r="O8" s="47">
        <v>42870</v>
      </c>
      <c r="P8" s="47">
        <v>39090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>
        <v>0</v>
      </c>
      <c r="E11" s="42">
        <v>218</v>
      </c>
      <c r="F11" s="42">
        <v>0</v>
      </c>
      <c r="G11" s="42">
        <v>0</v>
      </c>
      <c r="H11" s="47">
        <v>0</v>
      </c>
      <c r="I11" s="47">
        <v>0</v>
      </c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12.03</v>
      </c>
      <c r="E14" s="51">
        <v>11.766999999999999</v>
      </c>
      <c r="F14" s="51">
        <v>11.314</v>
      </c>
      <c r="G14" s="51">
        <v>11.33</v>
      </c>
      <c r="H14" s="43">
        <v>11.49</v>
      </c>
      <c r="I14" s="43">
        <v>11.79</v>
      </c>
      <c r="J14" s="43">
        <v>11.61</v>
      </c>
      <c r="K14" s="43">
        <v>11.55</v>
      </c>
      <c r="L14" s="43">
        <v>11.81</v>
      </c>
      <c r="M14" s="43">
        <v>12.13</v>
      </c>
      <c r="N14" s="43">
        <v>11.750999999999999</v>
      </c>
      <c r="O14" s="43">
        <v>11.29</v>
      </c>
      <c r="P14" s="43">
        <v>12.07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449976</v>
      </c>
      <c r="E15" s="42">
        <v>464512</v>
      </c>
      <c r="F15" s="42">
        <v>477901</v>
      </c>
      <c r="G15" s="42">
        <v>477677</v>
      </c>
      <c r="H15" s="47">
        <v>482497</v>
      </c>
      <c r="I15" s="47">
        <f>58198+414199</f>
        <v>472397</v>
      </c>
      <c r="J15" s="47">
        <v>488847</v>
      </c>
      <c r="K15" s="47">
        <v>461165</v>
      </c>
      <c r="L15" s="47">
        <v>489229</v>
      </c>
      <c r="M15" s="47">
        <f>445583+50143</f>
        <v>495726</v>
      </c>
      <c r="N15" s="47">
        <v>461297</v>
      </c>
      <c r="O15" s="47">
        <v>486297</v>
      </c>
      <c r="P15" s="47">
        <f>356027+82302</f>
        <v>438329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28820</v>
      </c>
      <c r="E16" s="42">
        <v>41171</v>
      </c>
      <c r="F16" s="42">
        <v>45056</v>
      </c>
      <c r="G16" s="42">
        <v>44408</v>
      </c>
      <c r="H16" s="47">
        <v>55193</v>
      </c>
      <c r="I16" s="47">
        <v>59158</v>
      </c>
      <c r="J16" s="47">
        <v>47708</v>
      </c>
      <c r="K16" s="47">
        <v>54964</v>
      </c>
      <c r="L16" s="47">
        <v>58461</v>
      </c>
      <c r="M16" s="47">
        <v>55543</v>
      </c>
      <c r="N16" s="47">
        <v>51735</v>
      </c>
      <c r="O16" s="47">
        <v>57686</v>
      </c>
      <c r="P16" s="47">
        <v>58520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36151</v>
      </c>
      <c r="E18" s="42">
        <v>36819</v>
      </c>
      <c r="F18" s="42">
        <v>38890</v>
      </c>
      <c r="G18" s="42">
        <v>37551</v>
      </c>
      <c r="H18" s="43">
        <v>39314</v>
      </c>
      <c r="I18" s="43">
        <v>41810</v>
      </c>
      <c r="J18" s="43">
        <v>43828</v>
      </c>
      <c r="K18" s="43">
        <v>41185.519999999997</v>
      </c>
      <c r="L18" s="43">
        <v>45415</v>
      </c>
      <c r="M18" s="43">
        <v>42238</v>
      </c>
      <c r="N18" s="43">
        <v>43896</v>
      </c>
      <c r="O18" s="43">
        <v>47083</v>
      </c>
      <c r="P18" s="43">
        <v>45386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6056</v>
      </c>
      <c r="E19" s="42">
        <v>6388</v>
      </c>
      <c r="F19" s="42">
        <v>6804</v>
      </c>
      <c r="G19" s="42">
        <v>6279</v>
      </c>
      <c r="H19" s="47">
        <v>6397</v>
      </c>
      <c r="I19" s="47">
        <v>6709</v>
      </c>
      <c r="J19" s="47">
        <v>5523</v>
      </c>
      <c r="K19" s="47">
        <v>5102</v>
      </c>
      <c r="L19" s="47">
        <v>4785</v>
      </c>
      <c r="M19" s="47">
        <v>4367</v>
      </c>
      <c r="N19" s="47">
        <v>4292</v>
      </c>
      <c r="O19" s="47">
        <v>4566</v>
      </c>
      <c r="P19" s="47">
        <v>4192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112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112</v>
      </c>
      <c r="F23" s="59" t="s">
        <v>112</v>
      </c>
      <c r="G23" s="59" t="s">
        <v>112</v>
      </c>
      <c r="H23" s="59" t="s">
        <v>112</v>
      </c>
      <c r="I23" s="59" t="s">
        <v>112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112</v>
      </c>
      <c r="K24" s="59" t="s">
        <v>112</v>
      </c>
      <c r="L24" s="59" t="s">
        <v>112</v>
      </c>
      <c r="M24" s="59" t="s">
        <v>112</v>
      </c>
      <c r="N24" s="59" t="s">
        <v>112</v>
      </c>
      <c r="O24" s="59" t="s">
        <v>112</v>
      </c>
      <c r="P24" s="59" t="s">
        <v>112</v>
      </c>
      <c r="Q24" s="59" t="s">
        <v>112</v>
      </c>
      <c r="R24" s="59" t="s">
        <v>112</v>
      </c>
      <c r="S24" s="59" t="s">
        <v>112</v>
      </c>
      <c r="T24" s="59" t="s">
        <v>112</v>
      </c>
      <c r="U24" s="59" t="s">
        <v>112</v>
      </c>
      <c r="V24" s="59" t="s">
        <v>112</v>
      </c>
      <c r="W24" s="59" t="s">
        <v>112</v>
      </c>
      <c r="X24" s="59" t="s">
        <v>112</v>
      </c>
      <c r="Y24" s="59" t="s">
        <v>112</v>
      </c>
      <c r="Z24" s="59" t="s">
        <v>112</v>
      </c>
      <c r="AA24" s="59" t="s">
        <v>112</v>
      </c>
      <c r="AB24" s="59" t="s">
        <v>112</v>
      </c>
      <c r="AC24" s="59" t="s">
        <v>112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4288</v>
      </c>
      <c r="E33" s="47">
        <v>3100</v>
      </c>
      <c r="F33" s="47">
        <v>2630</v>
      </c>
      <c r="G33" s="47">
        <v>2646</v>
      </c>
      <c r="H33" s="43">
        <v>2982</v>
      </c>
      <c r="I33" s="43">
        <v>2237</v>
      </c>
      <c r="J33" s="43">
        <v>2115</v>
      </c>
      <c r="K33" s="43">
        <v>897.51</v>
      </c>
      <c r="L33" s="43">
        <v>1220</v>
      </c>
      <c r="M33" s="43">
        <v>850</v>
      </c>
      <c r="N33" s="43">
        <v>2114</v>
      </c>
      <c r="O33" s="63">
        <v>1847</v>
      </c>
      <c r="P33" s="63">
        <v>2269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115</v>
      </c>
      <c r="K34" s="47">
        <v>28.56</v>
      </c>
      <c r="L34" s="47">
        <v>31</v>
      </c>
      <c r="M34" s="47">
        <v>35</v>
      </c>
      <c r="N34" s="47">
        <v>542</v>
      </c>
      <c r="O34" s="64">
        <v>80</v>
      </c>
      <c r="P34" s="64">
        <v>614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64"/>
      <c r="P37" s="64">
        <v>23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/>
      <c r="E41" s="47">
        <v>390</v>
      </c>
      <c r="F41" s="47">
        <v>510</v>
      </c>
      <c r="G41" s="47">
        <v>624</v>
      </c>
      <c r="H41" s="47">
        <v>699</v>
      </c>
      <c r="I41" s="47">
        <v>810</v>
      </c>
      <c r="J41" s="47">
        <v>323</v>
      </c>
      <c r="K41" s="47">
        <v>256.92</v>
      </c>
      <c r="L41" s="47">
        <v>342</v>
      </c>
      <c r="M41" s="47">
        <v>251</v>
      </c>
      <c r="N41" s="47">
        <v>546</v>
      </c>
      <c r="O41" s="64">
        <v>1667</v>
      </c>
      <c r="P41" s="64">
        <v>1688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(Pars!D56+(D_BS_1!D14-Pars!D57)*Pars!D58)/Pars!D59</f>
        <v>0.303788</v>
      </c>
      <c r="E43" s="66">
        <f>(Pars!E56+(D_BS_1!E14-Pars!E57)*Pars!E58)/Pars!E59</f>
        <v>0.29863290136709864</v>
      </c>
      <c r="F43" s="66">
        <f>(Pars!F56+(D_BS_1!F14-Pars!F57)*Pars!F58)/Pars!F59</f>
        <v>0.28975382049235904</v>
      </c>
      <c r="G43" s="66">
        <f>(Pars!G56+(D_BS_1!G14-Pars!G57)*Pars!G58)/Pars!G59</f>
        <v>0.2900671297986106</v>
      </c>
      <c r="H43" s="66">
        <f>(Pars!H56+(D_BS_1!H14-Pars!H57)*Pars!H58)/Pars!H59</f>
        <v>0.29320282718869123</v>
      </c>
      <c r="I43" s="66">
        <f>(Pars!I56+(D_BS_1!I14-Pars!I57)*Pars!I58)/Pars!I59</f>
        <v>0.29908250458747704</v>
      </c>
      <c r="J43" s="66">
        <f>(Pars!J56+(D_BS_1!J14-Pars!J57)*Pars!J58)/Pars!J59</f>
        <v>0.29555422667463993</v>
      </c>
      <c r="K43" s="66">
        <f>(Pars!K56+(D_BS_1!K14-Pars!K57)*Pars!K58)/Pars!K59</f>
        <v>0.29437793935442452</v>
      </c>
      <c r="L43" s="66">
        <f>(Pars!L56+(D_BS_1!L14-Pars!L57)*Pars!L58)/Pars!L59</f>
        <v>0.29947360421116631</v>
      </c>
      <c r="M43" s="66">
        <f>(Pars!M56+(D_BS_1!M14-Pars!M57)*Pars!M58)/Pars!M59</f>
        <v>0.30574524829276539</v>
      </c>
      <c r="N43" s="66">
        <f>(Pars!N56+(D_BS_1!N14-Pars!N57)*Pars!N58)/Pars!N59</f>
        <v>0.29831661683383165</v>
      </c>
      <c r="O43" s="66">
        <f>(Pars!O56+(D_BS_1!O14-Pars!O57)*Pars!O58)/Pars!O59</f>
        <v>0.28928081791100296</v>
      </c>
      <c r="P43" s="66">
        <f>(Pars!P56+(D_BS_1!P14-Pars!P57)*Pars!P58)/Pars!P59</f>
        <v>0.30456834517985787</v>
      </c>
      <c r="Q43" s="66">
        <f>(Pars!Q56+(D_BS_1!Q14-Pars!Q57)*Pars!Q58)/Pars!Q59</f>
        <v>6.7999116011491847E-2</v>
      </c>
      <c r="R43" s="66">
        <f>(Pars!R56+(D_BS_1!R14-Pars!R57)*Pars!R58)/Pars!R59</f>
        <v>6.7999048013327817E-2</v>
      </c>
      <c r="S43" s="66">
        <f>(Pars!S56+(D_BS_1!S14-Pars!S57)*Pars!S58)/Pars!S59</f>
        <v>6.7998980015299776E-2</v>
      </c>
      <c r="T43" s="66">
        <f>(Pars!T56+(D_BS_1!T14-Pars!T57)*Pars!T58)/Pars!T59</f>
        <v>6.7998980015299776E-2</v>
      </c>
      <c r="U43" s="66">
        <f>(Pars!U56+(D_BS_1!U14-Pars!U57)*Pars!U58)/Pars!U59</f>
        <v>6.7998980015299776E-2</v>
      </c>
      <c r="V43" s="66">
        <f>(Pars!V56+(D_BS_1!V14-Pars!V57)*Pars!V58)/Pars!V59</f>
        <v>6.7998980015299776E-2</v>
      </c>
      <c r="W43" s="66">
        <f>(Pars!W56+(D_BS_1!W14-Pars!W57)*Pars!W58)/Pars!W59</f>
        <v>6.7998980015299776E-2</v>
      </c>
      <c r="X43" s="66">
        <f>(Pars!X56+(D_BS_1!X14-Pars!X57)*Pars!X58)/Pars!X59</f>
        <v>6.7998980015299776E-2</v>
      </c>
      <c r="Y43" s="66">
        <f>(Pars!Y56+(D_BS_1!Y14-Pars!Y57)*Pars!Y58)/Pars!Y59</f>
        <v>6.7998980015299776E-2</v>
      </c>
      <c r="Z43" s="66">
        <f>(Pars!Z56+(D_BS_1!Z14-Pars!Z57)*Pars!Z58)/Pars!Z59</f>
        <v>6.7998980015299776E-2</v>
      </c>
      <c r="AA43" s="66">
        <f>(Pars!AA56+(D_BS_1!AA14-Pars!AA57)*Pars!AA58)/Pars!AA59</f>
        <v>6.7998980015299776E-2</v>
      </c>
      <c r="AB43" s="66">
        <f>(Pars!AB56+(D_BS_1!AB14-Pars!AB57)*Pars!AB58)/Pars!AB59</f>
        <v>6.7998980015299776E-2</v>
      </c>
      <c r="AC43" s="66">
        <f>(Pars!AC56+(D_BS_1!AC14-Pars!AC57)*Pars!AC58)/Pars!AC59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234719.87420933333</v>
      </c>
      <c r="E44" s="43">
        <f>Pars!E37*E43*E6</f>
        <v>240640.98007341992</v>
      </c>
      <c r="F44" s="43">
        <f>Pars!F37*F43*F6</f>
        <v>240657.5468097064</v>
      </c>
      <c r="G44" s="43">
        <f>Pars!G37*G43*G6</f>
        <v>237184.60460885282</v>
      </c>
      <c r="H44" s="43">
        <f>Pars!H37*H43*H6</f>
        <v>243962.93079627678</v>
      </c>
      <c r="I44" s="43">
        <f>Pars!I37*I43*I6</f>
        <v>248538.2591713708</v>
      </c>
      <c r="J44" s="43">
        <f>Pars!J37*J43*J6</f>
        <v>252795.51003893974</v>
      </c>
      <c r="K44" s="43">
        <f>Pars!K37*K43*K6</f>
        <v>242464.58600123134</v>
      </c>
      <c r="L44" s="43">
        <f>Pars!L37*L43*L6</f>
        <v>257124.04359431792</v>
      </c>
      <c r="M44" s="43">
        <f>Pars!M37*M43*M6</f>
        <v>254822.76569910871</v>
      </c>
      <c r="N44" s="43">
        <f>Pars!N37*N43*N6</f>
        <v>244133.56859604732</v>
      </c>
      <c r="O44" s="63">
        <f>Pars!O37*O43*O6</f>
        <v>249215.90676502557</v>
      </c>
      <c r="P44" s="63">
        <f>Pars!P37*P43*P6</f>
        <v>245833.65960808471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112665.53962047999</v>
      </c>
      <c r="E45" s="43">
        <f>E44*Pars!E36/100</f>
        <v>115507.67043524157</v>
      </c>
      <c r="F45" s="43">
        <f>F44*Pars!F36/100</f>
        <v>115515.62246865907</v>
      </c>
      <c r="G45" s="43">
        <f>G44*Pars!G36/100</f>
        <v>113848.61021224935</v>
      </c>
      <c r="H45" s="43">
        <f>H44*Pars!H36/100</f>
        <v>117102.20678221286</v>
      </c>
      <c r="I45" s="43">
        <f>I44*Pars!I36/100</f>
        <v>119298.36440225798</v>
      </c>
      <c r="J45" s="43">
        <f>J44*Pars!J36/100</f>
        <v>121341.84481869107</v>
      </c>
      <c r="K45" s="43">
        <f>K44*Pars!K36/100</f>
        <v>116383.00128059104</v>
      </c>
      <c r="L45" s="43">
        <f>L44*Pars!L36/100</f>
        <v>123419.54092527259</v>
      </c>
      <c r="M45" s="43">
        <f>M44*Pars!M36/100</f>
        <v>122314.92753557218</v>
      </c>
      <c r="N45" s="43">
        <f>N44*Pars!N36/100</f>
        <v>117184.11292610271</v>
      </c>
      <c r="O45" s="63">
        <f>O44*Pars!O36/100</f>
        <v>119623.63524721228</v>
      </c>
      <c r="P45" s="63">
        <f>P44*Pars!P36/100</f>
        <v>118000.15661188067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100929.6168</v>
      </c>
      <c r="E46" s="43">
        <f>Pars!E40*E15</f>
        <v>104190.0416</v>
      </c>
      <c r="F46" s="43">
        <f>Pars!F40*F15</f>
        <v>107193.1943</v>
      </c>
      <c r="G46" s="43">
        <f>Pars!G40*G15</f>
        <v>107142.95110000001</v>
      </c>
      <c r="H46" s="43">
        <f>Pars!H40*H15</f>
        <v>108224.07709999999</v>
      </c>
      <c r="I46" s="43">
        <f>Pars!I40*I15</f>
        <v>105958.6471</v>
      </c>
      <c r="J46" s="43">
        <f>Pars!J40*J15</f>
        <v>109648.3821</v>
      </c>
      <c r="K46" s="43">
        <f>Pars!K40*K15</f>
        <v>103439.3095</v>
      </c>
      <c r="L46" s="43">
        <f>Pars!L40*L15</f>
        <v>109734.0647</v>
      </c>
      <c r="M46" s="43">
        <f>Pars!M40*M15</f>
        <v>111191.34179999999</v>
      </c>
      <c r="N46" s="43">
        <f>Pars!N40*N15</f>
        <v>103468.91710000001</v>
      </c>
      <c r="O46" s="63">
        <f>Pars!O40*O15</f>
        <v>109076.41710000001</v>
      </c>
      <c r="P46" s="63">
        <f>Pars!P40*P15</f>
        <v>98317.194699999993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853.072</v>
      </c>
      <c r="E47" s="43">
        <f>Pars!E41*E16</f>
        <v>1218.6616000000001</v>
      </c>
      <c r="F47" s="43">
        <f>Pars!F41*F16</f>
        <v>1333.6576</v>
      </c>
      <c r="G47" s="43">
        <f>Pars!G41*G16</f>
        <v>1314.4768000000001</v>
      </c>
      <c r="H47" s="43">
        <f>Pars!H41*H16</f>
        <v>1633.7128</v>
      </c>
      <c r="I47" s="43">
        <f>Pars!I41*I16</f>
        <v>1751.0768</v>
      </c>
      <c r="J47" s="43">
        <f>Pars!J41*J16</f>
        <v>1412.1568</v>
      </c>
      <c r="K47" s="43">
        <f>Pars!K41*K16</f>
        <v>1626.9344000000001</v>
      </c>
      <c r="L47" s="43">
        <f>Pars!L41*L16</f>
        <v>1730.4456</v>
      </c>
      <c r="M47" s="43">
        <f>Pars!M41*M16</f>
        <v>1644.0728000000001</v>
      </c>
      <c r="N47" s="43">
        <f>Pars!N41*N16</f>
        <v>1531.356</v>
      </c>
      <c r="O47" s="63">
        <f>Pars!O41*O16</f>
        <v>1707.5056000000002</v>
      </c>
      <c r="P47" s="63">
        <f>Pars!P41*P16</f>
        <v>1732.192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6474.88</v>
      </c>
      <c r="E48" s="67">
        <f t="array" ref="E48">SUMPRODUCT(E33:E41,Pars!E44:E52)</f>
        <v>6631</v>
      </c>
      <c r="F48" s="67">
        <f t="array" ref="F48">SUMPRODUCT(F33:F41,Pars!F44:F52)</f>
        <v>6521.3</v>
      </c>
      <c r="G48" s="67">
        <f t="array" ref="G48">SUMPRODUCT(G33:G41,Pars!G44:G52)</f>
        <v>7115.46</v>
      </c>
      <c r="H48" s="67">
        <f t="array" ref="H48">SUMPRODUCT(H33:H41,Pars!H44:H52)</f>
        <v>7997.82</v>
      </c>
      <c r="I48" s="67">
        <f t="array" ref="I48">SUMPRODUCT(I33:I41,Pars!I44:I52)</f>
        <v>7427.87</v>
      </c>
      <c r="J48" s="67">
        <f t="array" ref="J48">SUMPRODUCT(J33:J41,Pars!J44:J52)</f>
        <v>5808</v>
      </c>
      <c r="K48" s="67">
        <f t="array" ref="K48">SUMPRODUCT(K33:K41,Pars!K44:K52)</f>
        <v>2888.0264999999999</v>
      </c>
      <c r="L48" s="67">
        <f t="array" ref="L48">SUMPRODUCT(L33:L41,Pars!L44:L52)</f>
        <v>3821.59</v>
      </c>
      <c r="M48" s="67">
        <f t="array" ref="M48">SUMPRODUCT(M33:M41,Pars!M44:M52)</f>
        <v>2842.65</v>
      </c>
      <c r="N48" s="67">
        <f t="array" ref="N48">SUMPRODUCT(N33:N41,Pars!N44:N52)</f>
        <v>10632.119999999999</v>
      </c>
      <c r="O48" s="67">
        <f t="array" ref="O48">SUMPRODUCT(O33:O41,Pars!O44:O52)</f>
        <v>11819.17</v>
      </c>
      <c r="P48" s="67">
        <f t="array" ref="P48">SUMPRODUCT(P33:P41,Pars!P44:P52)</f>
        <v>17257.97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108257.56880000001</v>
      </c>
      <c r="E49" s="67">
        <f t="shared" ref="E49:AC49" si="1">SUM(E46:E48)</f>
        <v>112039.7032</v>
      </c>
      <c r="F49" s="67">
        <f t="shared" si="1"/>
        <v>115048.15190000001</v>
      </c>
      <c r="G49" s="67">
        <f t="shared" si="1"/>
        <v>115572.88790000002</v>
      </c>
      <c r="H49" s="67">
        <f t="shared" si="1"/>
        <v>117855.60989999998</v>
      </c>
      <c r="I49" s="67">
        <f t="shared" si="1"/>
        <v>115137.59389999999</v>
      </c>
      <c r="J49" s="67">
        <f t="shared" si="1"/>
        <v>116868.5389</v>
      </c>
      <c r="K49" s="67">
        <f t="shared" si="1"/>
        <v>107954.27040000001</v>
      </c>
      <c r="L49" s="67">
        <f t="shared" si="1"/>
        <v>115286.10030000001</v>
      </c>
      <c r="M49" s="67">
        <f t="shared" si="1"/>
        <v>115678.06459999998</v>
      </c>
      <c r="N49" s="67">
        <f t="shared" si="1"/>
        <v>115632.3931</v>
      </c>
      <c r="O49" s="67">
        <f t="shared" si="1"/>
        <v>122603.09270000001</v>
      </c>
      <c r="P49" s="67">
        <f t="shared" si="1"/>
        <v>117307.35669999999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4407.9708204799826</v>
      </c>
      <c r="E50" s="70">
        <f t="shared" ref="E50:AC50" si="2">E45-E49</f>
        <v>3467.9672352415655</v>
      </c>
      <c r="F50" s="70">
        <f t="shared" si="2"/>
        <v>467.47056865906052</v>
      </c>
      <c r="G50" s="70">
        <f t="shared" si="2"/>
        <v>-1724.2776877506694</v>
      </c>
      <c r="H50" s="70">
        <f t="shared" si="2"/>
        <v>-753.40311778712203</v>
      </c>
      <c r="I50" s="70">
        <f t="shared" si="2"/>
        <v>4160.7705022579903</v>
      </c>
      <c r="J50" s="70">
        <f t="shared" si="2"/>
        <v>4473.3059186910687</v>
      </c>
      <c r="K50" s="70">
        <f t="shared" si="2"/>
        <v>8428.7308805910288</v>
      </c>
      <c r="L50" s="70">
        <f t="shared" si="2"/>
        <v>8133.4406252725894</v>
      </c>
      <c r="M50" s="70">
        <f t="shared" si="2"/>
        <v>6636.8629355721932</v>
      </c>
      <c r="N50" s="70">
        <f t="shared" si="2"/>
        <v>1551.7198261027079</v>
      </c>
      <c r="O50" s="70">
        <f t="shared" si="2"/>
        <v>-2979.4574527877267</v>
      </c>
      <c r="P50" s="70">
        <f t="shared" si="2"/>
        <v>692.79991188067652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4407.9708204799826</v>
      </c>
      <c r="E62" s="79">
        <f t="shared" ref="E62:AC62" si="4">E50+E61</f>
        <v>3467.9672352415655</v>
      </c>
      <c r="F62" s="79">
        <f t="shared" si="4"/>
        <v>467.47056865906052</v>
      </c>
      <c r="G62" s="79">
        <f t="shared" si="4"/>
        <v>-1724.2776877506694</v>
      </c>
      <c r="H62" s="79">
        <f t="shared" si="4"/>
        <v>-753.40311778712203</v>
      </c>
      <c r="I62" s="79">
        <f t="shared" si="4"/>
        <v>4160.7705022579903</v>
      </c>
      <c r="J62" s="79">
        <f t="shared" si="4"/>
        <v>4473.3059186910687</v>
      </c>
      <c r="K62" s="79">
        <f t="shared" si="4"/>
        <v>8428.7308805910288</v>
      </c>
      <c r="L62" s="79">
        <f t="shared" si="4"/>
        <v>8133.4406252725894</v>
      </c>
      <c r="M62" s="79">
        <f t="shared" si="4"/>
        <v>6636.8629355721932</v>
      </c>
      <c r="N62" s="79">
        <f t="shared" si="4"/>
        <v>1551.7198261027079</v>
      </c>
      <c r="O62" s="79">
        <f t="shared" si="4"/>
        <v>-2979.4574527877267</v>
      </c>
      <c r="P62" s="79">
        <f t="shared" si="4"/>
        <v>692.79991188067652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58" priority="5" operator="containsText" text="Nein">
      <formula>NOT(ISERROR(SEARCH("Nein",D22)))</formula>
    </cfRule>
  </conditionalFormatting>
  <conditionalFormatting sqref="D31:AC31">
    <cfRule type="cellIs" dxfId="157" priority="6" operator="equal">
      <formula>"ok"</formula>
    </cfRule>
  </conditionalFormatting>
  <conditionalFormatting sqref="H5:AC12 H14:AC16 H18:AC19 H33:AC41">
    <cfRule type="cellIs" dxfId="156" priority="4" operator="greaterThan">
      <formula>0</formula>
    </cfRule>
  </conditionalFormatting>
  <conditionalFormatting sqref="H6:AC12">
    <cfRule type="expression" dxfId="155" priority="3">
      <formula>NOT(ISBLANK(H6))</formula>
    </cfRule>
  </conditionalFormatting>
  <conditionalFormatting sqref="H18:AC19">
    <cfRule type="expression" dxfId="154" priority="2">
      <formula>NOT(ISBLANK(H18))</formula>
    </cfRule>
  </conditionalFormatting>
  <conditionalFormatting sqref="H56:AC60">
    <cfRule type="cellIs" dxfId="153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3A23DF96-3D43-4EC6-9092-AC9956BEF35B}">
      <formula1>"Ja, Nein"</formula1>
    </dataValidation>
  </dataValidation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A5E64-71A8-4886-8255-9FC8E982642C}">
  <sheetPr>
    <tabColor theme="2" tint="-0.499984740745262"/>
    <pageSetUpPr fitToPage="1"/>
  </sheetPr>
  <dimension ref="A1:AD134"/>
  <sheetViews>
    <sheetView topLeftCell="B1" zoomScale="90" zoomScaleNormal="90"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171</v>
      </c>
      <c r="D1" s="32"/>
      <c r="E1" s="32"/>
    </row>
    <row r="2" spans="1:30" x14ac:dyDescent="0.3">
      <c r="A2" s="30"/>
      <c r="B2" s="31" t="s">
        <v>86</v>
      </c>
      <c r="C2" s="33" t="s">
        <v>172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93871</v>
      </c>
      <c r="E5" s="42">
        <v>93871</v>
      </c>
      <c r="F5" s="42">
        <v>93871</v>
      </c>
      <c r="G5" s="42">
        <v>93871</v>
      </c>
      <c r="H5" s="43">
        <v>93871</v>
      </c>
      <c r="I5" s="43">
        <v>92669</v>
      </c>
      <c r="J5" s="43">
        <v>92291</v>
      </c>
      <c r="K5" s="43">
        <v>93104.755853682334</v>
      </c>
      <c r="L5" s="43">
        <v>95664</v>
      </c>
      <c r="M5" s="43">
        <v>93871</v>
      </c>
      <c r="N5" s="43">
        <v>96598</v>
      </c>
      <c r="O5" s="43">
        <v>95867</v>
      </c>
      <c r="P5" s="43">
        <v>98965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84000</v>
      </c>
      <c r="E6" s="42">
        <v>91442</v>
      </c>
      <c r="F6" s="42">
        <v>92755</v>
      </c>
      <c r="G6" s="42">
        <v>93260</v>
      </c>
      <c r="H6" s="47">
        <v>90860</v>
      </c>
      <c r="I6" s="47">
        <v>89093</v>
      </c>
      <c r="J6" s="47">
        <v>91093</v>
      </c>
      <c r="K6" s="47">
        <v>95915</v>
      </c>
      <c r="L6" s="47">
        <v>97662</v>
      </c>
      <c r="M6" s="47">
        <v>96275</v>
      </c>
      <c r="N6" s="47">
        <v>97145</v>
      </c>
      <c r="O6" s="47">
        <v>95182</v>
      </c>
      <c r="P6" s="47">
        <v>95310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/>
      <c r="E7" s="42"/>
      <c r="F7" s="42"/>
      <c r="G7" s="42">
        <v>1508</v>
      </c>
      <c r="H7" s="47">
        <v>767</v>
      </c>
      <c r="I7" s="47">
        <v>41</v>
      </c>
      <c r="J7" s="47">
        <v>409</v>
      </c>
      <c r="K7" s="47">
        <v>239</v>
      </c>
      <c r="L7" s="47">
        <v>297</v>
      </c>
      <c r="M7" s="47">
        <v>16</v>
      </c>
      <c r="N7" s="47">
        <v>18</v>
      </c>
      <c r="O7" s="47">
        <v>9</v>
      </c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/>
      <c r="J8" s="47"/>
      <c r="K8" s="47"/>
      <c r="L8" s="47"/>
      <c r="M8" s="47"/>
      <c r="N8" s="47">
        <v>1359</v>
      </c>
      <c r="O8" s="47">
        <v>224</v>
      </c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>
        <v>474</v>
      </c>
      <c r="O9" s="47">
        <v>70</v>
      </c>
      <c r="P9" s="47">
        <v>57</v>
      </c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13.2</v>
      </c>
      <c r="E14" s="51">
        <v>13.493</v>
      </c>
      <c r="F14" s="51">
        <v>13.262</v>
      </c>
      <c r="G14" s="51">
        <v>13.02</v>
      </c>
      <c r="H14" s="43">
        <v>13.42</v>
      </c>
      <c r="I14" s="43">
        <v>13.93</v>
      </c>
      <c r="J14" s="43">
        <v>13.08</v>
      </c>
      <c r="K14" s="43">
        <v>12.9</v>
      </c>
      <c r="L14" s="43">
        <v>12.78</v>
      </c>
      <c r="M14" s="43">
        <v>12.91</v>
      </c>
      <c r="N14" s="43">
        <v>12.781000000000001</v>
      </c>
      <c r="O14" s="43">
        <v>12.99</v>
      </c>
      <c r="P14" s="43">
        <v>12.52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43000</v>
      </c>
      <c r="E15" s="42">
        <v>48239</v>
      </c>
      <c r="F15" s="42">
        <v>51968</v>
      </c>
      <c r="G15" s="42">
        <v>58078</v>
      </c>
      <c r="H15" s="47">
        <v>61625</v>
      </c>
      <c r="I15" s="47">
        <v>53458</v>
      </c>
      <c r="J15" s="47">
        <v>55331</v>
      </c>
      <c r="K15" s="47">
        <v>59624</v>
      </c>
      <c r="L15" s="47">
        <v>68951</v>
      </c>
      <c r="M15" s="47">
        <v>65315</v>
      </c>
      <c r="N15" s="47">
        <v>74932</v>
      </c>
      <c r="O15" s="47">
        <v>79949</v>
      </c>
      <c r="P15" s="47">
        <v>79324</v>
      </c>
      <c r="Q15" s="47">
        <v>100000</v>
      </c>
      <c r="R15" s="47">
        <v>100000</v>
      </c>
      <c r="S15" s="47">
        <v>100000</v>
      </c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52000</v>
      </c>
      <c r="E16" s="42">
        <v>55166</v>
      </c>
      <c r="F16" s="42">
        <v>45056</v>
      </c>
      <c r="G16" s="42">
        <v>53915</v>
      </c>
      <c r="H16" s="47">
        <v>53956</v>
      </c>
      <c r="I16" s="47">
        <v>55504</v>
      </c>
      <c r="J16" s="47">
        <v>45785</v>
      </c>
      <c r="K16" s="47">
        <v>54781</v>
      </c>
      <c r="L16" s="47">
        <v>56972</v>
      </c>
      <c r="M16" s="47">
        <v>42175</v>
      </c>
      <c r="N16" s="47">
        <v>59319</v>
      </c>
      <c r="O16" s="47">
        <v>58288</v>
      </c>
      <c r="P16" s="47">
        <v>55299</v>
      </c>
      <c r="Q16" s="47">
        <v>50000</v>
      </c>
      <c r="R16" s="47">
        <v>50000</v>
      </c>
      <c r="S16" s="47">
        <v>50000</v>
      </c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21431</v>
      </c>
      <c r="E18" s="42">
        <v>23233</v>
      </c>
      <c r="F18" s="42">
        <v>22033</v>
      </c>
      <c r="G18" s="42">
        <v>19080</v>
      </c>
      <c r="H18" s="43">
        <v>17533</v>
      </c>
      <c r="I18" s="43">
        <v>17501</v>
      </c>
      <c r="J18" s="43">
        <v>17194</v>
      </c>
      <c r="K18" s="43">
        <v>17982</v>
      </c>
      <c r="L18" s="43">
        <v>16322</v>
      </c>
      <c r="M18" s="43">
        <v>13946</v>
      </c>
      <c r="N18" s="43">
        <v>19088</v>
      </c>
      <c r="O18" s="43">
        <v>18904</v>
      </c>
      <c r="P18" s="43">
        <v>18314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1994</v>
      </c>
      <c r="E19" s="42">
        <v>2197</v>
      </c>
      <c r="F19" s="42">
        <v>1894</v>
      </c>
      <c r="G19" s="42">
        <v>1865</v>
      </c>
      <c r="H19" s="47">
        <v>1843</v>
      </c>
      <c r="I19" s="47">
        <v>1782</v>
      </c>
      <c r="J19" s="47">
        <v>1822</v>
      </c>
      <c r="K19" s="47">
        <v>1847</v>
      </c>
      <c r="L19" s="47">
        <v>1953</v>
      </c>
      <c r="M19" s="47">
        <v>1915</v>
      </c>
      <c r="N19" s="47">
        <v>1943</v>
      </c>
      <c r="O19" s="47">
        <v>1864</v>
      </c>
      <c r="P19" s="47">
        <v>1834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112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113</v>
      </c>
      <c r="E23" s="59" t="s">
        <v>113</v>
      </c>
      <c r="F23" s="59" t="s">
        <v>113</v>
      </c>
      <c r="G23" s="59" t="s">
        <v>113</v>
      </c>
      <c r="H23" s="59" t="s">
        <v>113</v>
      </c>
      <c r="I23" s="59" t="s">
        <v>113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113</v>
      </c>
      <c r="K24" s="59" t="s">
        <v>113</v>
      </c>
      <c r="L24" s="59" t="s">
        <v>113</v>
      </c>
      <c r="M24" s="59" t="s">
        <v>113</v>
      </c>
      <c r="N24" s="59" t="s">
        <v>113</v>
      </c>
      <c r="O24" s="59" t="s">
        <v>113</v>
      </c>
      <c r="P24" s="59" t="s">
        <v>113</v>
      </c>
      <c r="Q24" s="59" t="s">
        <v>113</v>
      </c>
      <c r="R24" s="59" t="s">
        <v>113</v>
      </c>
      <c r="S24" s="59" t="s">
        <v>113</v>
      </c>
      <c r="T24" s="59" t="s">
        <v>113</v>
      </c>
      <c r="U24" s="59" t="s">
        <v>113</v>
      </c>
      <c r="V24" s="59" t="s">
        <v>113</v>
      </c>
      <c r="W24" s="59" t="s">
        <v>113</v>
      </c>
      <c r="X24" s="59" t="s">
        <v>113</v>
      </c>
      <c r="Y24" s="59" t="s">
        <v>113</v>
      </c>
      <c r="Z24" s="59" t="s">
        <v>113</v>
      </c>
      <c r="AA24" s="59" t="s">
        <v>113</v>
      </c>
      <c r="AB24" s="59" t="s">
        <v>113</v>
      </c>
      <c r="AC24" s="59" t="s">
        <v>113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112</v>
      </c>
      <c r="F25" s="59" t="s">
        <v>112</v>
      </c>
      <c r="G25" s="59" t="s">
        <v>112</v>
      </c>
      <c r="H25" s="59" t="s">
        <v>112</v>
      </c>
      <c r="I25" s="59" t="s">
        <v>112</v>
      </c>
      <c r="J25" s="59" t="s">
        <v>112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112</v>
      </c>
      <c r="L30" s="59" t="s">
        <v>112</v>
      </c>
      <c r="M30" s="59" t="s">
        <v>112</v>
      </c>
      <c r="N30" s="59" t="s">
        <v>112</v>
      </c>
      <c r="O30" s="59" t="s">
        <v>112</v>
      </c>
      <c r="P30" s="59" t="s">
        <v>112</v>
      </c>
      <c r="Q30" s="59" t="s">
        <v>112</v>
      </c>
      <c r="R30" s="59" t="s">
        <v>112</v>
      </c>
      <c r="S30" s="59" t="s">
        <v>112</v>
      </c>
      <c r="T30" s="59" t="s">
        <v>112</v>
      </c>
      <c r="U30" s="59" t="s">
        <v>112</v>
      </c>
      <c r="V30" s="59" t="s">
        <v>112</v>
      </c>
      <c r="W30" s="59" t="s">
        <v>112</v>
      </c>
      <c r="X30" s="59" t="s">
        <v>112</v>
      </c>
      <c r="Y30" s="59" t="s">
        <v>112</v>
      </c>
      <c r="Z30" s="59" t="s">
        <v>112</v>
      </c>
      <c r="AA30" s="59" t="s">
        <v>112</v>
      </c>
      <c r="AB30" s="59" t="s">
        <v>112</v>
      </c>
      <c r="AC30" s="59" t="s">
        <v>112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877.78589969999996</v>
      </c>
      <c r="E33" s="47">
        <v>951.59347709999997</v>
      </c>
      <c r="F33" s="47">
        <v>969</v>
      </c>
      <c r="G33" s="47">
        <v>1072</v>
      </c>
      <c r="H33" s="43">
        <v>1149</v>
      </c>
      <c r="I33" s="43">
        <v>1400</v>
      </c>
      <c r="J33" s="43">
        <v>1366</v>
      </c>
      <c r="K33" s="43">
        <v>1548</v>
      </c>
      <c r="L33" s="43">
        <v>1723</v>
      </c>
      <c r="M33" s="43">
        <v>1797</v>
      </c>
      <c r="N33" s="43">
        <v>2055</v>
      </c>
      <c r="O33" s="63">
        <v>1976</v>
      </c>
      <c r="P33" s="63">
        <v>1919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38</v>
      </c>
      <c r="K34" s="47">
        <v>162</v>
      </c>
      <c r="L34" s="47">
        <v>328</v>
      </c>
      <c r="M34" s="47">
        <v>368</v>
      </c>
      <c r="N34" s="47">
        <v>313</v>
      </c>
      <c r="O34" s="64">
        <v>338</v>
      </c>
      <c r="P34" s="64">
        <v>330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>
        <v>0</v>
      </c>
      <c r="E37" s="47">
        <v>29.824274999999997</v>
      </c>
      <c r="F37" s="47">
        <v>25.711049999999997</v>
      </c>
      <c r="G37" s="47">
        <v>25.317375000000002</v>
      </c>
      <c r="H37" s="47">
        <v>25.018725</v>
      </c>
      <c r="I37" s="47">
        <v>26</v>
      </c>
      <c r="J37" s="47">
        <v>26</v>
      </c>
      <c r="K37" s="47">
        <v>26</v>
      </c>
      <c r="L37" s="47">
        <v>25</v>
      </c>
      <c r="M37" s="47">
        <v>36</v>
      </c>
      <c r="N37" s="47">
        <v>33</v>
      </c>
      <c r="O37" s="64">
        <v>24</v>
      </c>
      <c r="P37" s="64">
        <v>20</v>
      </c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0</v>
      </c>
      <c r="E41" s="47">
        <v>274.87543124999996</v>
      </c>
      <c r="F41" s="47">
        <v>177</v>
      </c>
      <c r="G41" s="47">
        <v>403</v>
      </c>
      <c r="H41" s="47">
        <v>562</v>
      </c>
      <c r="I41" s="47">
        <v>604</v>
      </c>
      <c r="J41" s="47">
        <v>16</v>
      </c>
      <c r="K41" s="47">
        <v>74</v>
      </c>
      <c r="L41" s="47">
        <v>141</v>
      </c>
      <c r="M41" s="47">
        <v>158</v>
      </c>
      <c r="N41" s="47">
        <v>134</v>
      </c>
      <c r="O41" s="64">
        <v>146</v>
      </c>
      <c r="P41" s="64">
        <v>141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(Pars!D56+(D_FR_1!D14-Pars!D57)*Pars!D58)/Pars!D59</f>
        <v>0.32672000000000001</v>
      </c>
      <c r="E43" s="66">
        <f>(Pars!E56+(D_FR_1!E14-Pars!E57)*Pars!E58)/Pars!E59</f>
        <v>0.33246246753753245</v>
      </c>
      <c r="F43" s="66">
        <f>(Pars!F56+(D_FR_1!F14-Pars!F57)*Pars!F58)/Pars!F59</f>
        <v>0.32793454413091178</v>
      </c>
      <c r="G43" s="66">
        <f>(Pars!G56+(D_FR_1!G14-Pars!G57)*Pars!G58)/Pars!G59</f>
        <v>0.32319103042690872</v>
      </c>
      <c r="H43" s="66">
        <f>(Pars!H56+(D_FR_1!H14-Pars!H57)*Pars!H58)/Pars!H59</f>
        <v>0.33103067587729651</v>
      </c>
      <c r="I43" s="66">
        <f>(Pars!I56+(D_FR_1!I14-Pars!I57)*Pars!I58)/Pars!I59</f>
        <v>0.34102629486852565</v>
      </c>
      <c r="J43" s="66">
        <f>(Pars!J56+(D_FR_1!J14-Pars!J57)*Pars!J58)/Pars!J59</f>
        <v>0.32436605380367717</v>
      </c>
      <c r="K43" s="66">
        <f>(Pars!K56+(D_FR_1!K14-Pars!K57)*Pars!K58)/Pars!K59</f>
        <v>0.32083775413572108</v>
      </c>
      <c r="L43" s="66">
        <f>(Pars!L56+(D_FR_1!L14-Pars!L57)*Pars!L58)/Pars!L59</f>
        <v>0.31848545211638307</v>
      </c>
      <c r="M43" s="66">
        <f>(Pars!M56+(D_FR_1!M14-Pars!M57)*Pars!M58)/Pars!M59</f>
        <v>0.32103311070200369</v>
      </c>
      <c r="N43" s="66">
        <f>(Pars!N56+(D_FR_1!N14-Pars!N57)*Pars!N58)/Pars!N59</f>
        <v>0.31850441495585047</v>
      </c>
      <c r="O43" s="66">
        <f>(Pars!O56+(D_FR_1!O14-Pars!O57)*Pars!O58)/Pars!O59</f>
        <v>0.32260045139503468</v>
      </c>
      <c r="P43" s="66">
        <f>(Pars!P56+(D_FR_1!P14-Pars!P57)*Pars!P58)/Pars!P59</f>
        <v>0.31338823934112792</v>
      </c>
      <c r="Q43" s="66">
        <f>(Pars!Q56+(D_FR_1!Q14-Pars!Q57)*Pars!Q58)/Pars!Q59</f>
        <v>6.7999116011491847E-2</v>
      </c>
      <c r="R43" s="66">
        <f>(Pars!R56+(D_FR_1!R14-Pars!R57)*Pars!R58)/Pars!R59</f>
        <v>6.7999048013327817E-2</v>
      </c>
      <c r="S43" s="66">
        <f>(Pars!S56+(D_FR_1!S14-Pars!S57)*Pars!S58)/Pars!S59</f>
        <v>6.7998980015299776E-2</v>
      </c>
      <c r="T43" s="66">
        <f>(Pars!T56+(D_FR_1!T14-Pars!T57)*Pars!T58)/Pars!T59</f>
        <v>6.7998980015299776E-2</v>
      </c>
      <c r="U43" s="66">
        <f>(Pars!U56+(D_FR_1!U14-Pars!U57)*Pars!U58)/Pars!U59</f>
        <v>6.7998980015299776E-2</v>
      </c>
      <c r="V43" s="66">
        <f>(Pars!V56+(D_FR_1!V14-Pars!V57)*Pars!V58)/Pars!V59</f>
        <v>6.7998980015299776E-2</v>
      </c>
      <c r="W43" s="66">
        <f>(Pars!W56+(D_FR_1!W14-Pars!W57)*Pars!W58)/Pars!W59</f>
        <v>6.7998980015299776E-2</v>
      </c>
      <c r="X43" s="66">
        <f>(Pars!X56+(D_FR_1!X14-Pars!X57)*Pars!X58)/Pars!X59</f>
        <v>6.7998980015299776E-2</v>
      </c>
      <c r="Y43" s="66">
        <f>(Pars!Y56+(D_FR_1!Y14-Pars!Y57)*Pars!Y58)/Pars!Y59</f>
        <v>6.7998980015299776E-2</v>
      </c>
      <c r="Z43" s="66">
        <f>(Pars!Z56+(D_FR_1!Z14-Pars!Z57)*Pars!Z58)/Pars!Z59</f>
        <v>6.7998980015299776E-2</v>
      </c>
      <c r="AA43" s="66">
        <f>(Pars!AA56+(D_FR_1!AA14-Pars!AA57)*Pars!AA58)/Pars!AA59</f>
        <v>6.7998980015299776E-2</v>
      </c>
      <c r="AB43" s="66">
        <f>(Pars!AB56+(D_FR_1!AB14-Pars!AB57)*Pars!AB58)/Pars!AB59</f>
        <v>6.7998980015299776E-2</v>
      </c>
      <c r="AC43" s="66">
        <f>(Pars!AC56+(D_FR_1!AC14-Pars!AC57)*Pars!AC58)/Pars!AC59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100629.75999999999</v>
      </c>
      <c r="E44" s="43">
        <f>Pars!E37*E43*E6</f>
        <v>111470.45417407915</v>
      </c>
      <c r="F44" s="43">
        <f>Pars!F37*F43*F6</f>
        <v>111531.08501649665</v>
      </c>
      <c r="G44" s="43">
        <f>Pars!G37*G43*G6</f>
        <v>110516.25015791619</v>
      </c>
      <c r="H44" s="43">
        <f>Pars!H37*H43*H6</f>
        <v>110283.97310410759</v>
      </c>
      <c r="I44" s="43">
        <f>Pars!I37*I43*I6</f>
        <v>111404.53752531236</v>
      </c>
      <c r="J44" s="43">
        <f>Pars!J37*J43*J6</f>
        <v>108340.74877684067</v>
      </c>
      <c r="K44" s="43">
        <f>Pars!K37*K43*K6</f>
        <v>112834.89502240153</v>
      </c>
      <c r="L44" s="43">
        <f>Pars!L37*L43*L6</f>
        <v>114047.72949016407</v>
      </c>
      <c r="M44" s="43">
        <f>Pars!M37*M43*M6</f>
        <v>113327.3633537298</v>
      </c>
      <c r="N44" s="43">
        <f>Pars!N37*N43*N6</f>
        <v>113450.74176658235</v>
      </c>
      <c r="O44" s="63">
        <f>Pars!O37*O43*O6</f>
        <v>112587.77260383469</v>
      </c>
      <c r="P44" s="63">
        <f>Pars!P37*P43*P6</f>
        <v>109519.78800254397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48302.284799999994</v>
      </c>
      <c r="E45" s="43">
        <f>E44*Pars!E36/100</f>
        <v>53505.818003557994</v>
      </c>
      <c r="F45" s="43">
        <f>F44*Pars!F36/100</f>
        <v>53534.920807918395</v>
      </c>
      <c r="G45" s="43">
        <f>G44*Pars!G36/100</f>
        <v>53047.800075799765</v>
      </c>
      <c r="H45" s="43">
        <f>H44*Pars!H36/100</f>
        <v>52936.30708997164</v>
      </c>
      <c r="I45" s="43">
        <f>I44*Pars!I36/100</f>
        <v>53474.178012149932</v>
      </c>
      <c r="J45" s="43">
        <f>J44*Pars!J36/100</f>
        <v>52003.559412883522</v>
      </c>
      <c r="K45" s="43">
        <f>K44*Pars!K36/100</f>
        <v>54160.749610752733</v>
      </c>
      <c r="L45" s="43">
        <f>L44*Pars!L36/100</f>
        <v>54742.910155278754</v>
      </c>
      <c r="M45" s="43">
        <f>M44*Pars!M36/100</f>
        <v>54397.134409790298</v>
      </c>
      <c r="N45" s="43">
        <f>N44*Pars!N36/100</f>
        <v>54456.356047959525</v>
      </c>
      <c r="O45" s="63">
        <f>O44*Pars!O36/100</f>
        <v>54042.130849840651</v>
      </c>
      <c r="P45" s="63">
        <f>P44*Pars!P36/100</f>
        <v>52569.498241221103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9644.9</v>
      </c>
      <c r="E46" s="43">
        <f>Pars!E40*E15</f>
        <v>10820.0077</v>
      </c>
      <c r="F46" s="43">
        <f>Pars!F40*F15</f>
        <v>11656.422399999999</v>
      </c>
      <c r="G46" s="43">
        <f>Pars!G40*G15</f>
        <v>13026.895399999999</v>
      </c>
      <c r="H46" s="43">
        <f>Pars!H40*H15</f>
        <v>13822.487499999999</v>
      </c>
      <c r="I46" s="43">
        <f>Pars!I40*I15</f>
        <v>11990.6294</v>
      </c>
      <c r="J46" s="43">
        <f>Pars!J40*J15</f>
        <v>12410.7433</v>
      </c>
      <c r="K46" s="43">
        <f>Pars!K40*K15</f>
        <v>13373.663200000001</v>
      </c>
      <c r="L46" s="43">
        <f>Pars!L40*L15</f>
        <v>15465.7093</v>
      </c>
      <c r="M46" s="43">
        <f>Pars!M40*M15</f>
        <v>14650.154500000001</v>
      </c>
      <c r="N46" s="43">
        <f>Pars!N40*N15</f>
        <v>16807.247599999999</v>
      </c>
      <c r="O46" s="63">
        <f>Pars!O40*O15</f>
        <v>17932.560699999998</v>
      </c>
      <c r="P46" s="63">
        <f>Pars!P40*P15</f>
        <v>17792.373199999998</v>
      </c>
      <c r="Q46" s="63">
        <f>Pars!Q40*Q15</f>
        <v>22430</v>
      </c>
      <c r="R46" s="63">
        <f>Pars!R40*R15</f>
        <v>22430</v>
      </c>
      <c r="S46" s="63">
        <f>Pars!S40*S15</f>
        <v>22430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1539.2</v>
      </c>
      <c r="E47" s="43">
        <f>Pars!E41*E16</f>
        <v>1632.9136000000001</v>
      </c>
      <c r="F47" s="43">
        <f>Pars!F41*F16</f>
        <v>1333.6576</v>
      </c>
      <c r="G47" s="43">
        <f>Pars!G41*G16</f>
        <v>1595.884</v>
      </c>
      <c r="H47" s="43">
        <f>Pars!H41*H16</f>
        <v>1597.0976000000001</v>
      </c>
      <c r="I47" s="43">
        <f>Pars!I41*I16</f>
        <v>1642.9184</v>
      </c>
      <c r="J47" s="43">
        <f>Pars!J41*J16</f>
        <v>1355.2360000000001</v>
      </c>
      <c r="K47" s="43">
        <f>Pars!K41*K16</f>
        <v>1621.5176000000001</v>
      </c>
      <c r="L47" s="43">
        <f>Pars!L41*L16</f>
        <v>1686.3712</v>
      </c>
      <c r="M47" s="43">
        <f>Pars!M41*M16</f>
        <v>1248.3800000000001</v>
      </c>
      <c r="N47" s="43">
        <f>Pars!N41*N16</f>
        <v>1755.8424</v>
      </c>
      <c r="O47" s="63">
        <f>Pars!O41*O16</f>
        <v>1725.3248000000001</v>
      </c>
      <c r="P47" s="63">
        <f>Pars!P41*P16</f>
        <v>1636.8504</v>
      </c>
      <c r="Q47" s="63">
        <f>Pars!Q41*Q16</f>
        <v>1480</v>
      </c>
      <c r="R47" s="63">
        <f>Pars!R41*R16</f>
        <v>1480</v>
      </c>
      <c r="S47" s="63">
        <f>Pars!S41*S16</f>
        <v>1480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1325.4567085469998</v>
      </c>
      <c r="E48" s="67">
        <f t="array" ref="E48">SUMPRODUCT(E33:E41,Pars!E44:E52)</f>
        <v>2884.0545376709997</v>
      </c>
      <c r="F48" s="67">
        <f t="array" ref="F48">SUMPRODUCT(F33:F41,Pars!F44:F52)</f>
        <v>2410.9249620000001</v>
      </c>
      <c r="G48" s="67">
        <f t="array" ref="G48">SUMPRODUCT(G33:G41,Pars!G44:G52)</f>
        <v>3695.4943949999997</v>
      </c>
      <c r="H48" s="67">
        <f t="array" ref="H48">SUMPRODUCT(H33:H41,Pars!H44:H52)</f>
        <v>4606.0356890000003</v>
      </c>
      <c r="I48" s="67">
        <f t="array" ref="I48">SUMPRODUCT(I33:I41,Pars!I44:I52)</f>
        <v>5197.4400000000005</v>
      </c>
      <c r="J48" s="67">
        <f t="array" ref="J48">SUMPRODUCT(J33:J41,Pars!J44:J52)</f>
        <v>2536.3199999999997</v>
      </c>
      <c r="K48" s="67">
        <f t="array" ref="K48">SUMPRODUCT(K33:K41,Pars!K44:K52)</f>
        <v>4178.7000000000007</v>
      </c>
      <c r="L48" s="67">
        <f t="array" ref="L48">SUMPRODUCT(L33:L41,Pars!L44:L52)</f>
        <v>6218.0499999999993</v>
      </c>
      <c r="M48" s="67">
        <f t="array" ref="M48">SUMPRODUCT(M33:M41,Pars!M44:M52)</f>
        <v>6789.23</v>
      </c>
      <c r="N48" s="67">
        <f t="array" ref="N48">SUMPRODUCT(N33:N41,Pars!N44:N52)</f>
        <v>6573.5400000000009</v>
      </c>
      <c r="O48" s="67">
        <f t="array" ref="O48">SUMPRODUCT(O33:O41,Pars!O44:O52)</f>
        <v>6709.54</v>
      </c>
      <c r="P48" s="67">
        <f t="array" ref="P48">SUMPRODUCT(P33:P41,Pars!P44:P52)</f>
        <v>6519.19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12509.556708546999</v>
      </c>
      <c r="E49" s="67">
        <f t="shared" ref="E49:AC49" si="1">SUM(E46:E48)</f>
        <v>15336.975837671</v>
      </c>
      <c r="F49" s="67">
        <f t="shared" si="1"/>
        <v>15401.004961999999</v>
      </c>
      <c r="G49" s="67">
        <f t="shared" si="1"/>
        <v>18318.273795000001</v>
      </c>
      <c r="H49" s="67">
        <f t="shared" si="1"/>
        <v>20025.620789000001</v>
      </c>
      <c r="I49" s="67">
        <f t="shared" si="1"/>
        <v>18830.987800000003</v>
      </c>
      <c r="J49" s="67">
        <f t="shared" si="1"/>
        <v>16302.299300000001</v>
      </c>
      <c r="K49" s="67">
        <f t="shared" si="1"/>
        <v>19173.880800000003</v>
      </c>
      <c r="L49" s="67">
        <f t="shared" si="1"/>
        <v>23370.130499999999</v>
      </c>
      <c r="M49" s="67">
        <f t="shared" si="1"/>
        <v>22687.764500000001</v>
      </c>
      <c r="N49" s="67">
        <f t="shared" si="1"/>
        <v>25136.63</v>
      </c>
      <c r="O49" s="67">
        <f t="shared" si="1"/>
        <v>26367.425499999998</v>
      </c>
      <c r="P49" s="67">
        <f t="shared" si="1"/>
        <v>25948.413599999996</v>
      </c>
      <c r="Q49" s="67">
        <f t="shared" si="1"/>
        <v>23910</v>
      </c>
      <c r="R49" s="67">
        <f t="shared" si="1"/>
        <v>23910</v>
      </c>
      <c r="S49" s="67">
        <f t="shared" si="1"/>
        <v>23910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35792.728091452998</v>
      </c>
      <c r="E50" s="70">
        <f t="shared" ref="E50:AC50" si="2">E45-E49</f>
        <v>38168.842165886992</v>
      </c>
      <c r="F50" s="70">
        <f t="shared" si="2"/>
        <v>38133.915845918396</v>
      </c>
      <c r="G50" s="70">
        <f t="shared" si="2"/>
        <v>34729.526280799764</v>
      </c>
      <c r="H50" s="70">
        <f t="shared" si="2"/>
        <v>32910.68630097164</v>
      </c>
      <c r="I50" s="70">
        <f t="shared" si="2"/>
        <v>34643.19021214993</v>
      </c>
      <c r="J50" s="70">
        <f t="shared" si="2"/>
        <v>35701.260112883523</v>
      </c>
      <c r="K50" s="70">
        <f t="shared" si="2"/>
        <v>34986.868810752727</v>
      </c>
      <c r="L50" s="70">
        <f t="shared" si="2"/>
        <v>31372.779655278755</v>
      </c>
      <c r="M50" s="70">
        <f t="shared" si="2"/>
        <v>31709.369909790297</v>
      </c>
      <c r="N50" s="70">
        <f t="shared" si="2"/>
        <v>29319.726047959524</v>
      </c>
      <c r="O50" s="70">
        <f t="shared" si="2"/>
        <v>27674.705349840653</v>
      </c>
      <c r="P50" s="70">
        <f t="shared" si="2"/>
        <v>26621.084641221107</v>
      </c>
      <c r="Q50" s="70">
        <f t="shared" si="2"/>
        <v>-23910</v>
      </c>
      <c r="R50" s="70">
        <f t="shared" si="2"/>
        <v>-23910</v>
      </c>
      <c r="S50" s="70">
        <f t="shared" si="2"/>
        <v>-23910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35792.728091452998</v>
      </c>
      <c r="E62" s="79">
        <f t="shared" ref="E62:AC62" si="4">E50+E61</f>
        <v>38168.842165886992</v>
      </c>
      <c r="F62" s="79">
        <f t="shared" si="4"/>
        <v>38133.915845918396</v>
      </c>
      <c r="G62" s="79">
        <f t="shared" si="4"/>
        <v>34729.526280799764</v>
      </c>
      <c r="H62" s="79">
        <f t="shared" si="4"/>
        <v>32910.68630097164</v>
      </c>
      <c r="I62" s="79">
        <f t="shared" si="4"/>
        <v>34643.19021214993</v>
      </c>
      <c r="J62" s="79">
        <f t="shared" si="4"/>
        <v>35701.260112883523</v>
      </c>
      <c r="K62" s="79">
        <f t="shared" si="4"/>
        <v>34986.868810752727</v>
      </c>
      <c r="L62" s="79">
        <f t="shared" si="4"/>
        <v>31372.779655278755</v>
      </c>
      <c r="M62" s="79">
        <f t="shared" si="4"/>
        <v>31709.369909790297</v>
      </c>
      <c r="N62" s="79">
        <f t="shared" si="4"/>
        <v>29319.726047959524</v>
      </c>
      <c r="O62" s="79">
        <f t="shared" si="4"/>
        <v>27674.705349840653</v>
      </c>
      <c r="P62" s="79">
        <f t="shared" si="4"/>
        <v>26621.084641221107</v>
      </c>
      <c r="Q62" s="79">
        <f t="shared" si="4"/>
        <v>-23910</v>
      </c>
      <c r="R62" s="79">
        <f t="shared" si="4"/>
        <v>-23910</v>
      </c>
      <c r="S62" s="79">
        <f t="shared" si="4"/>
        <v>-23910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52" priority="5" operator="containsText" text="Nein">
      <formula>NOT(ISERROR(SEARCH("Nein",D22)))</formula>
    </cfRule>
  </conditionalFormatting>
  <conditionalFormatting sqref="D31:AC31">
    <cfRule type="cellIs" dxfId="151" priority="6" operator="equal">
      <formula>"ok"</formula>
    </cfRule>
  </conditionalFormatting>
  <conditionalFormatting sqref="H5:AC12 H14:AC16 H18:AC19 H33:AC41">
    <cfRule type="cellIs" dxfId="150" priority="4" operator="greaterThan">
      <formula>0</formula>
    </cfRule>
  </conditionalFormatting>
  <conditionalFormatting sqref="H6:AC12">
    <cfRule type="expression" dxfId="149" priority="3">
      <formula>NOT(ISBLANK(H6))</formula>
    </cfRule>
  </conditionalFormatting>
  <conditionalFormatting sqref="H18:AC19">
    <cfRule type="expression" dxfId="148" priority="2">
      <formula>NOT(ISBLANK(H18))</formula>
    </cfRule>
  </conditionalFormatting>
  <conditionalFormatting sqref="H56:AC60">
    <cfRule type="cellIs" dxfId="147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4C4185A5-695B-41C6-8EC2-BE4DA8F31C6C}">
      <formula1>"Ja, Nein"</formula1>
    </dataValidation>
  </dataValidations>
  <pageMargins left="0.7" right="0.7" top="0.75" bottom="0.75" header="0.3" footer="0.3"/>
  <pageSetup paperSize="9" scale="27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1A7BE-8B3C-4E32-95E6-0965A3EE375A}">
  <sheetPr>
    <tabColor theme="2" tint="-0.499984740745262"/>
  </sheetPr>
  <dimension ref="A1:AD134"/>
  <sheetViews>
    <sheetView zoomScale="90" zoomScaleNormal="90" workbookViewId="0">
      <selection activeCell="I2" sqref="I2"/>
    </sheetView>
  </sheetViews>
  <sheetFormatPr baseColWidth="10" defaultColWidth="8.88671875" defaultRowHeight="14.4" x14ac:dyDescent="0.3"/>
  <cols>
    <col min="1" max="1" width="4.88671875" style="33" customWidth="1"/>
    <col min="2" max="2" width="41.109375" style="33" customWidth="1"/>
    <col min="3" max="3" width="16.77734375" style="33" customWidth="1"/>
    <col min="4" max="29" width="6.88671875" style="33" customWidth="1"/>
    <col min="30" max="30" width="90.77734375" style="33" customWidth="1"/>
    <col min="31" max="16384" width="8.88671875" style="33"/>
  </cols>
  <sheetData>
    <row r="1" spans="1:30" ht="23.25" customHeight="1" x14ac:dyDescent="0.3">
      <c r="A1" s="30"/>
      <c r="B1" s="31" t="s">
        <v>84</v>
      </c>
      <c r="C1" s="32" t="s">
        <v>173</v>
      </c>
      <c r="D1" s="32"/>
      <c r="E1" s="32"/>
    </row>
    <row r="2" spans="1:30" x14ac:dyDescent="0.3">
      <c r="A2" s="30"/>
      <c r="B2" s="31" t="s">
        <v>86</v>
      </c>
      <c r="C2" s="33" t="s">
        <v>174</v>
      </c>
      <c r="I2" s="34"/>
      <c r="J2" s="34"/>
      <c r="K2" s="34"/>
      <c r="L2" s="34"/>
      <c r="M2" s="34"/>
      <c r="N2" s="34"/>
      <c r="O2" s="34"/>
      <c r="P2" s="34"/>
    </row>
    <row r="3" spans="1:30" ht="17.399999999999999" x14ac:dyDescent="0.3">
      <c r="A3" s="36" t="s">
        <v>92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30" x14ac:dyDescent="0.3">
      <c r="C4" s="37" t="s">
        <v>1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  <c r="M4" s="38">
        <v>2019</v>
      </c>
      <c r="N4" s="38">
        <v>2020</v>
      </c>
      <c r="O4" s="38">
        <v>2021</v>
      </c>
      <c r="P4" s="38">
        <v>2022</v>
      </c>
      <c r="Q4" s="38">
        <v>2023</v>
      </c>
      <c r="R4" s="38">
        <v>2024</v>
      </c>
      <c r="S4" s="38">
        <v>2025</v>
      </c>
      <c r="T4" s="38">
        <v>2026</v>
      </c>
      <c r="U4" s="38">
        <v>2027</v>
      </c>
      <c r="V4" s="38">
        <v>2028</v>
      </c>
      <c r="W4" s="38">
        <v>2029</v>
      </c>
      <c r="X4" s="38">
        <v>2030</v>
      </c>
      <c r="Y4" s="38">
        <v>2031</v>
      </c>
      <c r="Z4" s="38">
        <v>2032</v>
      </c>
      <c r="AA4" s="38">
        <v>2033</v>
      </c>
      <c r="AB4" s="38">
        <v>2034</v>
      </c>
      <c r="AC4" s="38">
        <v>2035</v>
      </c>
      <c r="AD4" s="39" t="s">
        <v>93</v>
      </c>
    </row>
    <row r="5" spans="1:30" ht="22.5" customHeight="1" x14ac:dyDescent="0.3">
      <c r="B5" s="40" t="s">
        <v>94</v>
      </c>
      <c r="C5" s="41" t="s">
        <v>95</v>
      </c>
      <c r="D5" s="42">
        <v>250000</v>
      </c>
      <c r="E5" s="42">
        <v>250000</v>
      </c>
      <c r="F5" s="42">
        <v>250000</v>
      </c>
      <c r="G5" s="42">
        <v>250000</v>
      </c>
      <c r="H5" s="43">
        <v>250000</v>
      </c>
      <c r="I5" s="43">
        <v>250000</v>
      </c>
      <c r="J5" s="43">
        <v>250000</v>
      </c>
      <c r="K5" s="43">
        <v>250000</v>
      </c>
      <c r="L5" s="43">
        <v>250000</v>
      </c>
      <c r="M5" s="43">
        <v>250000</v>
      </c>
      <c r="N5" s="43">
        <v>250000</v>
      </c>
      <c r="O5" s="43">
        <v>250000</v>
      </c>
      <c r="P5" s="43">
        <v>261328</v>
      </c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</row>
    <row r="6" spans="1:30" ht="19.5" customHeight="1" x14ac:dyDescent="0.3">
      <c r="B6" s="45" t="s">
        <v>96</v>
      </c>
      <c r="C6" s="46" t="s">
        <v>95</v>
      </c>
      <c r="D6" s="42">
        <v>232404</v>
      </c>
      <c r="E6" s="42">
        <v>234286</v>
      </c>
      <c r="F6" s="42">
        <v>241251</v>
      </c>
      <c r="G6" s="42">
        <v>224903</v>
      </c>
      <c r="H6" s="47">
        <v>229243</v>
      </c>
      <c r="I6" s="47">
        <v>222768</v>
      </c>
      <c r="J6" s="47">
        <v>232663</v>
      </c>
      <c r="K6" s="47">
        <v>237694</v>
      </c>
      <c r="L6" s="47">
        <v>225307</v>
      </c>
      <c r="M6" s="47">
        <v>219174</v>
      </c>
      <c r="N6" s="47">
        <v>222478</v>
      </c>
      <c r="O6" s="47">
        <v>240473</v>
      </c>
      <c r="P6" s="47">
        <v>223746</v>
      </c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4"/>
    </row>
    <row r="7" spans="1:30" x14ac:dyDescent="0.3">
      <c r="B7" s="48" t="s">
        <v>97</v>
      </c>
      <c r="C7" s="46" t="s">
        <v>98</v>
      </c>
      <c r="D7" s="42">
        <v>0</v>
      </c>
      <c r="E7" s="42">
        <v>0</v>
      </c>
      <c r="F7" s="42">
        <v>0</v>
      </c>
      <c r="G7" s="42">
        <v>0</v>
      </c>
      <c r="H7" s="47">
        <v>0</v>
      </c>
      <c r="I7" s="47">
        <v>0</v>
      </c>
      <c r="J7" s="47">
        <v>0</v>
      </c>
      <c r="K7" s="47">
        <v>0</v>
      </c>
      <c r="L7" s="47">
        <v>0</v>
      </c>
      <c r="M7" s="47">
        <v>0</v>
      </c>
      <c r="N7" s="47">
        <v>0</v>
      </c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4"/>
    </row>
    <row r="8" spans="1:30" x14ac:dyDescent="0.3">
      <c r="B8" s="48" t="s">
        <v>99</v>
      </c>
      <c r="C8" s="46" t="s">
        <v>95</v>
      </c>
      <c r="D8" s="42"/>
      <c r="E8" s="42"/>
      <c r="F8" s="42"/>
      <c r="G8" s="42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4"/>
    </row>
    <row r="9" spans="1:30" x14ac:dyDescent="0.3">
      <c r="B9" s="48" t="s">
        <v>100</v>
      </c>
      <c r="C9" s="46" t="s">
        <v>95</v>
      </c>
      <c r="D9" s="42"/>
      <c r="E9" s="42"/>
      <c r="F9" s="42"/>
      <c r="G9" s="42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4"/>
    </row>
    <row r="10" spans="1:30" x14ac:dyDescent="0.3">
      <c r="B10" s="48" t="s">
        <v>101</v>
      </c>
      <c r="C10" s="46" t="s">
        <v>95</v>
      </c>
      <c r="D10" s="42"/>
      <c r="E10" s="42"/>
      <c r="F10" s="42"/>
      <c r="G10" s="42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4"/>
    </row>
    <row r="11" spans="1:30" x14ac:dyDescent="0.3">
      <c r="B11" s="48" t="s">
        <v>102</v>
      </c>
      <c r="C11" s="46" t="s">
        <v>95</v>
      </c>
      <c r="D11" s="42"/>
      <c r="E11" s="42"/>
      <c r="F11" s="42"/>
      <c r="G11" s="42"/>
      <c r="H11" s="47"/>
      <c r="I11" s="47"/>
      <c r="J11" s="47"/>
      <c r="K11" s="47"/>
      <c r="L11" s="47"/>
      <c r="M11" s="47">
        <v>12510</v>
      </c>
      <c r="N11" s="47">
        <v>27169</v>
      </c>
      <c r="O11" s="47">
        <v>34077</v>
      </c>
      <c r="P11" s="47">
        <v>29454</v>
      </c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4"/>
    </row>
    <row r="12" spans="1:30" x14ac:dyDescent="0.3">
      <c r="B12" s="48" t="s">
        <v>103</v>
      </c>
      <c r="C12" s="46" t="s">
        <v>95</v>
      </c>
      <c r="D12" s="42"/>
      <c r="E12" s="42"/>
      <c r="F12" s="42"/>
      <c r="G12" s="42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4"/>
    </row>
    <row r="13" spans="1:30" ht="33.75" customHeight="1" x14ac:dyDescent="0.3">
      <c r="C13" s="49"/>
      <c r="D13" s="50"/>
      <c r="E13" s="50"/>
      <c r="F13" s="50"/>
      <c r="G13" s="50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</row>
    <row r="14" spans="1:30" x14ac:dyDescent="0.3">
      <c r="B14" s="40" t="s">
        <v>104</v>
      </c>
      <c r="C14" s="41" t="s">
        <v>79</v>
      </c>
      <c r="D14" s="51">
        <v>10.865</v>
      </c>
      <c r="E14" s="51">
        <v>10.782</v>
      </c>
      <c r="F14" s="51">
        <v>10.757</v>
      </c>
      <c r="G14" s="51">
        <v>10.52</v>
      </c>
      <c r="H14" s="43">
        <v>10.7</v>
      </c>
      <c r="I14" s="43">
        <v>10.77</v>
      </c>
      <c r="J14" s="43">
        <v>10.89</v>
      </c>
      <c r="K14" s="43">
        <v>11.12</v>
      </c>
      <c r="L14" s="43">
        <v>10.76</v>
      </c>
      <c r="M14" s="43">
        <v>10.97</v>
      </c>
      <c r="N14" s="43">
        <v>11.109</v>
      </c>
      <c r="O14" s="43">
        <v>10.67</v>
      </c>
      <c r="P14" s="43">
        <v>10.66</v>
      </c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4"/>
    </row>
    <row r="15" spans="1:30" ht="28.5" customHeight="1" x14ac:dyDescent="0.3">
      <c r="B15" s="45" t="s">
        <v>51</v>
      </c>
      <c r="C15" s="46" t="s">
        <v>105</v>
      </c>
      <c r="D15" s="42">
        <v>138722</v>
      </c>
      <c r="E15" s="42">
        <v>117493</v>
      </c>
      <c r="F15" s="42">
        <v>146133</v>
      </c>
      <c r="G15" s="42">
        <v>202448</v>
      </c>
      <c r="H15" s="47">
        <v>215610</v>
      </c>
      <c r="I15" s="47">
        <v>250049</v>
      </c>
      <c r="J15" s="47">
        <v>264231</v>
      </c>
      <c r="K15" s="47">
        <v>282904</v>
      </c>
      <c r="L15" s="47">
        <v>277227</v>
      </c>
      <c r="M15" s="47">
        <v>258698</v>
      </c>
      <c r="N15" s="47">
        <v>267799</v>
      </c>
      <c r="O15" s="47">
        <v>258427</v>
      </c>
      <c r="P15" s="47">
        <v>252877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4"/>
    </row>
    <row r="16" spans="1:30" x14ac:dyDescent="0.3">
      <c r="B16" s="45" t="s">
        <v>53</v>
      </c>
      <c r="C16" s="46" t="s">
        <v>105</v>
      </c>
      <c r="D16" s="42">
        <v>93658</v>
      </c>
      <c r="E16" s="42">
        <v>98601</v>
      </c>
      <c r="F16" s="42">
        <v>102283</v>
      </c>
      <c r="G16" s="42">
        <v>84382</v>
      </c>
      <c r="H16" s="47">
        <v>88665</v>
      </c>
      <c r="I16" s="47">
        <v>82198</v>
      </c>
      <c r="J16" s="47">
        <v>80646</v>
      </c>
      <c r="K16" s="47">
        <v>88151</v>
      </c>
      <c r="L16" s="47">
        <v>71719</v>
      </c>
      <c r="M16" s="47">
        <v>70656</v>
      </c>
      <c r="N16" s="47">
        <v>81582</v>
      </c>
      <c r="O16" s="47">
        <v>86185</v>
      </c>
      <c r="P16" s="47">
        <v>77747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4"/>
    </row>
    <row r="17" spans="1:30" x14ac:dyDescent="0.3">
      <c r="B17" s="52"/>
      <c r="C17" s="53"/>
      <c r="D17" s="54"/>
      <c r="E17" s="54"/>
      <c r="F17" s="54"/>
      <c r="G17" s="5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</row>
    <row r="18" spans="1:30" x14ac:dyDescent="0.3">
      <c r="B18" s="40" t="s">
        <v>106</v>
      </c>
      <c r="C18" s="41" t="s">
        <v>95</v>
      </c>
      <c r="D18" s="42">
        <v>40838</v>
      </c>
      <c r="E18" s="42">
        <v>42827</v>
      </c>
      <c r="F18" s="42">
        <v>42500</v>
      </c>
      <c r="G18" s="42">
        <v>42924</v>
      </c>
      <c r="H18" s="43">
        <v>41785</v>
      </c>
      <c r="I18" s="43">
        <v>40045</v>
      </c>
      <c r="J18" s="43">
        <v>43146</v>
      </c>
      <c r="K18" s="43">
        <v>41308.28</v>
      </c>
      <c r="L18" s="43">
        <v>41833</v>
      </c>
      <c r="M18" s="43">
        <v>35028</v>
      </c>
      <c r="N18" s="43">
        <v>38593</v>
      </c>
      <c r="O18" s="43">
        <v>44218</v>
      </c>
      <c r="P18" s="43">
        <v>42812</v>
      </c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4"/>
    </row>
    <row r="19" spans="1:30" x14ac:dyDescent="0.3">
      <c r="B19" s="55" t="s">
        <v>107</v>
      </c>
      <c r="C19" s="46" t="s">
        <v>95</v>
      </c>
      <c r="D19" s="42">
        <v>4362</v>
      </c>
      <c r="E19" s="42">
        <v>4638</v>
      </c>
      <c r="F19" s="42">
        <v>4232</v>
      </c>
      <c r="G19" s="42">
        <v>2953</v>
      </c>
      <c r="H19" s="47">
        <v>3416</v>
      </c>
      <c r="I19" s="47">
        <v>2670</v>
      </c>
      <c r="J19" s="47">
        <v>3237</v>
      </c>
      <c r="K19" s="47">
        <v>2766.47</v>
      </c>
      <c r="L19" s="47">
        <v>2625</v>
      </c>
      <c r="M19" s="47">
        <v>2264</v>
      </c>
      <c r="N19" s="47">
        <v>2117</v>
      </c>
      <c r="O19" s="47">
        <v>3076</v>
      </c>
      <c r="P19" s="47">
        <v>2887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4"/>
    </row>
    <row r="20" spans="1:30" x14ac:dyDescent="0.3">
      <c r="D20" s="56"/>
      <c r="E20" s="56"/>
      <c r="F20" s="56"/>
      <c r="G20" s="56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</row>
    <row r="21" spans="1:30" x14ac:dyDescent="0.3">
      <c r="A21" s="32" t="s">
        <v>108</v>
      </c>
      <c r="D21" s="56"/>
      <c r="E21" s="56"/>
      <c r="F21" s="56"/>
      <c r="G21" s="56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1:30" ht="21.75" customHeight="1" x14ac:dyDescent="0.3">
      <c r="A22" s="57" t="s">
        <v>109</v>
      </c>
      <c r="B22" s="49" t="s">
        <v>110</v>
      </c>
      <c r="C22" s="58" t="s">
        <v>111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 t="s">
        <v>113</v>
      </c>
      <c r="K22" s="59" t="s">
        <v>113</v>
      </c>
      <c r="L22" s="59" t="s">
        <v>113</v>
      </c>
      <c r="M22" s="59" t="s">
        <v>113</v>
      </c>
      <c r="N22" s="59" t="s">
        <v>113</v>
      </c>
      <c r="O22" s="59" t="s">
        <v>113</v>
      </c>
      <c r="P22" s="59" t="s">
        <v>113</v>
      </c>
      <c r="Q22" s="59" t="s">
        <v>113</v>
      </c>
      <c r="R22" s="59" t="s">
        <v>113</v>
      </c>
      <c r="S22" s="59" t="s">
        <v>113</v>
      </c>
      <c r="T22" s="59" t="s">
        <v>113</v>
      </c>
      <c r="U22" s="59" t="s">
        <v>113</v>
      </c>
      <c r="V22" s="59" t="s">
        <v>113</v>
      </c>
      <c r="W22" s="59" t="s">
        <v>113</v>
      </c>
      <c r="X22" s="59" t="s">
        <v>113</v>
      </c>
      <c r="Y22" s="59" t="s">
        <v>113</v>
      </c>
      <c r="Z22" s="59" t="s">
        <v>113</v>
      </c>
      <c r="AA22" s="59" t="s">
        <v>113</v>
      </c>
      <c r="AB22" s="59" t="s">
        <v>113</v>
      </c>
      <c r="AC22" s="59" t="s">
        <v>113</v>
      </c>
      <c r="AD22" s="44"/>
    </row>
    <row r="23" spans="1:30" x14ac:dyDescent="0.3">
      <c r="A23" s="57" t="s">
        <v>114</v>
      </c>
      <c r="B23" s="49" t="s">
        <v>115</v>
      </c>
      <c r="C23" s="58" t="s">
        <v>111</v>
      </c>
      <c r="D23" s="59" t="s">
        <v>112</v>
      </c>
      <c r="E23" s="59" t="s">
        <v>112</v>
      </c>
      <c r="F23" s="59" t="s">
        <v>112</v>
      </c>
      <c r="G23" s="59" t="s">
        <v>112</v>
      </c>
      <c r="H23" s="59" t="s">
        <v>112</v>
      </c>
      <c r="I23" s="59" t="s">
        <v>112</v>
      </c>
      <c r="J23" s="59" t="s">
        <v>113</v>
      </c>
      <c r="K23" s="59" t="s">
        <v>113</v>
      </c>
      <c r="L23" s="59" t="s">
        <v>113</v>
      </c>
      <c r="M23" s="59" t="s">
        <v>113</v>
      </c>
      <c r="N23" s="59" t="s">
        <v>113</v>
      </c>
      <c r="O23" s="59" t="s">
        <v>113</v>
      </c>
      <c r="P23" s="59" t="s">
        <v>113</v>
      </c>
      <c r="Q23" s="59" t="s">
        <v>113</v>
      </c>
      <c r="R23" s="59" t="s">
        <v>113</v>
      </c>
      <c r="S23" s="59" t="s">
        <v>113</v>
      </c>
      <c r="T23" s="59" t="s">
        <v>113</v>
      </c>
      <c r="U23" s="59" t="s">
        <v>113</v>
      </c>
      <c r="V23" s="59" t="s">
        <v>113</v>
      </c>
      <c r="W23" s="59" t="s">
        <v>113</v>
      </c>
      <c r="X23" s="59" t="s">
        <v>113</v>
      </c>
      <c r="Y23" s="59" t="s">
        <v>113</v>
      </c>
      <c r="Z23" s="59" t="s">
        <v>113</v>
      </c>
      <c r="AA23" s="59" t="s">
        <v>113</v>
      </c>
      <c r="AB23" s="59" t="s">
        <v>113</v>
      </c>
      <c r="AC23" s="59" t="s">
        <v>113</v>
      </c>
      <c r="AD23" s="44"/>
    </row>
    <row r="24" spans="1:30" x14ac:dyDescent="0.3">
      <c r="A24" s="57" t="s">
        <v>116</v>
      </c>
      <c r="B24" s="49" t="s">
        <v>117</v>
      </c>
      <c r="C24" s="58" t="s">
        <v>111</v>
      </c>
      <c r="D24" s="59" t="s">
        <v>113</v>
      </c>
      <c r="E24" s="59" t="s">
        <v>113</v>
      </c>
      <c r="F24" s="59" t="s">
        <v>113</v>
      </c>
      <c r="G24" s="59" t="s">
        <v>113</v>
      </c>
      <c r="H24" s="59" t="s">
        <v>113</v>
      </c>
      <c r="I24" s="59" t="s">
        <v>113</v>
      </c>
      <c r="J24" s="59" t="s">
        <v>112</v>
      </c>
      <c r="K24" s="59" t="s">
        <v>112</v>
      </c>
      <c r="L24" s="59" t="s">
        <v>112</v>
      </c>
      <c r="M24" s="59" t="s">
        <v>112</v>
      </c>
      <c r="N24" s="59" t="s">
        <v>112</v>
      </c>
      <c r="O24" s="59" t="s">
        <v>112</v>
      </c>
      <c r="P24" s="59" t="s">
        <v>112</v>
      </c>
      <c r="Q24" s="59" t="s">
        <v>112</v>
      </c>
      <c r="R24" s="59" t="s">
        <v>112</v>
      </c>
      <c r="S24" s="59" t="s">
        <v>112</v>
      </c>
      <c r="T24" s="59" t="s">
        <v>112</v>
      </c>
      <c r="U24" s="59" t="s">
        <v>112</v>
      </c>
      <c r="V24" s="59" t="s">
        <v>112</v>
      </c>
      <c r="W24" s="59" t="s">
        <v>112</v>
      </c>
      <c r="X24" s="59" t="s">
        <v>112</v>
      </c>
      <c r="Y24" s="59" t="s">
        <v>112</v>
      </c>
      <c r="Z24" s="59" t="s">
        <v>112</v>
      </c>
      <c r="AA24" s="59" t="s">
        <v>112</v>
      </c>
      <c r="AB24" s="59" t="s">
        <v>112</v>
      </c>
      <c r="AC24" s="59" t="s">
        <v>112</v>
      </c>
      <c r="AD24" s="44"/>
    </row>
    <row r="25" spans="1:30" x14ac:dyDescent="0.3">
      <c r="A25" s="57" t="s">
        <v>118</v>
      </c>
      <c r="B25" s="49" t="s">
        <v>119</v>
      </c>
      <c r="C25" s="58" t="s">
        <v>111</v>
      </c>
      <c r="D25" s="59" t="s">
        <v>113</v>
      </c>
      <c r="E25" s="59" t="s">
        <v>113</v>
      </c>
      <c r="F25" s="59" t="s">
        <v>113</v>
      </c>
      <c r="G25" s="59" t="s">
        <v>113</v>
      </c>
      <c r="H25" s="59" t="s">
        <v>113</v>
      </c>
      <c r="I25" s="59" t="s">
        <v>113</v>
      </c>
      <c r="J25" s="59" t="s">
        <v>113</v>
      </c>
      <c r="K25" s="59" t="s">
        <v>113</v>
      </c>
      <c r="L25" s="59" t="s">
        <v>113</v>
      </c>
      <c r="M25" s="59" t="s">
        <v>113</v>
      </c>
      <c r="N25" s="59" t="s">
        <v>113</v>
      </c>
      <c r="O25" s="59" t="s">
        <v>113</v>
      </c>
      <c r="P25" s="59" t="s">
        <v>113</v>
      </c>
      <c r="Q25" s="59" t="s">
        <v>113</v>
      </c>
      <c r="R25" s="59" t="s">
        <v>113</v>
      </c>
      <c r="S25" s="59" t="s">
        <v>113</v>
      </c>
      <c r="T25" s="59" t="s">
        <v>113</v>
      </c>
      <c r="U25" s="59" t="s">
        <v>113</v>
      </c>
      <c r="V25" s="59" t="s">
        <v>113</v>
      </c>
      <c r="W25" s="59" t="s">
        <v>113</v>
      </c>
      <c r="X25" s="59" t="s">
        <v>113</v>
      </c>
      <c r="Y25" s="59" t="s">
        <v>113</v>
      </c>
      <c r="Z25" s="59" t="s">
        <v>113</v>
      </c>
      <c r="AA25" s="59" t="s">
        <v>113</v>
      </c>
      <c r="AB25" s="59" t="s">
        <v>113</v>
      </c>
      <c r="AC25" s="59" t="s">
        <v>113</v>
      </c>
      <c r="AD25" s="44"/>
    </row>
    <row r="26" spans="1:30" x14ac:dyDescent="0.3">
      <c r="A26" s="57" t="s">
        <v>120</v>
      </c>
      <c r="B26" s="49" t="s">
        <v>121</v>
      </c>
      <c r="C26" s="58" t="s">
        <v>111</v>
      </c>
      <c r="D26" s="59" t="s">
        <v>113</v>
      </c>
      <c r="E26" s="59" t="s">
        <v>113</v>
      </c>
      <c r="F26" s="59" t="s">
        <v>113</v>
      </c>
      <c r="G26" s="59" t="s">
        <v>113</v>
      </c>
      <c r="H26" s="59" t="s">
        <v>113</v>
      </c>
      <c r="I26" s="59" t="s">
        <v>113</v>
      </c>
      <c r="J26" s="59" t="s">
        <v>113</v>
      </c>
      <c r="K26" s="59" t="s">
        <v>113</v>
      </c>
      <c r="L26" s="59" t="s">
        <v>113</v>
      </c>
      <c r="M26" s="59" t="s">
        <v>113</v>
      </c>
      <c r="N26" s="59" t="s">
        <v>113</v>
      </c>
      <c r="O26" s="59" t="s">
        <v>113</v>
      </c>
      <c r="P26" s="59" t="s">
        <v>113</v>
      </c>
      <c r="Q26" s="59" t="s">
        <v>113</v>
      </c>
      <c r="R26" s="59" t="s">
        <v>113</v>
      </c>
      <c r="S26" s="59" t="s">
        <v>113</v>
      </c>
      <c r="T26" s="59" t="s">
        <v>113</v>
      </c>
      <c r="U26" s="59" t="s">
        <v>113</v>
      </c>
      <c r="V26" s="59" t="s">
        <v>113</v>
      </c>
      <c r="W26" s="59" t="s">
        <v>113</v>
      </c>
      <c r="X26" s="59" t="s">
        <v>113</v>
      </c>
      <c r="Y26" s="59" t="s">
        <v>113</v>
      </c>
      <c r="Z26" s="59" t="s">
        <v>113</v>
      </c>
      <c r="AA26" s="59" t="s">
        <v>113</v>
      </c>
      <c r="AB26" s="59" t="s">
        <v>113</v>
      </c>
      <c r="AC26" s="59" t="s">
        <v>113</v>
      </c>
      <c r="AD26" s="44"/>
    </row>
    <row r="27" spans="1:30" x14ac:dyDescent="0.3">
      <c r="A27" s="57" t="s">
        <v>122</v>
      </c>
      <c r="B27" s="49" t="s">
        <v>123</v>
      </c>
      <c r="C27" s="58" t="s">
        <v>111</v>
      </c>
      <c r="D27" s="59" t="s">
        <v>113</v>
      </c>
      <c r="E27" s="59" t="s">
        <v>113</v>
      </c>
      <c r="F27" s="59" t="s">
        <v>113</v>
      </c>
      <c r="G27" s="59" t="s">
        <v>113</v>
      </c>
      <c r="H27" s="59" t="s">
        <v>113</v>
      </c>
      <c r="I27" s="59" t="s">
        <v>113</v>
      </c>
      <c r="J27" s="59" t="s">
        <v>113</v>
      </c>
      <c r="K27" s="59" t="s">
        <v>113</v>
      </c>
      <c r="L27" s="59" t="s">
        <v>113</v>
      </c>
      <c r="M27" s="59" t="s">
        <v>113</v>
      </c>
      <c r="N27" s="59" t="s">
        <v>113</v>
      </c>
      <c r="O27" s="59" t="s">
        <v>113</v>
      </c>
      <c r="P27" s="59" t="s">
        <v>113</v>
      </c>
      <c r="Q27" s="59" t="s">
        <v>113</v>
      </c>
      <c r="R27" s="59" t="s">
        <v>113</v>
      </c>
      <c r="S27" s="59" t="s">
        <v>113</v>
      </c>
      <c r="T27" s="59" t="s">
        <v>113</v>
      </c>
      <c r="U27" s="59" t="s">
        <v>113</v>
      </c>
      <c r="V27" s="59" t="s">
        <v>113</v>
      </c>
      <c r="W27" s="59" t="s">
        <v>113</v>
      </c>
      <c r="X27" s="59" t="s">
        <v>113</v>
      </c>
      <c r="Y27" s="59" t="s">
        <v>113</v>
      </c>
      <c r="Z27" s="59" t="s">
        <v>113</v>
      </c>
      <c r="AA27" s="59" t="s">
        <v>113</v>
      </c>
      <c r="AB27" s="59" t="s">
        <v>113</v>
      </c>
      <c r="AC27" s="59" t="s">
        <v>113</v>
      </c>
      <c r="AD27" s="44"/>
    </row>
    <row r="28" spans="1:30" x14ac:dyDescent="0.3">
      <c r="A28" s="57" t="s">
        <v>124</v>
      </c>
      <c r="B28" s="49" t="s">
        <v>125</v>
      </c>
      <c r="C28" s="58" t="s">
        <v>111</v>
      </c>
      <c r="D28" s="59" t="s">
        <v>113</v>
      </c>
      <c r="E28" s="59" t="s">
        <v>113</v>
      </c>
      <c r="F28" s="59" t="s">
        <v>113</v>
      </c>
      <c r="G28" s="59" t="s">
        <v>113</v>
      </c>
      <c r="H28" s="59" t="s">
        <v>113</v>
      </c>
      <c r="I28" s="59" t="s">
        <v>113</v>
      </c>
      <c r="J28" s="59" t="s">
        <v>113</v>
      </c>
      <c r="K28" s="59" t="s">
        <v>113</v>
      </c>
      <c r="L28" s="59" t="s">
        <v>113</v>
      </c>
      <c r="M28" s="59" t="s">
        <v>113</v>
      </c>
      <c r="N28" s="59" t="s">
        <v>113</v>
      </c>
      <c r="O28" s="59" t="s">
        <v>113</v>
      </c>
      <c r="P28" s="59" t="s">
        <v>113</v>
      </c>
      <c r="Q28" s="59" t="s">
        <v>113</v>
      </c>
      <c r="R28" s="59" t="s">
        <v>113</v>
      </c>
      <c r="S28" s="59" t="s">
        <v>113</v>
      </c>
      <c r="T28" s="59" t="s">
        <v>113</v>
      </c>
      <c r="U28" s="59" t="s">
        <v>113</v>
      </c>
      <c r="V28" s="59" t="s">
        <v>113</v>
      </c>
      <c r="W28" s="59" t="s">
        <v>113</v>
      </c>
      <c r="X28" s="59" t="s">
        <v>113</v>
      </c>
      <c r="Y28" s="59" t="s">
        <v>113</v>
      </c>
      <c r="Z28" s="59" t="s">
        <v>113</v>
      </c>
      <c r="AA28" s="59" t="s">
        <v>113</v>
      </c>
      <c r="AB28" s="59" t="s">
        <v>113</v>
      </c>
      <c r="AC28" s="59" t="s">
        <v>113</v>
      </c>
      <c r="AD28" s="44"/>
    </row>
    <row r="29" spans="1:30" x14ac:dyDescent="0.3">
      <c r="A29" s="57" t="s">
        <v>126</v>
      </c>
      <c r="B29" s="49" t="s">
        <v>127</v>
      </c>
      <c r="C29" s="58" t="s">
        <v>111</v>
      </c>
      <c r="D29" s="59" t="s">
        <v>113</v>
      </c>
      <c r="E29" s="59" t="s">
        <v>113</v>
      </c>
      <c r="F29" s="59" t="s">
        <v>113</v>
      </c>
      <c r="G29" s="59" t="s">
        <v>113</v>
      </c>
      <c r="H29" s="59" t="s">
        <v>113</v>
      </c>
      <c r="I29" s="59" t="s">
        <v>113</v>
      </c>
      <c r="J29" s="59" t="s">
        <v>113</v>
      </c>
      <c r="K29" s="59" t="s">
        <v>113</v>
      </c>
      <c r="L29" s="59" t="s">
        <v>113</v>
      </c>
      <c r="M29" s="59" t="s">
        <v>113</v>
      </c>
      <c r="N29" s="59" t="s">
        <v>113</v>
      </c>
      <c r="O29" s="59" t="s">
        <v>113</v>
      </c>
      <c r="P29" s="59" t="s">
        <v>113</v>
      </c>
      <c r="Q29" s="59" t="s">
        <v>113</v>
      </c>
      <c r="R29" s="59" t="s">
        <v>113</v>
      </c>
      <c r="S29" s="59" t="s">
        <v>113</v>
      </c>
      <c r="T29" s="59" t="s">
        <v>113</v>
      </c>
      <c r="U29" s="59" t="s">
        <v>113</v>
      </c>
      <c r="V29" s="59" t="s">
        <v>113</v>
      </c>
      <c r="W29" s="59" t="s">
        <v>113</v>
      </c>
      <c r="X29" s="59" t="s">
        <v>113</v>
      </c>
      <c r="Y29" s="59" t="s">
        <v>113</v>
      </c>
      <c r="Z29" s="59" t="s">
        <v>113</v>
      </c>
      <c r="AA29" s="59" t="s">
        <v>113</v>
      </c>
      <c r="AB29" s="59" t="s">
        <v>113</v>
      </c>
      <c r="AC29" s="59" t="s">
        <v>113</v>
      </c>
      <c r="AD29" s="44"/>
    </row>
    <row r="30" spans="1:30" x14ac:dyDescent="0.3">
      <c r="A30" s="57" t="s">
        <v>128</v>
      </c>
      <c r="B30" s="49" t="s">
        <v>129</v>
      </c>
      <c r="C30" s="58" t="s">
        <v>111</v>
      </c>
      <c r="D30" s="59" t="s">
        <v>113</v>
      </c>
      <c r="E30" s="59" t="s">
        <v>113</v>
      </c>
      <c r="F30" s="59" t="s">
        <v>113</v>
      </c>
      <c r="G30" s="59" t="s">
        <v>113</v>
      </c>
      <c r="H30" s="59" t="s">
        <v>113</v>
      </c>
      <c r="I30" s="59" t="s">
        <v>113</v>
      </c>
      <c r="J30" s="59" t="s">
        <v>113</v>
      </c>
      <c r="K30" s="59" t="s">
        <v>113</v>
      </c>
      <c r="L30" s="59" t="s">
        <v>113</v>
      </c>
      <c r="M30" s="59" t="s">
        <v>113</v>
      </c>
      <c r="N30" s="59" t="s">
        <v>113</v>
      </c>
      <c r="O30" s="59" t="s">
        <v>113</v>
      </c>
      <c r="P30" s="59" t="s">
        <v>113</v>
      </c>
      <c r="Q30" s="59" t="s">
        <v>113</v>
      </c>
      <c r="R30" s="59" t="s">
        <v>113</v>
      </c>
      <c r="S30" s="59" t="s">
        <v>113</v>
      </c>
      <c r="T30" s="59" t="s">
        <v>113</v>
      </c>
      <c r="U30" s="59" t="s">
        <v>113</v>
      </c>
      <c r="V30" s="59" t="s">
        <v>113</v>
      </c>
      <c r="W30" s="59" t="s">
        <v>113</v>
      </c>
      <c r="X30" s="59" t="s">
        <v>113</v>
      </c>
      <c r="Y30" s="59" t="s">
        <v>113</v>
      </c>
      <c r="Z30" s="59" t="s">
        <v>113</v>
      </c>
      <c r="AA30" s="59" t="s">
        <v>113</v>
      </c>
      <c r="AB30" s="59" t="s">
        <v>113</v>
      </c>
      <c r="AC30" s="59" t="s">
        <v>113</v>
      </c>
      <c r="AD30" s="44"/>
    </row>
    <row r="31" spans="1:30" x14ac:dyDescent="0.3">
      <c r="B31" s="60" t="s">
        <v>130</v>
      </c>
      <c r="D31" s="61" t="str">
        <f xml:space="preserve"> IF(COUNTIF(D22:D30, "Ja") = 1, "ok", "falsch")</f>
        <v>ok</v>
      </c>
      <c r="E31" s="61" t="str">
        <f t="shared" ref="E31:AC31" si="0" xml:space="preserve"> IF(COUNTIF(E22:E30, "Ja") = 1, "ok", "falsch")</f>
        <v>ok</v>
      </c>
      <c r="F31" s="61" t="str">
        <f t="shared" si="0"/>
        <v>ok</v>
      </c>
      <c r="G31" s="61" t="str">
        <f t="shared" si="0"/>
        <v>ok</v>
      </c>
      <c r="H31" s="61" t="str">
        <f t="shared" si="0"/>
        <v>ok</v>
      </c>
      <c r="I31" s="61" t="str">
        <f t="shared" si="0"/>
        <v>ok</v>
      </c>
      <c r="J31" s="61" t="str">
        <f t="shared" si="0"/>
        <v>ok</v>
      </c>
      <c r="K31" s="61" t="str">
        <f t="shared" si="0"/>
        <v>ok</v>
      </c>
      <c r="L31" s="61" t="str">
        <f t="shared" si="0"/>
        <v>ok</v>
      </c>
      <c r="M31" s="61" t="str">
        <f t="shared" si="0"/>
        <v>ok</v>
      </c>
      <c r="N31" s="61" t="str">
        <f t="shared" si="0"/>
        <v>ok</v>
      </c>
      <c r="O31" s="61" t="str">
        <f t="shared" si="0"/>
        <v>ok</v>
      </c>
      <c r="P31" s="61" t="str">
        <f t="shared" si="0"/>
        <v>ok</v>
      </c>
      <c r="Q31" s="61" t="str">
        <f t="shared" si="0"/>
        <v>ok</v>
      </c>
      <c r="R31" s="61" t="str">
        <f t="shared" si="0"/>
        <v>ok</v>
      </c>
      <c r="S31" s="61" t="str">
        <f t="shared" si="0"/>
        <v>ok</v>
      </c>
      <c r="T31" s="61" t="str">
        <f t="shared" si="0"/>
        <v>ok</v>
      </c>
      <c r="U31" s="61" t="str">
        <f t="shared" si="0"/>
        <v>ok</v>
      </c>
      <c r="V31" s="61" t="str">
        <f t="shared" si="0"/>
        <v>ok</v>
      </c>
      <c r="W31" s="61" t="str">
        <f t="shared" si="0"/>
        <v>ok</v>
      </c>
      <c r="X31" s="61" t="str">
        <f t="shared" si="0"/>
        <v>ok</v>
      </c>
      <c r="Y31" s="61" t="str">
        <f t="shared" si="0"/>
        <v>ok</v>
      </c>
      <c r="Z31" s="61" t="str">
        <f t="shared" si="0"/>
        <v>ok</v>
      </c>
      <c r="AA31" s="61" t="str">
        <f t="shared" si="0"/>
        <v>ok</v>
      </c>
      <c r="AB31" s="61" t="str">
        <f t="shared" si="0"/>
        <v>ok</v>
      </c>
      <c r="AC31" s="61" t="str">
        <f t="shared" si="0"/>
        <v>ok</v>
      </c>
      <c r="AD31" s="44"/>
    </row>
    <row r="32" spans="1:30" ht="29.25" customHeight="1" x14ac:dyDescent="0.3">
      <c r="A32" s="32" t="s">
        <v>131</v>
      </c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2:30" x14ac:dyDescent="0.3">
      <c r="B33" s="40" t="s">
        <v>55</v>
      </c>
      <c r="C33" s="41" t="s">
        <v>132</v>
      </c>
      <c r="D33" s="47">
        <v>3170</v>
      </c>
      <c r="E33" s="47">
        <v>3517</v>
      </c>
      <c r="F33" s="47">
        <v>3464</v>
      </c>
      <c r="G33" s="47">
        <v>3296</v>
      </c>
      <c r="H33" s="43">
        <v>2803</v>
      </c>
      <c r="I33" s="43">
        <v>2683</v>
      </c>
      <c r="J33" s="43">
        <v>3059</v>
      </c>
      <c r="K33" s="43">
        <v>3168.17</v>
      </c>
      <c r="L33" s="43">
        <v>2199</v>
      </c>
      <c r="M33" s="43">
        <v>2825</v>
      </c>
      <c r="N33" s="43">
        <v>1638</v>
      </c>
      <c r="O33" s="63">
        <v>3290</v>
      </c>
      <c r="P33" s="63">
        <v>2350</v>
      </c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44"/>
    </row>
    <row r="34" spans="2:30" x14ac:dyDescent="0.3">
      <c r="B34" s="55" t="s">
        <v>57</v>
      </c>
      <c r="C34" s="46" t="s">
        <v>133</v>
      </c>
      <c r="D34" s="47"/>
      <c r="E34" s="47"/>
      <c r="F34" s="47"/>
      <c r="G34" s="47"/>
      <c r="H34" s="47"/>
      <c r="I34" s="47"/>
      <c r="J34" s="47">
        <v>1067</v>
      </c>
      <c r="K34" s="47">
        <v>698</v>
      </c>
      <c r="L34" s="47">
        <v>692</v>
      </c>
      <c r="M34" s="47">
        <v>1252</v>
      </c>
      <c r="N34" s="47">
        <v>810</v>
      </c>
      <c r="O34" s="64"/>
      <c r="P34" s="64">
        <v>1436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44"/>
    </row>
    <row r="35" spans="2:30" x14ac:dyDescent="0.3">
      <c r="B35" s="55" t="s">
        <v>59</v>
      </c>
      <c r="C35" s="46" t="s">
        <v>134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44"/>
    </row>
    <row r="36" spans="2:30" x14ac:dyDescent="0.3">
      <c r="B36" s="55" t="s">
        <v>61</v>
      </c>
      <c r="C36" s="46" t="s">
        <v>135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44"/>
    </row>
    <row r="37" spans="2:30" x14ac:dyDescent="0.3">
      <c r="B37" s="55" t="s">
        <v>63</v>
      </c>
      <c r="C37" s="46" t="s">
        <v>136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44"/>
    </row>
    <row r="38" spans="2:30" x14ac:dyDescent="0.3">
      <c r="B38" s="55" t="s">
        <v>65</v>
      </c>
      <c r="C38" s="46" t="s">
        <v>137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44"/>
    </row>
    <row r="39" spans="2:30" x14ac:dyDescent="0.3">
      <c r="B39" s="55" t="s">
        <v>67</v>
      </c>
      <c r="C39" s="46" t="s">
        <v>138</v>
      </c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44"/>
    </row>
    <row r="40" spans="2:30" x14ac:dyDescent="0.3">
      <c r="B40" s="55" t="s">
        <v>139</v>
      </c>
      <c r="C40" s="46" t="s">
        <v>140</v>
      </c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44"/>
    </row>
    <row r="41" spans="2:30" x14ac:dyDescent="0.3">
      <c r="B41" s="55" t="s">
        <v>141</v>
      </c>
      <c r="C41" s="46" t="s">
        <v>142</v>
      </c>
      <c r="D41" s="47">
        <v>825</v>
      </c>
      <c r="E41" s="47">
        <v>1297</v>
      </c>
      <c r="F41" s="47">
        <v>1089</v>
      </c>
      <c r="G41" s="47">
        <v>963</v>
      </c>
      <c r="H41" s="47">
        <v>942</v>
      </c>
      <c r="I41" s="47">
        <v>1087</v>
      </c>
      <c r="J41" s="47">
        <v>32</v>
      </c>
      <c r="K41" s="47">
        <v>465</v>
      </c>
      <c r="L41" s="47">
        <v>461</v>
      </c>
      <c r="M41" s="47">
        <v>450</v>
      </c>
      <c r="N41" s="47">
        <v>450</v>
      </c>
      <c r="O41" s="64">
        <v>1261</v>
      </c>
      <c r="P41" s="64">
        <v>0</v>
      </c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44"/>
    </row>
    <row r="42" spans="2:30" ht="30.75" customHeight="1" x14ac:dyDescent="0.3">
      <c r="D42" s="65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2:30" x14ac:dyDescent="0.3">
      <c r="B43" s="40" t="s">
        <v>143</v>
      </c>
      <c r="C43" s="41" t="s">
        <v>144</v>
      </c>
      <c r="D43" s="66">
        <f>(Pars!D56+(D_GE_1!D14-Pars!D57)*Pars!D58)/Pars!D59</f>
        <v>0.28095399999999998</v>
      </c>
      <c r="E43" s="66">
        <f>(Pars!E56+(D_GE_1!E14-Pars!E57)*Pars!E58)/Pars!E59</f>
        <v>0.27932692067307935</v>
      </c>
      <c r="F43" s="66">
        <f>(Pars!F56+(D_GE_1!F14-Pars!F57)*Pars!F58)/Pars!F59</f>
        <v>0.27883664232671534</v>
      </c>
      <c r="G43" s="66">
        <f>(Pars!G56+(D_GE_1!G14-Pars!G57)*Pars!G58)/Pars!G59</f>
        <v>0.2741911774264677</v>
      </c>
      <c r="H43" s="66">
        <f>(Pars!H56+(D_GE_1!H14-Pars!H57)*Pars!H58)/Pars!H59</f>
        <v>0.27771888912444348</v>
      </c>
      <c r="I43" s="66">
        <f>(Pars!I56+(D_GE_1!I14-Pars!I57)*Pars!I58)/Pars!I59</f>
        <v>0.27909060454697726</v>
      </c>
      <c r="J43" s="66">
        <f>(Pars!J56+(D_GE_1!J14-Pars!J57)*Pars!J58)/Pars!J59</f>
        <v>0.2814423113461319</v>
      </c>
      <c r="K43" s="66">
        <f>(Pars!K56+(D_GE_1!K14-Pars!K57)*Pars!K58)/Pars!K59</f>
        <v>0.28594999835001156</v>
      </c>
      <c r="L43" s="66">
        <f>(Pars!L56+(D_GE_1!L14-Pars!L57)*Pars!L58)/Pars!L59</f>
        <v>0.27889376884984918</v>
      </c>
      <c r="M43" s="66">
        <f>(Pars!M56+(D_GE_1!M14-Pars!M57)*Pars!M58)/Pars!M59</f>
        <v>0.28300945291492374</v>
      </c>
      <c r="N43" s="66">
        <f>(Pars!N56+(D_GE_1!N14-Pars!N57)*Pars!N58)/Pars!N59</f>
        <v>0.2857335426645734</v>
      </c>
      <c r="O43" s="66">
        <f>(Pars!O56+(D_GE_1!O14-Pars!O57)*Pars!O58)/Pars!O59</f>
        <v>0.27712895158153261</v>
      </c>
      <c r="P43" s="66">
        <f>(Pars!P56+(D_GE_1!P14-Pars!P57)*Pars!P58)/Pars!P59</f>
        <v>0.27693267680787831</v>
      </c>
      <c r="Q43" s="66">
        <f>(Pars!Q56+(D_GE_1!Q14-Pars!Q57)*Pars!Q58)/Pars!Q59</f>
        <v>6.7999116011491847E-2</v>
      </c>
      <c r="R43" s="66">
        <f>(Pars!R56+(D_GE_1!R14-Pars!R57)*Pars!R58)/Pars!R59</f>
        <v>6.7999048013327817E-2</v>
      </c>
      <c r="S43" s="66">
        <f>(Pars!S56+(D_GE_1!S14-Pars!S57)*Pars!S58)/Pars!S59</f>
        <v>6.7998980015299776E-2</v>
      </c>
      <c r="T43" s="66">
        <f>(Pars!T56+(D_GE_1!T14-Pars!T57)*Pars!T58)/Pars!T59</f>
        <v>6.7998980015299776E-2</v>
      </c>
      <c r="U43" s="66">
        <f>(Pars!U56+(D_GE_1!U14-Pars!U57)*Pars!U58)/Pars!U59</f>
        <v>6.7998980015299776E-2</v>
      </c>
      <c r="V43" s="66">
        <f>(Pars!V56+(D_GE_1!V14-Pars!V57)*Pars!V58)/Pars!V59</f>
        <v>6.7998980015299776E-2</v>
      </c>
      <c r="W43" s="66">
        <f>(Pars!W56+(D_GE_1!W14-Pars!W57)*Pars!W58)/Pars!W59</f>
        <v>6.7998980015299776E-2</v>
      </c>
      <c r="X43" s="66">
        <f>(Pars!X56+(D_GE_1!X14-Pars!X57)*Pars!X58)/Pars!X59</f>
        <v>6.7998980015299776E-2</v>
      </c>
      <c r="Y43" s="66">
        <f>(Pars!Y56+(D_GE_1!Y14-Pars!Y57)*Pars!Y58)/Pars!Y59</f>
        <v>6.7998980015299776E-2</v>
      </c>
      <c r="Z43" s="66">
        <f>(Pars!Z56+(D_GE_1!Z14-Pars!Z57)*Pars!Z58)/Pars!Z59</f>
        <v>6.7998980015299776E-2</v>
      </c>
      <c r="AA43" s="66">
        <f>(Pars!AA56+(D_GE_1!AA14-Pars!AA57)*Pars!AA58)/Pars!AA59</f>
        <v>6.7998980015299776E-2</v>
      </c>
      <c r="AB43" s="66">
        <f>(Pars!AB56+(D_GE_1!AB14-Pars!AB57)*Pars!AB58)/Pars!AB59</f>
        <v>6.7998980015299776E-2</v>
      </c>
      <c r="AC43" s="66">
        <f>(Pars!AC56+(D_GE_1!AC14-Pars!AC57)*Pars!AC58)/Pars!AC59</f>
        <v>6.7998980015299776E-2</v>
      </c>
      <c r="AD43" s="62" t="s">
        <v>145</v>
      </c>
    </row>
    <row r="44" spans="2:30" ht="22.5" customHeight="1" x14ac:dyDescent="0.3">
      <c r="B44" s="40" t="s">
        <v>146</v>
      </c>
      <c r="C44" s="41" t="s">
        <v>95</v>
      </c>
      <c r="D44" s="43">
        <f>Pars!D37*D43*D6</f>
        <v>239414.389192</v>
      </c>
      <c r="E44" s="43">
        <f>Pars!E37*E43*E6</f>
        <v>239955.41876831459</v>
      </c>
      <c r="F44" s="43">
        <f>Pars!F37*F43*F6</f>
        <v>246655.26892586212</v>
      </c>
      <c r="G44" s="43">
        <f>Pars!G37*G43*G6</f>
        <v>226110.20071473115</v>
      </c>
      <c r="H44" s="43">
        <f>Pars!H37*H43*H6</f>
        <v>233438.74143170094</v>
      </c>
      <c r="I44" s="43">
        <f>Pars!I37*I43*I6</f>
        <v>227965.67124364374</v>
      </c>
      <c r="J44" s="43">
        <f>Pars!J37*J43*J6</f>
        <v>240097.77911065865</v>
      </c>
      <c r="K44" s="43">
        <f>Pars!K37*K43*K6</f>
        <v>249218.19599529466</v>
      </c>
      <c r="L44" s="43">
        <f>Pars!L37*L43*L6</f>
        <v>230401.30072026086</v>
      </c>
      <c r="M44" s="43">
        <f>Pars!M37*M43*M6</f>
        <v>227437.1507216435</v>
      </c>
      <c r="N44" s="43">
        <f>Pars!N37*N43*N6</f>
        <v>233087.89938473949</v>
      </c>
      <c r="O44" s="63">
        <f>Pars!O37*O43*O6</f>
        <v>244354.11137010824</v>
      </c>
      <c r="P44" s="63">
        <f>Pars!P37*P43*P6</f>
        <v>227196.12191853698</v>
      </c>
      <c r="Q44" s="63">
        <f>Pars!Q37*Q43*Q6</f>
        <v>0</v>
      </c>
      <c r="R44" s="63">
        <f>Pars!R37*R43*R6</f>
        <v>0</v>
      </c>
      <c r="S44" s="63">
        <f>Pars!S37*S43*S6</f>
        <v>0</v>
      </c>
      <c r="T44" s="63">
        <f>Pars!T37*T43*T6</f>
        <v>0</v>
      </c>
      <c r="U44" s="63">
        <f>Pars!U37*U43*U6</f>
        <v>0</v>
      </c>
      <c r="V44" s="63">
        <f>Pars!V37*V43*V6</f>
        <v>0</v>
      </c>
      <c r="W44" s="63">
        <f>Pars!W37*W43*W6</f>
        <v>0</v>
      </c>
      <c r="X44" s="63">
        <f>Pars!X37*X43*X6</f>
        <v>0</v>
      </c>
      <c r="Y44" s="63">
        <f>Pars!Y37*Y43*Y6</f>
        <v>0</v>
      </c>
      <c r="Z44" s="63">
        <f>Pars!Z37*Z43*Z6</f>
        <v>0</v>
      </c>
      <c r="AA44" s="63">
        <f>Pars!AA37*AA43*AA6</f>
        <v>0</v>
      </c>
      <c r="AB44" s="63">
        <f>Pars!AB37*AB43*AB6</f>
        <v>0</v>
      </c>
      <c r="AC44" s="63">
        <f>Pars!AC37*AC43*AC6</f>
        <v>0</v>
      </c>
      <c r="AD44" s="62" t="s">
        <v>145</v>
      </c>
    </row>
    <row r="45" spans="2:30" x14ac:dyDescent="0.3">
      <c r="B45" s="40" t="s">
        <v>147</v>
      </c>
      <c r="C45" s="41" t="s">
        <v>95</v>
      </c>
      <c r="D45" s="43">
        <f>D44*Pars!D36/100</f>
        <v>114918.90681216</v>
      </c>
      <c r="E45" s="43">
        <f>E44*Pars!E36/100</f>
        <v>115178.601008791</v>
      </c>
      <c r="F45" s="43">
        <f>F44*Pars!F36/100</f>
        <v>118394.52908441382</v>
      </c>
      <c r="G45" s="43">
        <f>G44*Pars!G36/100</f>
        <v>108532.89634307096</v>
      </c>
      <c r="H45" s="43">
        <f>H44*Pars!H36/100</f>
        <v>112050.59588721645</v>
      </c>
      <c r="I45" s="43">
        <f>I44*Pars!I36/100</f>
        <v>109423.52219694899</v>
      </c>
      <c r="J45" s="43">
        <f>J44*Pars!J36/100</f>
        <v>115246.93397311615</v>
      </c>
      <c r="K45" s="43">
        <f>K44*Pars!K36/100</f>
        <v>119624.73407774144</v>
      </c>
      <c r="L45" s="43">
        <f>L44*Pars!L36/100</f>
        <v>110592.62434572521</v>
      </c>
      <c r="M45" s="43">
        <f>M44*Pars!M36/100</f>
        <v>109169.83234638888</v>
      </c>
      <c r="N45" s="43">
        <f>N44*Pars!N36/100</f>
        <v>111882.19170467496</v>
      </c>
      <c r="O45" s="63">
        <f>O44*Pars!O36/100</f>
        <v>117289.97345765195</v>
      </c>
      <c r="P45" s="63">
        <f>P44*Pars!P36/100</f>
        <v>109054.13852089776</v>
      </c>
      <c r="Q45" s="63">
        <f>Q44*Pars!Q36/100</f>
        <v>0</v>
      </c>
      <c r="R45" s="63">
        <f>R44*Pars!R36/100</f>
        <v>0</v>
      </c>
      <c r="S45" s="63">
        <f>S44*Pars!S36/100</f>
        <v>0</v>
      </c>
      <c r="T45" s="63">
        <f>T44*Pars!T36/100</f>
        <v>0</v>
      </c>
      <c r="U45" s="63">
        <f>U44*Pars!U36/100</f>
        <v>0</v>
      </c>
      <c r="V45" s="63">
        <f>V44*Pars!V36/100</f>
        <v>0</v>
      </c>
      <c r="W45" s="63">
        <f>W44*Pars!W36/100</f>
        <v>0</v>
      </c>
      <c r="X45" s="63">
        <f>X44*Pars!X36/100</f>
        <v>0</v>
      </c>
      <c r="Y45" s="63">
        <f>Y44*Pars!Y36/100</f>
        <v>0</v>
      </c>
      <c r="Z45" s="63">
        <f>Z44*Pars!Z36/100</f>
        <v>0</v>
      </c>
      <c r="AA45" s="63">
        <f>AA44*Pars!AA36/100</f>
        <v>0</v>
      </c>
      <c r="AB45" s="63">
        <f>AB44*Pars!AB36/100</f>
        <v>0</v>
      </c>
      <c r="AC45" s="63">
        <f>AC44*Pars!AC36/100</f>
        <v>0</v>
      </c>
      <c r="AD45" s="62" t="s">
        <v>145</v>
      </c>
    </row>
    <row r="46" spans="2:30" ht="27" customHeight="1" x14ac:dyDescent="0.3">
      <c r="B46" s="40" t="s">
        <v>148</v>
      </c>
      <c r="C46" s="41" t="s">
        <v>95</v>
      </c>
      <c r="D46" s="43">
        <f>Pars!D40*D15</f>
        <v>31115.3446</v>
      </c>
      <c r="E46" s="43">
        <f>Pars!E40*E15</f>
        <v>26353.679899999999</v>
      </c>
      <c r="F46" s="43">
        <f>Pars!F40*F15</f>
        <v>32777.6319</v>
      </c>
      <c r="G46" s="43">
        <f>Pars!G40*G15</f>
        <v>45409.0864</v>
      </c>
      <c r="H46" s="43">
        <f>Pars!H40*H15</f>
        <v>48361.322999999997</v>
      </c>
      <c r="I46" s="43">
        <f>Pars!I40*I15</f>
        <v>56085.990700000002</v>
      </c>
      <c r="J46" s="43">
        <f>Pars!J40*J15</f>
        <v>59267.013299999999</v>
      </c>
      <c r="K46" s="43">
        <f>Pars!K40*K15</f>
        <v>63455.367200000001</v>
      </c>
      <c r="L46" s="43">
        <f>Pars!L40*L15</f>
        <v>62182.016100000001</v>
      </c>
      <c r="M46" s="43">
        <f>Pars!M40*M15</f>
        <v>58025.9614</v>
      </c>
      <c r="N46" s="43">
        <f>Pars!N40*N15</f>
        <v>60067.315699999999</v>
      </c>
      <c r="O46" s="63">
        <f>Pars!O40*O15</f>
        <v>57965.176099999997</v>
      </c>
      <c r="P46" s="63">
        <f>Pars!P40*P15</f>
        <v>56720.311099999999</v>
      </c>
      <c r="Q46" s="63">
        <f>Pars!Q40*Q15</f>
        <v>0</v>
      </c>
      <c r="R46" s="63">
        <f>Pars!R40*R15</f>
        <v>0</v>
      </c>
      <c r="S46" s="63">
        <f>Pars!S40*S15</f>
        <v>0</v>
      </c>
      <c r="T46" s="63">
        <f>Pars!T40*T15</f>
        <v>0</v>
      </c>
      <c r="U46" s="63">
        <f>Pars!U40*U15</f>
        <v>0</v>
      </c>
      <c r="V46" s="63">
        <f>Pars!V40*V15</f>
        <v>0</v>
      </c>
      <c r="W46" s="63">
        <f>Pars!W40*W15</f>
        <v>0</v>
      </c>
      <c r="X46" s="63">
        <f>Pars!X40*X15</f>
        <v>0</v>
      </c>
      <c r="Y46" s="63">
        <f>Pars!Y40*Y15</f>
        <v>0</v>
      </c>
      <c r="Z46" s="63">
        <f>Pars!Z40*Z15</f>
        <v>0</v>
      </c>
      <c r="AA46" s="63">
        <f>Pars!AA40*AA15</f>
        <v>0</v>
      </c>
      <c r="AB46" s="63">
        <f>Pars!AB40*AB15</f>
        <v>0</v>
      </c>
      <c r="AC46" s="63">
        <f>Pars!AC40*AC15</f>
        <v>0</v>
      </c>
      <c r="AD46" s="62" t="s">
        <v>145</v>
      </c>
    </row>
    <row r="47" spans="2:30" x14ac:dyDescent="0.3">
      <c r="B47" s="40" t="s">
        <v>149</v>
      </c>
      <c r="C47" s="41" t="s">
        <v>95</v>
      </c>
      <c r="D47" s="43">
        <f>Pars!D41*D16</f>
        <v>2772.2768000000001</v>
      </c>
      <c r="E47" s="43">
        <f>Pars!E41*E16</f>
        <v>2918.5896000000002</v>
      </c>
      <c r="F47" s="43">
        <f>Pars!F41*F16</f>
        <v>3027.5768000000003</v>
      </c>
      <c r="G47" s="43">
        <f>Pars!G41*G16</f>
        <v>2497.7072000000003</v>
      </c>
      <c r="H47" s="43">
        <f>Pars!H41*H16</f>
        <v>2624.4839999999999</v>
      </c>
      <c r="I47" s="43">
        <f>Pars!I41*I16</f>
        <v>2433.0608000000002</v>
      </c>
      <c r="J47" s="43">
        <f>Pars!J41*J16</f>
        <v>2387.1215999999999</v>
      </c>
      <c r="K47" s="43">
        <f>Pars!K41*K16</f>
        <v>2609.2696000000001</v>
      </c>
      <c r="L47" s="43">
        <f>Pars!L41*L16</f>
        <v>2122.8824</v>
      </c>
      <c r="M47" s="43">
        <f>Pars!M41*M16</f>
        <v>2091.4176000000002</v>
      </c>
      <c r="N47" s="43">
        <f>Pars!N41*N16</f>
        <v>2414.8272000000002</v>
      </c>
      <c r="O47" s="63">
        <f>Pars!O41*O16</f>
        <v>2551.076</v>
      </c>
      <c r="P47" s="63">
        <f>Pars!P41*P16</f>
        <v>2301.3112000000001</v>
      </c>
      <c r="Q47" s="63">
        <f>Pars!Q41*Q16</f>
        <v>0</v>
      </c>
      <c r="R47" s="63">
        <f>Pars!R41*R16</f>
        <v>0</v>
      </c>
      <c r="S47" s="63">
        <f>Pars!S41*S16</f>
        <v>0</v>
      </c>
      <c r="T47" s="63">
        <f>Pars!T41*T16</f>
        <v>0</v>
      </c>
      <c r="U47" s="63">
        <f>Pars!U41*U16</f>
        <v>0</v>
      </c>
      <c r="V47" s="63">
        <f>Pars!V41*V16</f>
        <v>0</v>
      </c>
      <c r="W47" s="63">
        <f>Pars!W41*W16</f>
        <v>0</v>
      </c>
      <c r="X47" s="63">
        <f>Pars!X41*X16</f>
        <v>0</v>
      </c>
      <c r="Y47" s="63">
        <f>Pars!Y41*Y16</f>
        <v>0</v>
      </c>
      <c r="Z47" s="63">
        <f>Pars!Z41*Z16</f>
        <v>0</v>
      </c>
      <c r="AA47" s="63">
        <f>Pars!AA41*AA16</f>
        <v>0</v>
      </c>
      <c r="AB47" s="63">
        <f>Pars!AB41*AB16</f>
        <v>0</v>
      </c>
      <c r="AC47" s="63">
        <f>Pars!AC41*AC16</f>
        <v>0</v>
      </c>
      <c r="AD47" s="62" t="s">
        <v>145</v>
      </c>
    </row>
    <row r="48" spans="2:30" x14ac:dyDescent="0.3">
      <c r="B48" s="40" t="s">
        <v>150</v>
      </c>
      <c r="C48" s="41" t="s">
        <v>95</v>
      </c>
      <c r="D48" s="67">
        <f t="array" ref="D48">SUMPRODUCT(D33:D41,Pars!D44:D52)</f>
        <v>8911.7000000000007</v>
      </c>
      <c r="E48" s="67">
        <f t="array" ref="E48">SUMPRODUCT(E33:E41,Pars!E44:E52)</f>
        <v>11795.67</v>
      </c>
      <c r="F48" s="67">
        <f t="array" ref="F48">SUMPRODUCT(F33:F41,Pars!F44:F52)</f>
        <v>10675.64</v>
      </c>
      <c r="G48" s="67">
        <f t="array" ref="G48">SUMPRODUCT(G33:G41,Pars!G44:G52)</f>
        <v>9791.9599999999991</v>
      </c>
      <c r="H48" s="67">
        <f t="array" ref="H48">SUMPRODUCT(H33:H41,Pars!H44:H52)</f>
        <v>8942.5299999999988</v>
      </c>
      <c r="I48" s="67">
        <f t="array" ref="I48">SUMPRODUCT(I33:I41,Pars!I44:I52)</f>
        <v>9486.33</v>
      </c>
      <c r="J48" s="67">
        <f t="array" ref="J48">SUMPRODUCT(J33:J41,Pars!J44:J52)</f>
        <v>14051.32</v>
      </c>
      <c r="K48" s="67">
        <f t="array" ref="K48">SUMPRODUCT(K33:K41,Pars!K44:K52)</f>
        <v>13174.556700000001</v>
      </c>
      <c r="L48" s="67">
        <f t="array" ref="L48">SUMPRODUCT(L33:L41,Pars!L44:L52)</f>
        <v>11638.97</v>
      </c>
      <c r="M48" s="67">
        <f t="array" ref="M48">SUMPRODUCT(M33:M41,Pars!M44:M52)</f>
        <v>17395.629999999997</v>
      </c>
      <c r="N48" s="67">
        <f t="array" ref="N48">SUMPRODUCT(N33:N41,Pars!N44:N52)</f>
        <v>11762.279999999999</v>
      </c>
      <c r="O48" s="67">
        <f t="array" ref="O48">SUMPRODUCT(O33:O41,Pars!O44:O52)</f>
        <v>11272.9</v>
      </c>
      <c r="P48" s="67">
        <f t="array" ref="P48">SUMPRODUCT(P33:P41,Pars!P44:P52)</f>
        <v>16027.34</v>
      </c>
      <c r="Q48" s="67">
        <f t="array" ref="Q48">SUMPRODUCT(Q33:Q41,Pars!Q44:Q52)</f>
        <v>0</v>
      </c>
      <c r="R48" s="67">
        <f t="array" ref="R48">SUMPRODUCT(R33:R41,Pars!R44:R52)</f>
        <v>0</v>
      </c>
      <c r="S48" s="67">
        <f t="array" ref="S48">SUMPRODUCT(S33:S41,Pars!S44:S52)</f>
        <v>0</v>
      </c>
      <c r="T48" s="67">
        <f t="array" ref="T48">SUMPRODUCT(T33:T41,Pars!T44:T52)</f>
        <v>0</v>
      </c>
      <c r="U48" s="67">
        <f t="array" ref="U48">SUMPRODUCT(U33:U41,Pars!U44:U52)</f>
        <v>0</v>
      </c>
      <c r="V48" s="67">
        <f t="array" ref="V48">SUMPRODUCT(V33:V41,Pars!V44:V52)</f>
        <v>0</v>
      </c>
      <c r="W48" s="67">
        <f t="array" ref="W48">SUMPRODUCT(W33:W41,Pars!W44:W52)</f>
        <v>0</v>
      </c>
      <c r="X48" s="67">
        <f t="array" ref="X48">SUMPRODUCT(X33:X41,Pars!X44:X52)</f>
        <v>0</v>
      </c>
      <c r="Y48" s="67">
        <f t="array" ref="Y48">SUMPRODUCT(Y33:Y41,Pars!Y44:Y52)</f>
        <v>0</v>
      </c>
      <c r="Z48" s="67">
        <f t="array" ref="Z48">SUMPRODUCT(Z33:Z41,Pars!Z44:Z52)</f>
        <v>0</v>
      </c>
      <c r="AA48" s="67">
        <f t="array" ref="AA48">SUMPRODUCT(AA33:AA41,Pars!AA44:AA52)</f>
        <v>0</v>
      </c>
      <c r="AB48" s="67">
        <f t="array" ref="AB48">SUMPRODUCT(AB33:AB41,Pars!AB44:AB52)</f>
        <v>0</v>
      </c>
      <c r="AC48" s="67">
        <f t="array" ref="AC48">SUMPRODUCT(AC33:AC41,Pars!AC44:AC52)</f>
        <v>0</v>
      </c>
      <c r="AD48" s="62" t="s">
        <v>145</v>
      </c>
    </row>
    <row r="49" spans="2:30" ht="19.5" customHeight="1" x14ac:dyDescent="0.3">
      <c r="B49" s="40" t="s">
        <v>151</v>
      </c>
      <c r="C49" s="41" t="s">
        <v>95</v>
      </c>
      <c r="D49" s="67">
        <f>SUM(D46:D48)</f>
        <v>42799.321400000001</v>
      </c>
      <c r="E49" s="67">
        <f t="shared" ref="E49:AC49" si="1">SUM(E46:E48)</f>
        <v>41067.9395</v>
      </c>
      <c r="F49" s="67">
        <f t="shared" si="1"/>
        <v>46480.848700000002</v>
      </c>
      <c r="G49" s="67">
        <f t="shared" si="1"/>
        <v>57698.753599999996</v>
      </c>
      <c r="H49" s="67">
        <f t="shared" si="1"/>
        <v>59928.336999999992</v>
      </c>
      <c r="I49" s="67">
        <f t="shared" si="1"/>
        <v>68005.381500000003</v>
      </c>
      <c r="J49" s="67">
        <f t="shared" si="1"/>
        <v>75705.454899999997</v>
      </c>
      <c r="K49" s="67">
        <f t="shared" si="1"/>
        <v>79239.193500000008</v>
      </c>
      <c r="L49" s="67">
        <f t="shared" si="1"/>
        <v>75943.868499999997</v>
      </c>
      <c r="M49" s="67">
        <f t="shared" si="1"/>
        <v>77513.008999999991</v>
      </c>
      <c r="N49" s="67">
        <f t="shared" si="1"/>
        <v>74244.422900000005</v>
      </c>
      <c r="O49" s="67">
        <f t="shared" si="1"/>
        <v>71789.152099999992</v>
      </c>
      <c r="P49" s="67">
        <f t="shared" si="1"/>
        <v>75048.962299999999</v>
      </c>
      <c r="Q49" s="67">
        <f t="shared" si="1"/>
        <v>0</v>
      </c>
      <c r="R49" s="67">
        <f t="shared" si="1"/>
        <v>0</v>
      </c>
      <c r="S49" s="67">
        <f t="shared" si="1"/>
        <v>0</v>
      </c>
      <c r="T49" s="67">
        <f t="shared" si="1"/>
        <v>0</v>
      </c>
      <c r="U49" s="67">
        <f t="shared" si="1"/>
        <v>0</v>
      </c>
      <c r="V49" s="67">
        <f t="shared" si="1"/>
        <v>0</v>
      </c>
      <c r="W49" s="67">
        <f t="shared" si="1"/>
        <v>0</v>
      </c>
      <c r="X49" s="67">
        <f t="shared" si="1"/>
        <v>0</v>
      </c>
      <c r="Y49" s="67">
        <f t="shared" si="1"/>
        <v>0</v>
      </c>
      <c r="Z49" s="67">
        <f t="shared" si="1"/>
        <v>0</v>
      </c>
      <c r="AA49" s="67">
        <f t="shared" si="1"/>
        <v>0</v>
      </c>
      <c r="AB49" s="67">
        <f t="shared" si="1"/>
        <v>0</v>
      </c>
      <c r="AC49" s="67">
        <f t="shared" si="1"/>
        <v>0</v>
      </c>
      <c r="AD49" s="62"/>
    </row>
    <row r="50" spans="2:30" ht="22.5" customHeight="1" x14ac:dyDescent="0.3">
      <c r="B50" s="68" t="s">
        <v>152</v>
      </c>
      <c r="C50" s="69" t="s">
        <v>95</v>
      </c>
      <c r="D50" s="70">
        <f>D45-D49</f>
        <v>72119.585412159999</v>
      </c>
      <c r="E50" s="70">
        <f t="shared" ref="E50:AC50" si="2">E45-E49</f>
        <v>74110.661508791003</v>
      </c>
      <c r="F50" s="70">
        <f t="shared" si="2"/>
        <v>71913.680384413819</v>
      </c>
      <c r="G50" s="70">
        <f t="shared" si="2"/>
        <v>50834.142743070959</v>
      </c>
      <c r="H50" s="70">
        <f t="shared" si="2"/>
        <v>52122.258887216456</v>
      </c>
      <c r="I50" s="70">
        <f t="shared" si="2"/>
        <v>41418.140696948991</v>
      </c>
      <c r="J50" s="70">
        <f t="shared" si="2"/>
        <v>39541.479073116148</v>
      </c>
      <c r="K50" s="70">
        <f t="shared" si="2"/>
        <v>40385.540577741427</v>
      </c>
      <c r="L50" s="70">
        <f t="shared" si="2"/>
        <v>34648.755845725216</v>
      </c>
      <c r="M50" s="70">
        <f t="shared" si="2"/>
        <v>31656.82334638889</v>
      </c>
      <c r="N50" s="70">
        <f t="shared" si="2"/>
        <v>37637.768804674954</v>
      </c>
      <c r="O50" s="70">
        <f t="shared" si="2"/>
        <v>45500.821357651963</v>
      </c>
      <c r="P50" s="70">
        <f t="shared" si="2"/>
        <v>34005.17622089776</v>
      </c>
      <c r="Q50" s="70">
        <f t="shared" si="2"/>
        <v>0</v>
      </c>
      <c r="R50" s="70">
        <f t="shared" si="2"/>
        <v>0</v>
      </c>
      <c r="S50" s="70">
        <f t="shared" si="2"/>
        <v>0</v>
      </c>
      <c r="T50" s="70">
        <f t="shared" si="2"/>
        <v>0</v>
      </c>
      <c r="U50" s="70">
        <f t="shared" si="2"/>
        <v>0</v>
      </c>
      <c r="V50" s="70">
        <f t="shared" si="2"/>
        <v>0</v>
      </c>
      <c r="W50" s="70">
        <f t="shared" si="2"/>
        <v>0</v>
      </c>
      <c r="X50" s="70">
        <f t="shared" si="2"/>
        <v>0</v>
      </c>
      <c r="Y50" s="70">
        <f t="shared" si="2"/>
        <v>0</v>
      </c>
      <c r="Z50" s="70">
        <f t="shared" si="2"/>
        <v>0</v>
      </c>
      <c r="AA50" s="70">
        <f t="shared" si="2"/>
        <v>0</v>
      </c>
      <c r="AB50" s="70">
        <f t="shared" si="2"/>
        <v>0</v>
      </c>
      <c r="AC50" s="70">
        <f t="shared" si="2"/>
        <v>0</v>
      </c>
      <c r="AD50" s="62" t="s">
        <v>145</v>
      </c>
    </row>
    <row r="51" spans="2:30" ht="85.5" customHeight="1" x14ac:dyDescent="0.3">
      <c r="B51" s="62"/>
      <c r="C51" s="6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62"/>
    </row>
    <row r="52" spans="2:30" x14ac:dyDescent="0.3"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2:30" x14ac:dyDescent="0.3"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2:30" x14ac:dyDescent="0.3"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2:30" x14ac:dyDescent="0.3"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2:30" x14ac:dyDescent="0.3">
      <c r="B56" s="55" t="s">
        <v>153</v>
      </c>
      <c r="C56" s="46" t="s">
        <v>95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44"/>
    </row>
    <row r="57" spans="2:30" x14ac:dyDescent="0.3">
      <c r="B57" s="55" t="s">
        <v>154</v>
      </c>
      <c r="C57" s="46" t="s">
        <v>95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44"/>
    </row>
    <row r="58" spans="2:30" x14ac:dyDescent="0.3">
      <c r="B58" s="55" t="s">
        <v>155</v>
      </c>
      <c r="C58" s="46" t="s">
        <v>95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44"/>
    </row>
    <row r="59" spans="2:30" x14ac:dyDescent="0.3">
      <c r="B59" s="55" t="s">
        <v>155</v>
      </c>
      <c r="C59" s="46" t="s">
        <v>95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44"/>
    </row>
    <row r="60" spans="2:30" x14ac:dyDescent="0.3">
      <c r="B60" s="72" t="s">
        <v>155</v>
      </c>
      <c r="C60" s="73" t="s">
        <v>95</v>
      </c>
      <c r="D60" s="74">
        <v>0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44"/>
    </row>
    <row r="61" spans="2:30" ht="19.5" customHeight="1" x14ac:dyDescent="0.3">
      <c r="B61" s="40" t="s">
        <v>156</v>
      </c>
      <c r="C61" s="41" t="s">
        <v>95</v>
      </c>
      <c r="D61" s="76">
        <f>SUM(D56:D60)</f>
        <v>0</v>
      </c>
      <c r="E61" s="76">
        <f t="shared" ref="E61:AC61" si="3">SUM(E56:E60)</f>
        <v>0</v>
      </c>
      <c r="F61" s="76">
        <f t="shared" si="3"/>
        <v>0</v>
      </c>
      <c r="G61" s="76">
        <f t="shared" si="3"/>
        <v>0</v>
      </c>
      <c r="H61" s="76">
        <f t="shared" si="3"/>
        <v>0</v>
      </c>
      <c r="I61" s="76">
        <f t="shared" si="3"/>
        <v>0</v>
      </c>
      <c r="J61" s="76">
        <f t="shared" si="3"/>
        <v>0</v>
      </c>
      <c r="K61" s="76">
        <f t="shared" si="3"/>
        <v>0</v>
      </c>
      <c r="L61" s="76">
        <f t="shared" si="3"/>
        <v>0</v>
      </c>
      <c r="M61" s="76">
        <f t="shared" si="3"/>
        <v>0</v>
      </c>
      <c r="N61" s="76">
        <f t="shared" si="3"/>
        <v>0</v>
      </c>
      <c r="O61" s="76">
        <f t="shared" si="3"/>
        <v>0</v>
      </c>
      <c r="P61" s="76">
        <f t="shared" si="3"/>
        <v>0</v>
      </c>
      <c r="Q61" s="76">
        <f t="shared" si="3"/>
        <v>0</v>
      </c>
      <c r="R61" s="76">
        <f t="shared" si="3"/>
        <v>0</v>
      </c>
      <c r="S61" s="76">
        <f t="shared" si="3"/>
        <v>0</v>
      </c>
      <c r="T61" s="76">
        <f t="shared" si="3"/>
        <v>0</v>
      </c>
      <c r="U61" s="76">
        <f t="shared" si="3"/>
        <v>0</v>
      </c>
      <c r="V61" s="76">
        <f t="shared" si="3"/>
        <v>0</v>
      </c>
      <c r="W61" s="76">
        <f t="shared" si="3"/>
        <v>0</v>
      </c>
      <c r="X61" s="76">
        <f t="shared" si="3"/>
        <v>0</v>
      </c>
      <c r="Y61" s="76">
        <f t="shared" si="3"/>
        <v>0</v>
      </c>
      <c r="Z61" s="76">
        <f t="shared" si="3"/>
        <v>0</v>
      </c>
      <c r="AA61" s="76">
        <f t="shared" si="3"/>
        <v>0</v>
      </c>
      <c r="AB61" s="76">
        <f t="shared" si="3"/>
        <v>0</v>
      </c>
      <c r="AC61" s="76">
        <f t="shared" si="3"/>
        <v>0</v>
      </c>
      <c r="AD61" s="62"/>
    </row>
    <row r="62" spans="2:30" s="81" customFormat="1" ht="30.75" customHeight="1" x14ac:dyDescent="0.3">
      <c r="B62" s="77" t="s">
        <v>157</v>
      </c>
      <c r="C62" s="78" t="s">
        <v>95</v>
      </c>
      <c r="D62" s="79">
        <f>D50+D61</f>
        <v>72119.585412159999</v>
      </c>
      <c r="E62" s="79">
        <f t="shared" ref="E62:AC62" si="4">E50+E61</f>
        <v>74110.661508791003</v>
      </c>
      <c r="F62" s="79">
        <f t="shared" si="4"/>
        <v>71913.680384413819</v>
      </c>
      <c r="G62" s="79">
        <f t="shared" si="4"/>
        <v>50834.142743070959</v>
      </c>
      <c r="H62" s="79">
        <f t="shared" si="4"/>
        <v>52122.258887216456</v>
      </c>
      <c r="I62" s="79">
        <f t="shared" si="4"/>
        <v>41418.140696948991</v>
      </c>
      <c r="J62" s="79">
        <f t="shared" si="4"/>
        <v>39541.479073116148</v>
      </c>
      <c r="K62" s="79">
        <f t="shared" si="4"/>
        <v>40385.540577741427</v>
      </c>
      <c r="L62" s="79">
        <f t="shared" si="4"/>
        <v>34648.755845725216</v>
      </c>
      <c r="M62" s="79">
        <f t="shared" si="4"/>
        <v>31656.82334638889</v>
      </c>
      <c r="N62" s="79">
        <f t="shared" si="4"/>
        <v>37637.768804674954</v>
      </c>
      <c r="O62" s="79">
        <f t="shared" si="4"/>
        <v>45500.821357651963</v>
      </c>
      <c r="P62" s="79">
        <f t="shared" si="4"/>
        <v>34005.17622089776</v>
      </c>
      <c r="Q62" s="79">
        <f t="shared" si="4"/>
        <v>0</v>
      </c>
      <c r="R62" s="79">
        <f t="shared" si="4"/>
        <v>0</v>
      </c>
      <c r="S62" s="79">
        <f t="shared" si="4"/>
        <v>0</v>
      </c>
      <c r="T62" s="79">
        <f t="shared" si="4"/>
        <v>0</v>
      </c>
      <c r="U62" s="79">
        <f t="shared" si="4"/>
        <v>0</v>
      </c>
      <c r="V62" s="79">
        <f t="shared" si="4"/>
        <v>0</v>
      </c>
      <c r="W62" s="79">
        <f t="shared" si="4"/>
        <v>0</v>
      </c>
      <c r="X62" s="79">
        <f t="shared" si="4"/>
        <v>0</v>
      </c>
      <c r="Y62" s="79">
        <f t="shared" si="4"/>
        <v>0</v>
      </c>
      <c r="Z62" s="79">
        <f t="shared" si="4"/>
        <v>0</v>
      </c>
      <c r="AA62" s="79">
        <f t="shared" si="4"/>
        <v>0</v>
      </c>
      <c r="AB62" s="79">
        <f t="shared" si="4"/>
        <v>0</v>
      </c>
      <c r="AC62" s="79">
        <f t="shared" si="4"/>
        <v>0</v>
      </c>
      <c r="AD62" s="80"/>
    </row>
    <row r="63" spans="2:30" x14ac:dyDescent="0.3"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2:30" x14ac:dyDescent="0.3"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4:30" x14ac:dyDescent="0.3"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4:30" x14ac:dyDescent="0.3"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4:30" x14ac:dyDescent="0.3"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4:30" x14ac:dyDescent="0.3"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4:30" x14ac:dyDescent="0.3"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4:30" x14ac:dyDescent="0.3"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4:30" x14ac:dyDescent="0.3"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4:30" x14ac:dyDescent="0.3"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4:30" x14ac:dyDescent="0.3"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4:30" x14ac:dyDescent="0.3"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4:30" x14ac:dyDescent="0.3"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4:30" x14ac:dyDescent="0.3"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4:30" x14ac:dyDescent="0.3"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4:30" x14ac:dyDescent="0.3"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4:30" x14ac:dyDescent="0.3"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4:30" x14ac:dyDescent="0.3"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4:30" x14ac:dyDescent="0.3"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4:30" x14ac:dyDescent="0.3"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4:30" x14ac:dyDescent="0.3"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4:30" x14ac:dyDescent="0.3"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4:30" x14ac:dyDescent="0.3"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4:30" x14ac:dyDescent="0.3"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4:30" x14ac:dyDescent="0.3"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4:30" x14ac:dyDescent="0.3"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4:30" x14ac:dyDescent="0.3"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4:30" x14ac:dyDescent="0.3"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4:30" x14ac:dyDescent="0.3"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4:30" x14ac:dyDescent="0.3"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4:30" x14ac:dyDescent="0.3"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4:30" x14ac:dyDescent="0.3"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4:30" x14ac:dyDescent="0.3"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4:30" x14ac:dyDescent="0.3"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4:30" x14ac:dyDescent="0.3"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4:30" x14ac:dyDescent="0.3"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4:30" x14ac:dyDescent="0.3"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4:30" x14ac:dyDescent="0.3"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4:30" x14ac:dyDescent="0.3"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4:30" x14ac:dyDescent="0.3"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4:30" x14ac:dyDescent="0.3"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4:30" x14ac:dyDescent="0.3"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4:30" x14ac:dyDescent="0.3"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4:30" x14ac:dyDescent="0.3"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4:30" x14ac:dyDescent="0.3"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4:30" x14ac:dyDescent="0.3"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4:30" x14ac:dyDescent="0.3"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4:30" x14ac:dyDescent="0.3"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4:30" x14ac:dyDescent="0.3"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4:30" x14ac:dyDescent="0.3"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4:30" x14ac:dyDescent="0.3"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4:30" x14ac:dyDescent="0.3"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4:30" x14ac:dyDescent="0.3"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4:30" x14ac:dyDescent="0.3"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4:30" x14ac:dyDescent="0.3"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4:30" x14ac:dyDescent="0.3"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4:30" x14ac:dyDescent="0.3"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4:30" x14ac:dyDescent="0.3"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4:30" x14ac:dyDescent="0.3"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4:30" x14ac:dyDescent="0.3"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4:30" x14ac:dyDescent="0.3"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4:30" x14ac:dyDescent="0.3"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4:30" x14ac:dyDescent="0.3"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4:30" x14ac:dyDescent="0.3"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4:30" x14ac:dyDescent="0.3"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4:30" x14ac:dyDescent="0.3"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4:30" x14ac:dyDescent="0.3"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4:30" x14ac:dyDescent="0.3"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4:30" x14ac:dyDescent="0.3"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4:30" x14ac:dyDescent="0.3"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4:30" x14ac:dyDescent="0.3"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4:30" x14ac:dyDescent="0.3"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</sheetData>
  <conditionalFormatting sqref="D22:AC30">
    <cfRule type="containsText" dxfId="146" priority="5" operator="containsText" text="Nein">
      <formula>NOT(ISERROR(SEARCH("Nein",D22)))</formula>
    </cfRule>
  </conditionalFormatting>
  <conditionalFormatting sqref="D31:AC31">
    <cfRule type="cellIs" dxfId="145" priority="6" operator="equal">
      <formula>"ok"</formula>
    </cfRule>
  </conditionalFormatting>
  <conditionalFormatting sqref="H5:AC12 H14:AC16 H18:AC19 H33:AC41">
    <cfRule type="cellIs" dxfId="144" priority="4" operator="greaterThan">
      <formula>0</formula>
    </cfRule>
  </conditionalFormatting>
  <conditionalFormatting sqref="H6:AC12">
    <cfRule type="expression" dxfId="143" priority="3">
      <formula>NOT(ISBLANK(H6))</formula>
    </cfRule>
  </conditionalFormatting>
  <conditionalFormatting sqref="H18:AC19">
    <cfRule type="expression" dxfId="142" priority="2">
      <formula>NOT(ISBLANK(H18))</formula>
    </cfRule>
  </conditionalFormatting>
  <conditionalFormatting sqref="H56:AC60">
    <cfRule type="cellIs" dxfId="141" priority="1" operator="greaterThan">
      <formula>0</formula>
    </cfRule>
  </conditionalFormatting>
  <dataValidations count="1">
    <dataValidation type="list" allowBlank="1" showInputMessage="1" showErrorMessage="1" error="Bitte 'Ja' oder 'Nein' eingeben" sqref="D22:AC30" xr:uid="{AD17BD5F-9BCC-4192-8AB8-0D7106E32D90}">
      <formula1>"Ja, Nein"</formula1>
    </dataValidation>
  </dataValidations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DFDE64B782E7F45AEDA33DEF107BFBC" ma:contentTypeVersion="18" ma:contentTypeDescription="Ein neues Dokument erstellen." ma:contentTypeScope="" ma:versionID="e86b0bc921be7ff96ca933399303c3a3">
  <xsd:schema xmlns:xsd="http://www.w3.org/2001/XMLSchema" xmlns:xs="http://www.w3.org/2001/XMLSchema" xmlns:p="http://schemas.microsoft.com/office/2006/metadata/properties" xmlns:ns2="68abe706-b5b0-49db-a0d9-06666663c5c6" xmlns:ns3="92271614-e70c-43f9-aa37-5815e65cd0aa" xmlns:ns4="80d43d03-d0c3-4454-b39a-3904e7d9f24f" targetNamespace="http://schemas.microsoft.com/office/2006/metadata/properties" ma:root="true" ma:fieldsID="4f2f6599b18144bbe650290c4e5d0da6" ns2:_="" ns3:_="" ns4:_="">
    <xsd:import namespace="68abe706-b5b0-49db-a0d9-06666663c5c6"/>
    <xsd:import namespace="92271614-e70c-43f9-aa37-5815e65cd0aa"/>
    <xsd:import namespace="80d43d03-d0c3-4454-b39a-3904e7d9f24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be706-b5b0-49db-a0d9-06666663c5c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Freigabehinweishash" ma:internalName="SharingHintHash" ma:readOnly="true">
      <xsd:simpleType>
        <xsd:restriction base="dms:Text"/>
      </xsd:simpleType>
    </xsd:element>
    <xsd:element name="SharedWithDetails" ma:index="10" nillable="true" ma:displayName="Freigegeben für -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271614-e70c-43f9-aa37-5815e65cd0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markierungen" ma:readOnly="false" ma:fieldId="{5cf76f15-5ced-4ddc-b409-7134ff3c332f}" ma:taxonomyMulti="true" ma:sspId="60afc3ac-de02-46c6-84d7-3079a75e4b9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d43d03-d0c3-4454-b39a-3904e7d9f24f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556b0420-76c8-4fa8-8be6-fd9983071003}" ma:internalName="TaxCatchAll" ma:showField="CatchAllData" ma:web="80d43d03-d0c3-4454-b39a-3904e7d9f2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00D334-7549-4F74-B8F2-EE98B04979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abe706-b5b0-49db-a0d9-06666663c5c6"/>
    <ds:schemaRef ds:uri="92271614-e70c-43f9-aa37-5815e65cd0aa"/>
    <ds:schemaRef ds:uri="80d43d03-d0c3-4454-b39a-3904e7d9f2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939747D-5153-447B-8152-EA79FC8F75A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34</vt:i4>
      </vt:variant>
    </vt:vector>
  </HeadingPairs>
  <TitlesOfParts>
    <vt:vector size="34" baseType="lpstr">
      <vt:lpstr>D_AG_1</vt:lpstr>
      <vt:lpstr>D_AG_2</vt:lpstr>
      <vt:lpstr>D_AG_3</vt:lpstr>
      <vt:lpstr>D_BE_1</vt:lpstr>
      <vt:lpstr>D_BE_2</vt:lpstr>
      <vt:lpstr>D_BE_3</vt:lpstr>
      <vt:lpstr>D_BS_1</vt:lpstr>
      <vt:lpstr>D_FR_1</vt:lpstr>
      <vt:lpstr>D_GE_1</vt:lpstr>
      <vt:lpstr>D_GL_1</vt:lpstr>
      <vt:lpstr>D_GR_1</vt:lpstr>
      <vt:lpstr>D_LU_1</vt:lpstr>
      <vt:lpstr>D_LU_2</vt:lpstr>
      <vt:lpstr>D_NE_1</vt:lpstr>
      <vt:lpstr>D_NE_2</vt:lpstr>
      <vt:lpstr>D_SG_1</vt:lpstr>
      <vt:lpstr>D_SG_2</vt:lpstr>
      <vt:lpstr>D_SG_3</vt:lpstr>
      <vt:lpstr>D_SO_1</vt:lpstr>
      <vt:lpstr>D_TG_1</vt:lpstr>
      <vt:lpstr>D_TI_1</vt:lpstr>
      <vt:lpstr>D_VD_2</vt:lpstr>
      <vt:lpstr>D_VS_1</vt:lpstr>
      <vt:lpstr>D_VS_2</vt:lpstr>
      <vt:lpstr>D_VS_3</vt:lpstr>
      <vt:lpstr>D_ZH_1</vt:lpstr>
      <vt:lpstr>D_ZH_2</vt:lpstr>
      <vt:lpstr>D_ZH_3</vt:lpstr>
      <vt:lpstr>D_ZH_4</vt:lpstr>
      <vt:lpstr>D_ZH_5</vt:lpstr>
      <vt:lpstr>D_ZH_6</vt:lpstr>
      <vt:lpstr>D_CH</vt:lpstr>
      <vt:lpstr>Pars</vt:lpstr>
      <vt:lpstr>Übersicht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 Quartier</dc:creator>
  <cp:lastModifiedBy>Robin Quartier</cp:lastModifiedBy>
  <cp:lastPrinted>2023-08-25T10:14:27Z</cp:lastPrinted>
  <dcterms:created xsi:type="dcterms:W3CDTF">2015-06-05T18:19:34Z</dcterms:created>
  <dcterms:modified xsi:type="dcterms:W3CDTF">2023-08-25T12:58:24Z</dcterms:modified>
</cp:coreProperties>
</file>