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adb.intra.admin.ch\userhome$\BAFU-01\u80770455\config\Desktop\"/>
    </mc:Choice>
  </mc:AlternateContent>
  <bookViews>
    <workbookView xWindow="0" yWindow="0" windowWidth="28800" windowHeight="11910"/>
  </bookViews>
  <sheets>
    <sheet name="Ausmass" sheetId="1" r:id="rId1"/>
    <sheet name="lokale Korrekturen" sheetId="3" r:id="rId2"/>
    <sheet name="Szenarien" sheetId="4" r:id="rId3"/>
    <sheet name="Erklärungen" sheetId="5" r:id="rId4"/>
    <sheet name="StFV" sheetId="6" r:id="rId5"/>
    <sheet name="TEEL" sheetId="7" r:id="rId6"/>
  </sheets>
  <definedNames>
    <definedName name="_ftn1" localSheetId="4">StFV!$B$15</definedName>
    <definedName name="_ftnref1" localSheetId="4">StFV!$B$12</definedName>
    <definedName name="BAI">#REF!</definedName>
    <definedName name="BV">#REF!</definedName>
    <definedName name="BW">#REF!</definedName>
    <definedName name="dim_d">#REF!</definedName>
    <definedName name="dim_m">#REF!</definedName>
    <definedName name="_xlnm.Print_Area" localSheetId="1">'lokale Korrekturen'!$A$1:$N$40</definedName>
    <definedName name="MG_Korr">Ausmass!$I$9:$J$9</definedName>
    <definedName name="TTC_staged">#REF!</definedName>
    <definedName name="Z_E3820482_98B5_49C5_A6A4_90144F59933E_.wvu.Rows" localSheetId="0" hidden="1">Ausmass!$25:$25</definedName>
  </definedNames>
  <calcPr calcId="152511" concurrentCalc="0"/>
  <customWorkbookViews>
    <customWorkbookView name="Bützer - Persönliche Ansicht" guid="{E3820482-98B5-49C5-A6A4-90144F59933E}"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 r="E9" i="3"/>
  <c r="C9" i="3"/>
  <c r="C15" i="1"/>
  <c r="E15" i="3"/>
  <c r="C15" i="3"/>
  <c r="C12" i="1"/>
  <c r="D8" i="1"/>
  <c r="B12" i="1"/>
  <c r="L1" i="1"/>
  <c r="K9" i="1"/>
  <c r="J9" i="1"/>
  <c r="O20" i="1"/>
  <c r="O23" i="1"/>
  <c r="F23" i="1"/>
  <c r="V13" i="1"/>
  <c r="O21" i="1"/>
  <c r="F21" i="1"/>
  <c r="V12" i="1"/>
  <c r="O19" i="1"/>
  <c r="F19" i="1"/>
  <c r="V10" i="1"/>
  <c r="F20" i="1"/>
  <c r="V11" i="1"/>
  <c r="G14" i="1"/>
  <c r="H28" i="1"/>
  <c r="H29" i="1"/>
  <c r="H30" i="1"/>
  <c r="H27" i="1"/>
  <c r="G30" i="1"/>
  <c r="I30" i="1"/>
  <c r="G27" i="1"/>
  <c r="I27" i="1"/>
  <c r="C4" i="3"/>
  <c r="E14" i="3"/>
  <c r="C14" i="3"/>
  <c r="C16" i="3"/>
  <c r="C10" i="3"/>
  <c r="E16" i="3"/>
  <c r="E10" i="3"/>
  <c r="C11" i="1"/>
  <c r="E12" i="1"/>
  <c r="D7" i="1"/>
  <c r="B11" i="1"/>
  <c r="C10" i="1"/>
  <c r="D6" i="1"/>
  <c r="B10" i="1"/>
  <c r="B13" i="1"/>
  <c r="E6" i="1"/>
  <c r="D11" i="1"/>
  <c r="D12" i="1"/>
  <c r="D10" i="1"/>
  <c r="D13" i="1"/>
  <c r="G9" i="1"/>
  <c r="G16" i="1"/>
  <c r="G10" i="1"/>
  <c r="G13" i="1"/>
  <c r="G12" i="1"/>
  <c r="G11" i="1"/>
  <c r="L11" i="1"/>
  <c r="M11" i="1"/>
  <c r="J11" i="1"/>
  <c r="M6" i="1"/>
  <c r="L6" i="1"/>
  <c r="G29" i="1"/>
  <c r="I29" i="1"/>
  <c r="G28" i="1"/>
  <c r="I28" i="1"/>
  <c r="V15" i="1"/>
  <c r="V16" i="1"/>
  <c r="G24" i="1"/>
  <c r="F24" i="1"/>
  <c r="J13" i="1"/>
  <c r="F17" i="1"/>
  <c r="F25" i="1"/>
  <c r="L12" i="1"/>
  <c r="L7" i="1"/>
  <c r="I7" i="3"/>
  <c r="M12" i="1"/>
  <c r="J12" i="1"/>
  <c r="G9" i="3"/>
  <c r="G15" i="3"/>
  <c r="I15" i="3"/>
  <c r="F11" i="3"/>
  <c r="D11" i="3"/>
  <c r="H11" i="3"/>
  <c r="C13" i="3"/>
  <c r="J7" i="3"/>
  <c r="J10" i="3"/>
  <c r="G11" i="3"/>
  <c r="G14" i="3"/>
  <c r="G16" i="3"/>
  <c r="J9" i="3"/>
  <c r="I14" i="3"/>
  <c r="I16" i="3"/>
  <c r="G10" i="3"/>
  <c r="I10" i="3"/>
  <c r="I17" i="3"/>
  <c r="E10" i="1"/>
  <c r="I12" i="3"/>
  <c r="M7" i="1"/>
  <c r="J11" i="3"/>
  <c r="J8" i="1"/>
  <c r="H7" i="1"/>
  <c r="E11" i="1"/>
  <c r="E13" i="1"/>
</calcChain>
</file>

<file path=xl/sharedStrings.xml><?xml version="1.0" encoding="utf-8"?>
<sst xmlns="http://schemas.openxmlformats.org/spreadsheetml/2006/main" count="216" uniqueCount="196">
  <si>
    <t>Kriterien</t>
  </si>
  <si>
    <t>Technisch</t>
  </si>
  <si>
    <t>Menschliche Faktoren</t>
  </si>
  <si>
    <t>Runaway</t>
  </si>
  <si>
    <t>2nd Containment</t>
  </si>
  <si>
    <t>HEPA-Filter</t>
  </si>
  <si>
    <t>Keine Rückhaltung</t>
  </si>
  <si>
    <t>Lüftung</t>
  </si>
  <si>
    <t>Gebrochene Fenster/Wand</t>
  </si>
  <si>
    <t>Im Freien</t>
  </si>
  <si>
    <r>
      <rPr>
        <b/>
        <sz val="11"/>
        <color theme="1"/>
        <rFont val="Calibri"/>
        <family val="2"/>
        <scheme val="minor"/>
      </rPr>
      <t>Blow-Down-Tank</t>
    </r>
    <r>
      <rPr>
        <sz val="11"/>
        <color theme="1"/>
        <rFont val="Calibri"/>
        <family val="2"/>
        <scheme val="minor"/>
      </rPr>
      <t>: Tank, der austretendes Material abfängt, ist funktionsfähig aber ohne Filter offen</t>
    </r>
  </si>
  <si>
    <r>
      <rPr>
        <b/>
        <sz val="11"/>
        <color theme="1"/>
        <rFont val="Calibri"/>
        <family val="2"/>
        <scheme val="minor"/>
      </rPr>
      <t>HEPA-Filter</t>
    </r>
    <r>
      <rPr>
        <sz val="11"/>
        <color theme="1"/>
        <rFont val="Calibri"/>
        <family val="2"/>
        <scheme val="minor"/>
      </rPr>
      <t>: Defekter Filter, der einen raschen Austritt kleinster Partikel nicht ganz verhindern kann</t>
    </r>
  </si>
  <si>
    <r>
      <rPr>
        <b/>
        <sz val="11"/>
        <color theme="1"/>
        <rFont val="Calibri"/>
        <family val="2"/>
        <scheme val="minor"/>
      </rPr>
      <t>Keine Rückhaltung</t>
    </r>
    <r>
      <rPr>
        <sz val="11"/>
        <color theme="1"/>
        <rFont val="Calibri"/>
        <family val="2"/>
        <scheme val="minor"/>
      </rPr>
      <t>: Das ist z.B. bei einem Versagen der Verpackung im Freien der Fall</t>
    </r>
  </si>
  <si>
    <r>
      <rPr>
        <b/>
        <sz val="11"/>
        <color theme="1"/>
        <rFont val="Calibri"/>
        <family val="2"/>
        <scheme val="minor"/>
      </rPr>
      <t>Abblasleitung</t>
    </r>
    <r>
      <rPr>
        <sz val="11"/>
        <color theme="1"/>
        <rFont val="Calibri"/>
        <family val="2"/>
        <scheme val="minor"/>
      </rPr>
      <t>: Direkte Freisetzung ohne Abblastank</t>
    </r>
  </si>
  <si>
    <r>
      <rPr>
        <b/>
        <sz val="11"/>
        <color theme="1"/>
        <rFont val="Calibri"/>
        <family val="2"/>
        <scheme val="minor"/>
      </rPr>
      <t>Lüftung</t>
    </r>
    <r>
      <rPr>
        <sz val="11"/>
        <color theme="1"/>
        <rFont val="Calibri"/>
        <family val="2"/>
        <scheme val="minor"/>
      </rPr>
      <t>: Austritt über die laufende Lüftung der Apparatur oder des Raumes</t>
    </r>
  </si>
  <si>
    <r>
      <rPr>
        <b/>
        <sz val="11"/>
        <color theme="1"/>
        <rFont val="Calibri"/>
        <family val="2"/>
        <scheme val="minor"/>
      </rPr>
      <t>Gebäudeöffnung</t>
    </r>
    <r>
      <rPr>
        <sz val="11"/>
        <color theme="1"/>
        <rFont val="Calibri"/>
        <family val="2"/>
        <scheme val="minor"/>
      </rPr>
      <t>: Freisetzung über offene Fenster Türen oder Tore (z.B. Lager)</t>
    </r>
  </si>
  <si>
    <r>
      <rPr>
        <b/>
        <sz val="11"/>
        <color theme="1"/>
        <rFont val="Calibri"/>
        <family val="2"/>
        <scheme val="minor"/>
      </rPr>
      <t>Im Freien</t>
    </r>
    <r>
      <rPr>
        <sz val="11"/>
        <color theme="1"/>
        <rFont val="Calibri"/>
        <family val="2"/>
        <scheme val="minor"/>
      </rPr>
      <t>: Die Substanz ist von keinem Raum umschlossen</t>
    </r>
  </si>
  <si>
    <t>MG-Korr</t>
  </si>
  <si>
    <t>B ohne Sz</t>
  </si>
  <si>
    <t>B mit Sz</t>
  </si>
  <si>
    <r>
      <rPr>
        <b/>
        <sz val="11"/>
        <color theme="1"/>
        <rFont val="Calibri"/>
        <family val="2"/>
        <scheme val="minor"/>
      </rPr>
      <t>Gebrochene Fenster/Wand</t>
    </r>
    <r>
      <rPr>
        <sz val="11"/>
        <color theme="1"/>
        <rFont val="Calibri"/>
        <family val="2"/>
        <scheme val="minor"/>
      </rPr>
      <t>: Austritt aus einem defekten 2nd Containment</t>
    </r>
  </si>
  <si>
    <t>OELber</t>
  </si>
  <si>
    <t>Krit. Szenario</t>
  </si>
  <si>
    <t>Dist mit Sz</t>
  </si>
  <si>
    <t>Dist ohne Sz</t>
  </si>
  <si>
    <t>Grenzen</t>
  </si>
  <si>
    <t>Eingabe Wert</t>
  </si>
  <si>
    <t>Blow-Down Tank</t>
  </si>
  <si>
    <t>zurück</t>
  </si>
  <si>
    <t>d max (km)</t>
  </si>
  <si>
    <t>Bereich (von-bis)</t>
  </si>
  <si>
    <t>total</t>
  </si>
  <si>
    <t>Betroffene (Korrektur)</t>
  </si>
  <si>
    <r>
      <t>Fläche (km</t>
    </r>
    <r>
      <rPr>
        <sz val="11"/>
        <color theme="1"/>
        <rFont val="Calibri"/>
        <family val="2"/>
      </rPr>
      <t>²)</t>
    </r>
  </si>
  <si>
    <t>nein</t>
  </si>
  <si>
    <t>Neue lokale Bevölkerungsdichte (P/km²)</t>
  </si>
  <si>
    <t>min A (km)</t>
  </si>
  <si>
    <t>max A  (km)</t>
  </si>
  <si>
    <t>min B (km)</t>
  </si>
  <si>
    <t>max B (km)</t>
  </si>
  <si>
    <t>min C (km)</t>
  </si>
  <si>
    <t>max C (km)</t>
  </si>
  <si>
    <t>Mit Szenarien: Betroffene pro km2:</t>
  </si>
  <si>
    <t>Anzahl Verletzte</t>
  </si>
  <si>
    <t>Ausführungen zu einzelnen Feldern des morphologischen Kastens in dessen Reihenfolge</t>
  </si>
  <si>
    <t>Anteil Personen im Freien</t>
  </si>
  <si>
    <t>Abblasleitung</t>
  </si>
  <si>
    <t>Umwelteinfluss</t>
  </si>
  <si>
    <t>Dominoeffekt</t>
  </si>
  <si>
    <t>Staubexplosion</t>
  </si>
  <si>
    <t>Behälterversagen</t>
  </si>
  <si>
    <t>Verpackungsleck</t>
  </si>
  <si>
    <t>Gebäudeöffnung</t>
  </si>
  <si>
    <t>Auslöser</t>
  </si>
  <si>
    <t>Freisetzung</t>
  </si>
  <si>
    <t>relevante Masse in kg</t>
  </si>
  <si>
    <t>Faktor total</t>
  </si>
  <si>
    <t>Andere: Faktor eingeben</t>
  </si>
  <si>
    <t xml:space="preserve">CMR </t>
  </si>
  <si>
    <t>ja</t>
  </si>
  <si>
    <t>Korrekturen</t>
  </si>
  <si>
    <t>Wahl   (Parameter)</t>
  </si>
  <si>
    <t>Wahl                         (Komponente)</t>
  </si>
  <si>
    <t>Beispiele: Szenarien mit passiven Massnahmen</t>
  </si>
  <si>
    <t>Lokale Korrekturen mit Szenarien ?</t>
  </si>
  <si>
    <t>im Freien</t>
  </si>
  <si>
    <t>Tageszeit</t>
  </si>
  <si>
    <t>Tag (07-19h)</t>
  </si>
  <si>
    <t>Nacht (19-07h)</t>
  </si>
  <si>
    <t>Wochentag</t>
  </si>
  <si>
    <t>Wochenende</t>
  </si>
  <si>
    <t>Wohn-Bevölkerung</t>
  </si>
  <si>
    <t>Arbeits-Bevölkerung</t>
  </si>
  <si>
    <t>anwesend</t>
  </si>
  <si>
    <t>0.1-0.3</t>
  </si>
  <si>
    <t>0.05-0.3</t>
  </si>
  <si>
    <t>Anteile</t>
  </si>
  <si>
    <t>Tage</t>
  </si>
  <si>
    <t>Anteil Personen</t>
  </si>
  <si>
    <t>CMR 1A</t>
  </si>
  <si>
    <t>CMR 1B</t>
  </si>
  <si>
    <t>H340</t>
  </si>
  <si>
    <t>H360, H360F, H360D</t>
  </si>
  <si>
    <t>Eigene Erklärungen/Hinweise (evtl. link)</t>
  </si>
  <si>
    <t>Menge HAS (kg)</t>
  </si>
  <si>
    <t>mittlere polydisperse Partikelgrösse Ø (μm)</t>
  </si>
  <si>
    <t>Wenn weniger als 5% freigesetzt werden, sind Erklärungen notwendig, wie dieses Szenario möglich ist.</t>
  </si>
  <si>
    <t>Beschreibung des Gebiets</t>
  </si>
  <si>
    <t>Landwirtschaftszone, vereinzelte Häuser</t>
  </si>
  <si>
    <t>Streusiedlungen</t>
  </si>
  <si>
    <t>Dorf, ruhige Wohnzone</t>
  </si>
  <si>
    <t>Wohnzone</t>
  </si>
  <si>
    <t>Geschäfts- und Wohnzone</t>
  </si>
  <si>
    <t>Städtisches Gebiet, Einkaufszentren, Stadtzentrum</t>
  </si>
  <si>
    <t>C: carcinogen</t>
  </si>
  <si>
    <t>Exemplarische Bevölkerungsdichten</t>
  </si>
  <si>
    <t>M: mutagen</t>
  </si>
  <si>
    <t>R: reproduktionstoxisch</t>
  </si>
  <si>
    <t>In Windrichtung Winkel ca. 20° (D)</t>
  </si>
  <si>
    <t>Gelbe Felder:  Wert eingeben</t>
  </si>
  <si>
    <t>Blaue Felder:  pull-down Menu</t>
  </si>
  <si>
    <t>Emission</t>
  </si>
  <si>
    <t>Dampf</t>
  </si>
  <si>
    <t>Systemfehler</t>
  </si>
  <si>
    <t>Systembarriere</t>
  </si>
  <si>
    <t>Ø ≤ 10 µm</t>
  </si>
  <si>
    <r>
      <t xml:space="preserve">Ø </t>
    </r>
    <r>
      <rPr>
        <sz val="10"/>
        <color theme="1"/>
        <rFont val="Calibri"/>
        <family val="2"/>
      </rPr>
      <t xml:space="preserve">≈ </t>
    </r>
    <r>
      <rPr>
        <sz val="10"/>
        <color theme="1"/>
        <rFont val="Calibri"/>
        <family val="2"/>
        <scheme val="minor"/>
      </rPr>
      <t>50 µm</t>
    </r>
  </si>
  <si>
    <t>Ø ≈ 100 µm</t>
  </si>
  <si>
    <t>Ø ≈ 150 µm</t>
  </si>
  <si>
    <t>Ø  ≥ 400 µm</t>
  </si>
  <si>
    <r>
      <rPr>
        <b/>
        <sz val="11"/>
        <color theme="1"/>
        <rFont val="Calibri"/>
        <family val="2"/>
        <scheme val="minor"/>
      </rPr>
      <t xml:space="preserve">Aerosol </t>
    </r>
    <r>
      <rPr>
        <sz val="11"/>
        <color theme="1"/>
        <rFont val="Calibri"/>
        <family val="2"/>
        <scheme val="minor"/>
      </rPr>
      <t>mit Flüssigkeit</t>
    </r>
  </si>
  <si>
    <t>Brand</t>
  </si>
  <si>
    <t xml:space="preserve">Anderer Faktor </t>
  </si>
  <si>
    <t>Faktoren Wahl</t>
  </si>
  <si>
    <t>Aerosol</t>
  </si>
  <si>
    <t>Faktoren K</t>
  </si>
  <si>
    <r>
      <rPr>
        <b/>
        <sz val="11"/>
        <color theme="1"/>
        <rFont val="Calibri"/>
        <family val="2"/>
        <scheme val="minor"/>
      </rPr>
      <t>Technisch</t>
    </r>
    <r>
      <rPr>
        <sz val="11"/>
        <color theme="1"/>
        <rFont val="Calibri"/>
        <family val="2"/>
        <scheme val="minor"/>
      </rPr>
      <t>: Auslösen eines Störfalls durch Versagen eines technischen Systems, inkl. Mess-, Steuer-, und Regeltechnikfehler</t>
    </r>
  </si>
  <si>
    <r>
      <rPr>
        <b/>
        <sz val="11"/>
        <color theme="1"/>
        <rFont val="Calibri"/>
        <family val="2"/>
        <scheme val="minor"/>
      </rPr>
      <t>Menschliche Faktoren</t>
    </r>
    <r>
      <rPr>
        <sz val="11"/>
        <color theme="1"/>
        <rFont val="Calibri"/>
        <family val="2"/>
        <scheme val="minor"/>
      </rPr>
      <t>: Auslösen eines Störfalls durch Fehlverhalten oder Unvermögen der Mitarbeiter oder organisatorische Mängel</t>
    </r>
  </si>
  <si>
    <r>
      <rPr>
        <b/>
        <sz val="11"/>
        <color theme="1"/>
        <rFont val="Calibri"/>
        <family val="2"/>
        <scheme val="minor"/>
      </rPr>
      <t>Umwelteinfluss</t>
    </r>
    <r>
      <rPr>
        <sz val="11"/>
        <color theme="1"/>
        <rFont val="Calibri"/>
        <family val="2"/>
        <scheme val="minor"/>
      </rPr>
      <t>: Auslösen eines Störfalls durch einen Defekt im System, bedingt durch Erdbeben, Blitz, Hochwasser etc.</t>
    </r>
  </si>
  <si>
    <r>
      <rPr>
        <b/>
        <sz val="11"/>
        <color theme="1"/>
        <rFont val="Calibri"/>
        <family val="2"/>
        <scheme val="minor"/>
      </rPr>
      <t>Domino-Effekte</t>
    </r>
    <r>
      <rPr>
        <sz val="11"/>
        <color theme="1"/>
        <rFont val="Calibri"/>
        <family val="2"/>
        <scheme val="minor"/>
      </rPr>
      <t xml:space="preserve">: Störfall ausgelöst durch einen anderen Störfall bzw. Unfall </t>
    </r>
  </si>
  <si>
    <r>
      <rPr>
        <b/>
        <sz val="11"/>
        <color theme="1"/>
        <rFont val="Calibri"/>
        <family val="2"/>
        <scheme val="minor"/>
      </rPr>
      <t>Runaway</t>
    </r>
    <r>
      <rPr>
        <sz val="11"/>
        <color theme="1"/>
        <rFont val="Calibri"/>
        <family val="2"/>
        <scheme val="minor"/>
      </rPr>
      <t xml:space="preserve">: Systemversagen aufgrund eines sich selbst verstärkenden, Wärme produzierenden Prozesses (thermischer Exkurs). </t>
    </r>
  </si>
  <si>
    <r>
      <rPr>
        <b/>
        <sz val="11"/>
        <color theme="1"/>
        <rFont val="Calibri"/>
        <family val="2"/>
        <scheme val="minor"/>
      </rPr>
      <t>Staubexplosion</t>
    </r>
    <r>
      <rPr>
        <sz val="11"/>
        <color theme="1"/>
        <rFont val="Calibri"/>
        <family val="2"/>
        <scheme val="minor"/>
      </rPr>
      <t>: Systemversagen aufgrund der Zündung eines unverbrannten Staubes bei Vorhandensein von genügend Sauerstoff in einem Reaktionsgefäss oder einem Raum. Sind die Apparaturen druckstossfest (p&gt;10 bar), dann sind Explosions-Folgeschäden auf den umgebenden Raum nicht zu erwarten</t>
    </r>
  </si>
  <si>
    <r>
      <rPr>
        <b/>
        <sz val="11"/>
        <color theme="1"/>
        <rFont val="Calibri"/>
        <family val="2"/>
        <scheme val="minor"/>
      </rPr>
      <t>Brand</t>
    </r>
    <r>
      <rPr>
        <sz val="11"/>
        <color theme="1"/>
        <rFont val="Calibri"/>
        <family val="2"/>
        <scheme val="minor"/>
      </rPr>
      <t>: Systemversagen aufgrund eines Brandes, an welchem die HAS unmittelbar beteiligt sind oder von welchem diese umgeben werden. HAS können schmelzen, sich zersetzen oder verbrennen</t>
    </r>
  </si>
  <si>
    <r>
      <rPr>
        <b/>
        <sz val="11"/>
        <color theme="1"/>
        <rFont val="Calibri"/>
        <family val="2"/>
        <scheme val="minor"/>
      </rPr>
      <t>Behälterversagen</t>
    </r>
    <r>
      <rPr>
        <sz val="11"/>
        <color theme="1"/>
        <rFont val="Calibri"/>
        <family val="2"/>
        <scheme val="minor"/>
      </rPr>
      <t>: Versagen eines Behälters aufgrund eines nicht zulässigen Über- oder Unterdrucks</t>
    </r>
  </si>
  <si>
    <r>
      <rPr>
        <b/>
        <sz val="11"/>
        <color theme="1"/>
        <rFont val="Calibri"/>
        <family val="2"/>
        <scheme val="minor"/>
      </rPr>
      <t>Verpackungsleck</t>
    </r>
    <r>
      <rPr>
        <sz val="11"/>
        <color theme="1"/>
        <rFont val="Calibri"/>
        <family val="2"/>
        <scheme val="minor"/>
      </rPr>
      <t>: Beschädigung (z.B. mechanische) der Verpackung. Bei diesem Systemfehler wird nur der ausgetretene Anteil des HAS mit dem Korrekturfaktor zur Ermittlung der Quellstärke multipliziert. Bei den anderen Systemfehlern wir die gesamte im System enthaltene Stoffmenge mit dem Korrekturfaktor verrechnet</t>
    </r>
  </si>
  <si>
    <t>Komponente zum Parameter Auslöser</t>
  </si>
  <si>
    <t>Komponente zum Parameter Systemfehler</t>
  </si>
  <si>
    <t>Komponente zum Parameter betroffene Systembarriere</t>
  </si>
  <si>
    <t>Komponente zum Parameter Freisetzung</t>
  </si>
  <si>
    <t>Komponente zum Parameter Transmission</t>
  </si>
  <si>
    <t>Komponente zum Parameter Exposition</t>
  </si>
  <si>
    <t>Komponente zum Parameter Effekte</t>
  </si>
  <si>
    <r>
      <rPr>
        <b/>
        <sz val="11"/>
        <color theme="1"/>
        <rFont val="Calibri"/>
        <family val="2"/>
        <scheme val="minor"/>
      </rPr>
      <t>Luft:</t>
    </r>
    <r>
      <rPr>
        <sz val="11"/>
        <color theme="1"/>
        <rFont val="Calibri"/>
        <family val="2"/>
        <scheme val="minor"/>
      </rPr>
      <t xml:space="preserve"> Die Ausbreitung des HAS erfolgt in Form einer Schadstoffwolke über die Luft. Dieser Transmissionspfad  wurde mittels des Kurzzeit-Modells “Simulation of Effects caused by Incidents with HAS (SEIHAS)” mit den im Anhang aufgezeigten Parametern berechnet</t>
    </r>
  </si>
  <si>
    <r>
      <rPr>
        <b/>
        <sz val="11"/>
        <color theme="1"/>
        <rFont val="Calibri"/>
        <family val="2"/>
        <scheme val="minor"/>
      </rPr>
      <t>Brandgase</t>
    </r>
    <r>
      <rPr>
        <sz val="11"/>
        <color theme="1"/>
        <rFont val="Calibri"/>
        <family val="2"/>
        <scheme val="minor"/>
      </rPr>
      <t>: Der HAS wird mit der Thermik des Brandes in die Höhe gerissen, worauf sich dieser zusammen mit den Brandgasen als Schadstoffwolke in der Umwelt verteilt. Die Ausbreitung dieser Schadstoffwolke kann mittels den Berechnungen für den Transmissionspfad „Luft“ abgeschätzt werden</t>
    </r>
  </si>
  <si>
    <r>
      <rPr>
        <b/>
        <sz val="11"/>
        <color theme="1"/>
        <rFont val="Calibri"/>
        <family val="2"/>
        <scheme val="minor"/>
      </rPr>
      <t>Inhalation:</t>
    </r>
    <r>
      <rPr>
        <sz val="11"/>
        <color theme="1"/>
        <rFont val="Calibri"/>
        <family val="2"/>
        <scheme val="minor"/>
      </rPr>
      <t xml:space="preserve"> Die Aufnahme des HAS durch die exponierten Personen erfolgt über die Lunge aus einer Partikel- bzw. Aerosolwolke</t>
    </r>
  </si>
  <si>
    <r>
      <rPr>
        <b/>
        <sz val="11"/>
        <color theme="1"/>
        <rFont val="Calibri"/>
        <family val="2"/>
        <scheme val="minor"/>
      </rPr>
      <t>Aufnahme dermal:</t>
    </r>
    <r>
      <rPr>
        <sz val="11"/>
        <color theme="1"/>
        <rFont val="Calibri"/>
        <family val="2"/>
        <scheme val="minor"/>
      </rPr>
      <t xml:space="preserve"> Die Aufnahme des HAS durch die exponierten Personen erfolgt über die Haut aus einer Partikel- bzw. Aerosolwolke oder über Kontaminationen</t>
    </r>
  </si>
  <si>
    <r>
      <rPr>
        <b/>
        <sz val="11"/>
        <color theme="1"/>
        <rFont val="Calibri"/>
        <family val="2"/>
        <scheme val="minor"/>
      </rPr>
      <t>Lebensbedrohlicher Effekt:</t>
    </r>
    <r>
      <rPr>
        <sz val="11"/>
        <color theme="1"/>
        <rFont val="Calibri"/>
        <family val="2"/>
        <scheme val="minor"/>
      </rPr>
      <t xml:space="preserve"> Die exponierten Personen erleiden schwere Verletzungen entsprechend der Definition des TEEL-3-Werts</t>
    </r>
  </si>
  <si>
    <r>
      <rPr>
        <b/>
        <sz val="11"/>
        <color theme="1"/>
        <rFont val="Calibri"/>
        <family val="2"/>
        <scheme val="minor"/>
      </rPr>
      <t xml:space="preserve">CMR-Effekt: </t>
    </r>
    <r>
      <rPr>
        <sz val="11"/>
        <color theme="1"/>
        <rFont val="Calibri"/>
        <family val="2"/>
        <scheme val="minor"/>
      </rPr>
      <t>Die gegenüber CMR-Substanzen der Klassen 1 und 2 exponierten Personen weisen ein signifikant erhöhtes Krebsrisiko (&gt; 1:.10‘000), oder ein erhöhtes Risiko von Genmutationen oder Beeinträchtigungen der Fortpflanzungsfähigkeit oder von Entwicklungsschäden bei Nachkommen auf. Diese Personen werden als Verletzte betrachtet</t>
    </r>
  </si>
  <si>
    <t>Komponente zum Parameter Emission</t>
  </si>
  <si>
    <t>Mittlere Bevölkerungsdichte (P/km²)</t>
  </si>
  <si>
    <r>
      <t xml:space="preserve">Es sind die </t>
    </r>
    <r>
      <rPr>
        <b/>
        <sz val="11"/>
        <color theme="1"/>
        <rFont val="Calibri"/>
        <family val="2"/>
        <scheme val="minor"/>
      </rPr>
      <t>kritischsten</t>
    </r>
    <r>
      <rPr>
        <sz val="11"/>
        <color theme="1"/>
        <rFont val="Calibri"/>
        <family val="2"/>
        <scheme val="minor"/>
      </rPr>
      <t xml:space="preserve"> Szenarien mit passiven Massnahmen auszuwählen.</t>
    </r>
  </si>
  <si>
    <t>CMR (Hazards nach GHS)</t>
  </si>
  <si>
    <t>Die ausgewählten Szenarien müssen für das System realistisch sein.</t>
  </si>
  <si>
    <t>Parameter</t>
  </si>
  <si>
    <t>Komponenten</t>
  </si>
  <si>
    <t>(vorne gewählt)</t>
  </si>
  <si>
    <t>Hochaktive Stoffe (HAS) Kriterien</t>
  </si>
  <si>
    <t>Mengenschwelle für HAS = 20 kg</t>
  </si>
  <si>
    <t>a) OEL/MAK/TLV               &lt; 10 μg/m³</t>
  </si>
  <si>
    <t>b) ED₅₀                                  ≤ 10 mg/Tag</t>
  </si>
  <si>
    <t>StFV Anhang 1.1, Abs. 5 (Stand am 1. Juni 2015)</t>
  </si>
  <si>
    <r>
      <rPr>
        <b/>
        <sz val="11"/>
        <color theme="1"/>
        <rFont val="Calibri"/>
        <family val="2"/>
        <scheme val="minor"/>
      </rPr>
      <t>b) Effekt-Dosis (ED50)</t>
    </r>
    <r>
      <rPr>
        <sz val="11"/>
        <color theme="1"/>
        <rFont val="Calibri"/>
        <family val="2"/>
        <scheme val="minor"/>
      </rPr>
      <t>: Entspricht einer Effekt-Dosis ED50 von 0.17 mg/kg bei einem Körpergewicht von 60 kg. Die Effekt-Dosis bezieht sich auf den schlimmsten Effekt des Stoffes/der Zubereitung gemäss Selbstbeurteilung des Inhabers.</t>
    </r>
  </si>
  <si>
    <t>Es gelten die unten aufgeführten Kriterien, wobei die Reihenfolge der Kriterien (Buchstaben) eine Priorisierung ausdrückt d.h. falls ein Wert gemäss Kriterium a vorliegt, spielen die Kriterien b und c keine Rolle mehr.
Kommt der Inhaber für einen Stoff/eine Zubereitung, welche/r eine der Kriterien erfüllt, aufgrund seiner Selbstbeurteilung zum Schluss, dass eine Schädigung der Bevölkerung bei einer Einmalexposition auszuschliessen ist oder dass der schlimmste Effekt des Stoffes/der Zubereitung nicht störfallrelevant ist, so gilt der Stoff/die Zubereitung nicht als HAS im Sinne der Störfallverordnung. Zur Beurteilung, ob ein Effekt störfallrelevant ist, gilt die Definition der «Temporary Emergency Exposure Limits (TEEL-2)».
Nicht in den Geltungsbereich der Störfallverordnung fallen Betriebe, die mit HAS nur in Form von gebrauchsfertigen Produkten (Fertigprodukten) umgehen, die für den Eigengebrauch oder für die Abgabe an berufliche oder gewerbliche Verbraucher oder die breite Öffentlichkeit bestimmt sind.</t>
  </si>
  <si>
    <t>Temporary Emergency Exposure Limits (TEELs)</t>
  </si>
  <si>
    <t>TEELs estimate the concentrations at which most people will begin to experience health effects if they are exposed to a hazardous airborne chemical for a given duration.
A chemical may have up to three TEEL values, each of which corresponds to a specific tier of health effects. The three TEEL tiers are defined as follows:</t>
  </si>
  <si>
    <r>
      <t>TEEL-3</t>
    </r>
    <r>
      <rPr>
        <sz val="11"/>
        <color theme="1"/>
        <rFont val="Calibri"/>
        <family val="2"/>
        <scheme val="minor"/>
      </rPr>
      <t xml:space="preserve"> is the airborne concentration (expressed as ppm [parts per million] or mg/m</t>
    </r>
    <r>
      <rPr>
        <sz val="11"/>
        <color theme="1"/>
        <rFont val="Calibri"/>
        <family val="2"/>
      </rPr>
      <t>³</t>
    </r>
    <r>
      <rPr>
        <sz val="11"/>
        <color theme="1"/>
        <rFont val="Calibri"/>
        <family val="2"/>
        <scheme val="minor"/>
      </rPr>
      <t xml:space="preserve"> [milligrams per cubic meter]) of a substance above which it is predicted that the general population, including susceptible individuals, when </t>
    </r>
    <r>
      <rPr>
        <b/>
        <i/>
        <sz val="11"/>
        <color theme="1"/>
        <rFont val="Calibri"/>
        <family val="2"/>
        <scheme val="minor"/>
      </rPr>
      <t>exposed for more than one hour</t>
    </r>
    <r>
      <rPr>
        <sz val="11"/>
        <color theme="1"/>
        <rFont val="Calibri"/>
        <family val="2"/>
        <scheme val="minor"/>
      </rPr>
      <t>, could experience life-threatening adverse health effects or death.</t>
    </r>
  </si>
  <si>
    <r>
      <t>TEEL-2</t>
    </r>
    <r>
      <rPr>
        <sz val="11"/>
        <color theme="1"/>
        <rFont val="Calibri"/>
        <family val="2"/>
        <scheme val="minor"/>
      </rPr>
      <t xml:space="preserve"> is the airborne concentration (expressed as ppm or mg/m³ ) of a substance above which it is predicted that the general population, including susceptible individuals, when </t>
    </r>
    <r>
      <rPr>
        <b/>
        <i/>
        <sz val="11"/>
        <color theme="1"/>
        <rFont val="Calibri"/>
        <family val="2"/>
        <scheme val="minor"/>
      </rPr>
      <t>exposed for more than one hour</t>
    </r>
    <r>
      <rPr>
        <sz val="11"/>
        <color theme="1"/>
        <rFont val="Calibri"/>
        <family val="2"/>
        <scheme val="minor"/>
      </rPr>
      <t>, could experience irreversible or other serious, long-lasting, adverse health effects or an impaired ability to escape.</t>
    </r>
  </si>
  <si>
    <r>
      <t>TEEL-1</t>
    </r>
    <r>
      <rPr>
        <sz val="11"/>
        <color theme="1"/>
        <rFont val="Calibri"/>
        <family val="2"/>
        <scheme val="minor"/>
      </rPr>
      <t xml:space="preserve"> is the airborne concentration (expressed as ppm or mg/m³ ) of a substance above which it is predicted that the general population, including susceptible individuals, when </t>
    </r>
    <r>
      <rPr>
        <b/>
        <i/>
        <sz val="11"/>
        <color theme="1"/>
        <rFont val="Calibri"/>
        <family val="2"/>
        <scheme val="minor"/>
      </rPr>
      <t>exposed for more than one hour</t>
    </r>
    <r>
      <rPr>
        <sz val="11"/>
        <color theme="1"/>
        <rFont val="Calibri"/>
        <family val="2"/>
        <scheme val="minor"/>
      </rPr>
      <t>, could experience notable discomfort, irritation, or certain asymptomatic, nonsensory effects. However, these effects are not disabling and are transient and reversible upon cessation of exposure.</t>
    </r>
  </si>
  <si>
    <r>
      <rPr>
        <b/>
        <u/>
        <sz val="11"/>
        <color theme="10"/>
        <rFont val="Calibri"/>
        <family val="2"/>
        <scheme val="minor"/>
      </rPr>
      <t>Schwerwiegender Effekt (Definition der Verletzten)</t>
    </r>
    <r>
      <rPr>
        <u/>
        <sz val="11"/>
        <color theme="10"/>
        <rFont val="Calibri"/>
        <family val="2"/>
        <scheme val="minor"/>
      </rPr>
      <t>: Die exponierten Personen erleiden eine schwerwiegende, lang andauernde oder fluchtbehindernde Wirkung, entsprechend der Definition des TEEL-2-Werts</t>
    </r>
  </si>
  <si>
    <t>Quellstärke Faktor</t>
  </si>
  <si>
    <r>
      <t xml:space="preserve">Diese </t>
    </r>
    <r>
      <rPr>
        <b/>
        <sz val="11"/>
        <color theme="1"/>
        <rFont val="Calibri"/>
        <family val="2"/>
        <scheme val="minor"/>
      </rPr>
      <t>Quellstärke-Faktoren</t>
    </r>
    <r>
      <rPr>
        <sz val="11"/>
        <color theme="1"/>
        <rFont val="Calibri"/>
        <family val="2"/>
        <scheme val="minor"/>
      </rPr>
      <t xml:space="preserve"> weisen grosse Streuungen auf. Sie sind als Richtwerte zur Festlegung der Quellstärke für ein bestimmtes Szenario zu verstehen und wurden auf Basis von Expertenschätzungen festgelegt.</t>
    </r>
  </si>
  <si>
    <r>
      <rPr>
        <b/>
        <sz val="11"/>
        <color theme="1"/>
        <rFont val="Calibri"/>
        <family val="2"/>
        <scheme val="minor"/>
      </rPr>
      <t>Anderer Faktor</t>
    </r>
    <r>
      <rPr>
        <sz val="11"/>
        <color theme="1"/>
        <rFont val="Calibri"/>
        <family val="2"/>
        <scheme val="minor"/>
      </rPr>
      <t>: Faktor an Stelle des entsprechenden Quellstärke-Faktors, der auf Grund der spezifischen Situation zu begründen ist.</t>
    </r>
  </si>
  <si>
    <r>
      <rPr>
        <b/>
        <u/>
        <sz val="11"/>
        <color theme="10"/>
        <rFont val="Calibri"/>
        <family val="2"/>
        <scheme val="minor"/>
      </rPr>
      <t>Verletzte</t>
    </r>
    <r>
      <rPr>
        <u/>
        <sz val="11"/>
        <color theme="10"/>
        <rFont val="Calibri"/>
        <family val="2"/>
        <scheme val="minor"/>
      </rPr>
      <t>: Kriterien zur Beurteilung von schweren Schädigungen (Stufe Kurzbericht)</t>
    </r>
  </si>
  <si>
    <r>
      <t xml:space="preserve">a) Inhalations-Arbeitsplatzgrenzwerte in der Luft; </t>
    </r>
    <r>
      <rPr>
        <sz val="11"/>
        <color theme="1"/>
        <rFont val="Calibri"/>
        <family val="2"/>
        <scheme val="minor"/>
      </rPr>
      <t>MAK (Maximale Arbeitsplatz-Konzentration), TLV (Threshold Limit Value), OEL (Occupational Exposure Limit), IOEL (internal Occupational Exposure Limit), etc</t>
    </r>
  </si>
  <si>
    <r>
      <t xml:space="preserve">Von einer </t>
    </r>
    <r>
      <rPr>
        <b/>
        <sz val="11"/>
        <color theme="1"/>
        <rFont val="Calibri"/>
        <family val="2"/>
        <scheme val="minor"/>
      </rPr>
      <t>störfallrelevanten Wirkung bei HAS</t>
    </r>
    <r>
      <rPr>
        <sz val="11"/>
        <color theme="1"/>
        <rFont val="Calibri"/>
        <family val="2"/>
        <scheme val="minor"/>
      </rPr>
      <t xml:space="preserve"> wird gesprochen, wenn bei einer durch einen Störfall verursachten kurzzeitigen Exposition (bis maximal eine Stunde), die Dosis welche zu einer schweren, lang andauernden oder fluchtbehindernden Wirkung führt überschritten wird. Bei CMR-Stoffen heisst das, dass ein signifikant erhöhtes Krebsrisiko erwartet werden muss (excess cancer risk &gt; 1:10'000) . Grundsätzlich ist davon auszugehen, dass bei einer störfallbedingten Freisetzung von HAS welche dazu führt, dass die Bevölkerung Dosen in der Grössenordnung des «Temporary Emergency Exposure Limits (TEEL) ab TEEL-2 für eine Stunde» ausgesetzt ist, in der Regel von einer störfallrelevanten Wirkung gesprochen werden muss.</t>
    </r>
  </si>
  <si>
    <t xml:space="preserve">              zurück</t>
  </si>
  <si>
    <t xml:space="preserve">       zurück</t>
  </si>
  <si>
    <r>
      <t>c) CMR-Stoffe der Kat.1A und 1B.</t>
    </r>
    <r>
      <rPr>
        <sz val="11"/>
        <color theme="10"/>
        <rFont val="Calibri"/>
        <family val="2"/>
        <scheme val="minor"/>
      </rPr>
      <t xml:space="preserve"> </t>
    </r>
    <r>
      <rPr>
        <sz val="11"/>
        <color theme="1"/>
        <rFont val="Calibri"/>
        <family val="2"/>
        <scheme val="minor"/>
      </rPr>
      <t>gemäss GHS (H350) welche bei einer störfallbedingten Einmalexposition einen bleibenden Gesundheitsschaden auslösen können.</t>
    </r>
  </si>
  <si>
    <t>H350</t>
  </si>
  <si>
    <t>c) CMR Klasse C1A od. C1B</t>
  </si>
  <si>
    <t>C1A</t>
  </si>
  <si>
    <t>C1B</t>
  </si>
  <si>
    <t>dmax (km)</t>
  </si>
  <si>
    <r>
      <rPr>
        <b/>
        <sz val="11"/>
        <color theme="1"/>
        <rFont val="Calibri"/>
        <family val="2"/>
        <scheme val="minor"/>
      </rPr>
      <t>Distanz in Windrichtung, bis die Dosis von TEEL-2 (Konzentration während 1 Stunde) erreicht ist.</t>
    </r>
    <r>
      <rPr>
        <sz val="11"/>
        <color theme="1"/>
        <rFont val="Calibri"/>
        <family val="2"/>
        <scheme val="minor"/>
      </rPr>
      <t xml:space="preserve"> Diese können bei der allgemeinen Bevölkerung, einschliesslich der empfindlicheren Personen, zu irreversiblen, schwerwiegenden, lang andauernden oder fluchtbehindernden Wirkungen führen. Windrichtung in der kritischsten Richtung wählen (Bevölkerungsdichte).</t>
    </r>
  </si>
  <si>
    <t>Substanz:</t>
  </si>
  <si>
    <t>Angaben:</t>
  </si>
  <si>
    <r>
      <t>Dichte (Personen/km</t>
    </r>
    <r>
      <rPr>
        <b/>
        <vertAlign val="superscript"/>
        <sz val="11"/>
        <color theme="1"/>
        <rFont val="Calibri"/>
        <family val="2"/>
        <scheme val="minor"/>
      </rPr>
      <t>2</t>
    </r>
    <r>
      <rPr>
        <b/>
        <sz val="11"/>
        <color theme="1"/>
        <rFont val="Calibri"/>
        <family val="2"/>
        <scheme val="minor"/>
      </rPr>
      <t>)</t>
    </r>
  </si>
  <si>
    <t>Ausmass mit Szenarien</t>
  </si>
  <si>
    <t>Ausmass         (worst case)</t>
  </si>
  <si>
    <r>
      <t>Fläche (km</t>
    </r>
    <r>
      <rPr>
        <sz val="11"/>
        <color theme="1"/>
        <rFont val="Calibri"/>
        <family val="2"/>
      </rPr>
      <t>²</t>
    </r>
    <r>
      <rPr>
        <sz val="11"/>
        <color theme="1"/>
        <rFont val="Calibri"/>
        <family val="2"/>
        <scheme val="minor"/>
      </rPr>
      <t>)</t>
    </r>
  </si>
  <si>
    <t>Kotrollrechnung</t>
  </si>
  <si>
    <r>
      <rPr>
        <b/>
        <sz val="11"/>
        <color theme="1"/>
        <rFont val="Calibri"/>
        <family val="2"/>
        <scheme val="minor"/>
      </rPr>
      <t>2nd Containment</t>
    </r>
    <r>
      <rPr>
        <sz val="11"/>
        <color theme="1"/>
        <rFont val="Calibri"/>
        <family val="2"/>
        <scheme val="minor"/>
      </rPr>
      <t>: Eine weitere Barriere zum ersten Behälter/Reaktor/Verpackung ist intakt, aber die Lüftung läuft</t>
    </r>
  </si>
  <si>
    <r>
      <rPr>
        <b/>
        <sz val="11"/>
        <color theme="1"/>
        <rFont val="Calibri"/>
        <family val="2"/>
        <scheme val="minor"/>
      </rPr>
      <t>Pulver</t>
    </r>
    <r>
      <rPr>
        <sz val="11"/>
        <color theme="1"/>
        <rFont val="Calibri"/>
        <family val="2"/>
        <scheme val="minor"/>
      </rPr>
      <t xml:space="preserve">, mittlere polydisperse Partikelgrösse Ø </t>
    </r>
    <r>
      <rPr>
        <sz val="11"/>
        <color theme="1"/>
        <rFont val="Calibri"/>
        <family val="2"/>
      </rPr>
      <t xml:space="preserve">≥ 400 </t>
    </r>
    <r>
      <rPr>
        <sz val="11"/>
        <color theme="1"/>
        <rFont val="Calibri"/>
        <family val="2"/>
        <scheme val="minor"/>
      </rPr>
      <t>(μm)</t>
    </r>
  </si>
  <si>
    <r>
      <rPr>
        <b/>
        <sz val="11"/>
        <color theme="1"/>
        <rFont val="Calibri"/>
        <family val="2"/>
        <scheme val="minor"/>
      </rPr>
      <t>Pulver</t>
    </r>
    <r>
      <rPr>
        <sz val="11"/>
        <color theme="1"/>
        <rFont val="Calibri"/>
        <family val="2"/>
        <scheme val="minor"/>
      </rPr>
      <t xml:space="preserve">, mittlere polydisperse Partikelgrösse Ø </t>
    </r>
    <r>
      <rPr>
        <sz val="11"/>
        <color theme="1"/>
        <rFont val="Calibri"/>
        <family val="2"/>
      </rPr>
      <t xml:space="preserve">≤ 10 </t>
    </r>
    <r>
      <rPr>
        <sz val="11"/>
        <color theme="1"/>
        <rFont val="Calibri"/>
        <family val="2"/>
        <scheme val="minor"/>
      </rPr>
      <t xml:space="preserve"> (μm)</t>
    </r>
  </si>
  <si>
    <r>
      <rPr>
        <b/>
        <sz val="11"/>
        <color theme="1"/>
        <rFont val="Calibri"/>
        <family val="2"/>
        <scheme val="minor"/>
      </rPr>
      <t>Pulver</t>
    </r>
    <r>
      <rPr>
        <sz val="11"/>
        <color theme="1"/>
        <rFont val="Calibri"/>
        <family val="2"/>
        <scheme val="minor"/>
      </rPr>
      <t xml:space="preserve">, mittlere polydisperse Partikelgrösse Ø </t>
    </r>
    <r>
      <rPr>
        <sz val="11"/>
        <color theme="1"/>
        <rFont val="Calibri"/>
        <family val="2"/>
      </rPr>
      <t>≈</t>
    </r>
    <r>
      <rPr>
        <sz val="11"/>
        <color theme="1"/>
        <rFont val="Calibri"/>
        <family val="2"/>
        <scheme val="minor"/>
      </rPr>
      <t xml:space="preserve"> 100</t>
    </r>
    <r>
      <rPr>
        <sz val="11"/>
        <color theme="1"/>
        <rFont val="Calibri"/>
        <family val="2"/>
      </rPr>
      <t xml:space="preserve"> </t>
    </r>
    <r>
      <rPr>
        <sz val="11"/>
        <color theme="1"/>
        <rFont val="Calibri"/>
        <family val="2"/>
        <scheme val="minor"/>
      </rPr>
      <t>(μm)</t>
    </r>
  </si>
  <si>
    <r>
      <rPr>
        <b/>
        <sz val="11"/>
        <color theme="1"/>
        <rFont val="Calibri"/>
        <family val="2"/>
        <scheme val="minor"/>
      </rPr>
      <t>Pulver</t>
    </r>
    <r>
      <rPr>
        <sz val="11"/>
        <color theme="1"/>
        <rFont val="Calibri"/>
        <family val="2"/>
        <scheme val="minor"/>
      </rPr>
      <t xml:space="preserve">, mittlere polydisperse Partikelgrösse Ø </t>
    </r>
    <r>
      <rPr>
        <sz val="11"/>
        <color theme="1"/>
        <rFont val="Calibri"/>
        <family val="2"/>
      </rPr>
      <t>≈</t>
    </r>
    <r>
      <rPr>
        <sz val="11"/>
        <color theme="1"/>
        <rFont val="Calibri"/>
        <family val="2"/>
        <scheme val="minor"/>
      </rPr>
      <t xml:space="preserve"> 150</t>
    </r>
    <r>
      <rPr>
        <sz val="11"/>
        <color theme="1"/>
        <rFont val="Calibri"/>
        <family val="2"/>
      </rPr>
      <t xml:space="preserve"> </t>
    </r>
    <r>
      <rPr>
        <sz val="11"/>
        <color theme="1"/>
        <rFont val="Calibri"/>
        <family val="2"/>
        <scheme val="minor"/>
      </rPr>
      <t>(μm)</t>
    </r>
  </si>
  <si>
    <t>dmax</t>
  </si>
  <si>
    <t>F km2</t>
  </si>
  <si>
    <t>Verletzte</t>
  </si>
  <si>
    <t>Werte von oben</t>
  </si>
  <si>
    <t>Ø ≈ 50 µm</t>
  </si>
  <si>
    <t>Ausmassabschätzung für HAS auf Stufe Kurzbericht nach StFV (Art. 5, Anhang 1)</t>
  </si>
  <si>
    <t>Fläche A</t>
  </si>
  <si>
    <t>Fläche B</t>
  </si>
  <si>
    <t>Fläche C</t>
  </si>
  <si>
    <t>Beispiel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</si>
</sst>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font>
      <sz val="11"/>
      <color theme="1"/>
      <name val="Calibri"/>
      <family val="2"/>
      <scheme val="minor"/>
    </font>
    <font>
      <b/>
      <sz val="11"/>
      <color theme="1"/>
      <name val="Calibri"/>
      <family val="2"/>
      <scheme val="minor"/>
    </font>
    <font>
      <b/>
      <sz val="10"/>
      <color theme="1"/>
      <name val="Calibri"/>
      <family val="2"/>
      <scheme val="minor"/>
    </font>
    <font>
      <u/>
      <sz val="11"/>
      <color theme="10"/>
      <name val="Calibri"/>
      <family val="2"/>
      <scheme val="minor"/>
    </font>
    <font>
      <sz val="10"/>
      <color theme="1"/>
      <name val="Calibri"/>
      <family val="2"/>
      <scheme val="minor"/>
    </font>
    <font>
      <b/>
      <sz val="11"/>
      <name val="Calibri"/>
      <family val="2"/>
      <scheme val="minor"/>
    </font>
    <font>
      <sz val="10"/>
      <color theme="1"/>
      <name val="Calibri"/>
      <family val="2"/>
    </font>
    <font>
      <sz val="11"/>
      <color theme="1"/>
      <name val="Calibri"/>
      <family val="2"/>
    </font>
    <font>
      <b/>
      <i/>
      <u/>
      <sz val="12"/>
      <color theme="1"/>
      <name val="Calibri"/>
      <family val="2"/>
      <scheme val="minor"/>
    </font>
    <font>
      <sz val="11"/>
      <name val="Calibri"/>
      <family val="2"/>
      <scheme val="minor"/>
    </font>
    <font>
      <b/>
      <u/>
      <sz val="11"/>
      <color theme="10"/>
      <name val="Calibri"/>
      <family val="2"/>
      <scheme val="minor"/>
    </font>
    <font>
      <b/>
      <u/>
      <sz val="14"/>
      <color theme="10"/>
      <name val="Calibri"/>
      <family val="2"/>
      <scheme val="minor"/>
    </font>
    <font>
      <b/>
      <sz val="10"/>
      <color theme="1"/>
      <name val="Tahoma"/>
      <family val="2"/>
    </font>
    <font>
      <b/>
      <sz val="11"/>
      <color theme="0"/>
      <name val="Calibri"/>
      <family val="2"/>
      <scheme val="minor"/>
    </font>
    <font>
      <b/>
      <i/>
      <sz val="12"/>
      <color theme="1"/>
      <name val="Calibri"/>
      <family val="2"/>
      <scheme val="minor"/>
    </font>
    <font>
      <b/>
      <sz val="11"/>
      <color theme="10"/>
      <name val="Calibri"/>
      <family val="2"/>
      <scheme val="minor"/>
    </font>
    <font>
      <b/>
      <sz val="14"/>
      <color theme="1"/>
      <name val="Calibri"/>
      <family val="2"/>
      <scheme val="minor"/>
    </font>
    <font>
      <b/>
      <i/>
      <sz val="11"/>
      <color theme="1"/>
      <name val="Calibri"/>
      <family val="2"/>
      <scheme val="minor"/>
    </font>
    <font>
      <i/>
      <sz val="9"/>
      <color rgb="FF000000"/>
      <name val="TimesNewRomanPS-ItalicMT"/>
    </font>
    <font>
      <b/>
      <i/>
      <sz val="9"/>
      <color rgb="FF000000"/>
      <name val="TimesNewRomanPS-ItalicMT"/>
    </font>
    <font>
      <sz val="11"/>
      <color theme="10"/>
      <name val="Calibri"/>
      <family val="2"/>
      <scheme val="minor"/>
    </font>
    <font>
      <b/>
      <vertAlign val="superscript"/>
      <sz val="11"/>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318">
    <xf numFmtId="0" fontId="0" fillId="0" borderId="0" xfId="0"/>
    <xf numFmtId="0" fontId="0" fillId="0" borderId="0" xfId="0" applyFont="1"/>
    <xf numFmtId="0" fontId="4" fillId="0" borderId="0" xfId="0" applyFont="1"/>
    <xf numFmtId="1" fontId="1" fillId="0" borderId="1" xfId="0" applyNumberFormat="1" applyFont="1" applyBorder="1" applyAlignment="1" applyProtection="1">
      <alignment horizontal="center" vertical="center"/>
      <protection hidden="1"/>
    </xf>
    <xf numFmtId="0" fontId="0" fillId="0" borderId="0" xfId="0" applyAlignment="1">
      <alignment vertical="center"/>
    </xf>
    <xf numFmtId="0" fontId="0" fillId="0" borderId="0" xfId="0" applyProtection="1">
      <protection hidden="1"/>
    </xf>
    <xf numFmtId="0" fontId="1" fillId="0" borderId="0" xfId="0" applyFont="1" applyFill="1" applyBorder="1" applyAlignment="1" applyProtection="1">
      <alignment horizontal="center" vertical="center"/>
      <protection hidden="1"/>
    </xf>
    <xf numFmtId="1" fontId="1" fillId="0" borderId="3" xfId="0" applyNumberFormat="1" applyFont="1" applyBorder="1" applyAlignment="1" applyProtection="1">
      <alignment horizontal="center" vertical="center"/>
      <protection hidden="1"/>
    </xf>
    <xf numFmtId="164" fontId="1" fillId="0" borderId="8" xfId="0" applyNumberFormat="1" applyFont="1" applyBorder="1" applyAlignment="1" applyProtection="1">
      <alignment horizontal="center" vertical="center"/>
      <protection hidden="1"/>
    </xf>
    <xf numFmtId="164" fontId="1" fillId="0" borderId="2" xfId="0" applyNumberFormat="1" applyFont="1" applyBorder="1" applyAlignment="1" applyProtection="1">
      <alignment horizontal="center" vertical="center"/>
      <protection hidden="1"/>
    </xf>
    <xf numFmtId="0" fontId="1" fillId="3" borderId="8" xfId="0" applyFont="1" applyFill="1" applyBorder="1" applyAlignment="1" applyProtection="1">
      <alignment horizontal="center" vertical="center"/>
      <protection locked="0" hidden="1"/>
    </xf>
    <xf numFmtId="2" fontId="0" fillId="0" borderId="0" xfId="0" applyNumberFormat="1"/>
    <xf numFmtId="0" fontId="0" fillId="0" borderId="0" xfId="0" applyAlignment="1" applyProtection="1">
      <alignment horizontal="center" vertical="center"/>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1" fillId="3" borderId="11" xfId="0" applyFont="1" applyFill="1" applyBorder="1" applyAlignment="1" applyProtection="1">
      <alignment horizontal="center" vertical="center"/>
      <protection locked="0"/>
    </xf>
    <xf numFmtId="0" fontId="0" fillId="0" borderId="0" xfId="0" applyAlignment="1">
      <alignment horizontal="center" vertical="center" wrapText="1"/>
    </xf>
    <xf numFmtId="0" fontId="0" fillId="0" borderId="0" xfId="0" applyFill="1"/>
    <xf numFmtId="0" fontId="0" fillId="0" borderId="0" xfId="0" applyFill="1" applyBorder="1"/>
    <xf numFmtId="0" fontId="5" fillId="0" borderId="0" xfId="0" applyFont="1" applyFill="1" applyBorder="1" applyAlignment="1" applyProtection="1">
      <alignment horizontal="center" vertical="center" wrapText="1"/>
      <protection locked="0"/>
    </xf>
    <xf numFmtId="2" fontId="5" fillId="0" borderId="0" xfId="0" applyNumberFormat="1" applyFont="1" applyFill="1" applyBorder="1" applyAlignment="1" applyProtection="1">
      <alignment horizontal="center" vertical="center" wrapText="1"/>
      <protection locked="0"/>
    </xf>
    <xf numFmtId="0" fontId="4" fillId="0" borderId="0" xfId="0" applyFont="1" applyFill="1" applyBorder="1"/>
    <xf numFmtId="0" fontId="0" fillId="0" borderId="0" xfId="0" applyFont="1" applyFill="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0" fillId="0" borderId="4" xfId="0" applyBorder="1" applyAlignment="1" applyProtection="1">
      <alignment horizontal="center" vertical="center" wrapText="1"/>
      <protection hidden="1"/>
    </xf>
    <xf numFmtId="0" fontId="1" fillId="0" borderId="0" xfId="0" applyFont="1" applyFill="1" applyBorder="1" applyAlignment="1" applyProtection="1">
      <alignment horizontal="left"/>
      <protection hidden="1"/>
    </xf>
    <xf numFmtId="0" fontId="1" fillId="0" borderId="0" xfId="0" applyFont="1" applyFill="1" applyBorder="1" applyAlignment="1" applyProtection="1">
      <alignment horizontal="center"/>
      <protection hidden="1"/>
    </xf>
    <xf numFmtId="0" fontId="2" fillId="0" borderId="0" xfId="0" applyFont="1" applyBorder="1" applyAlignment="1">
      <alignment horizontal="center" wrapText="1"/>
    </xf>
    <xf numFmtId="0" fontId="1" fillId="0" borderId="28" xfId="0" applyFont="1" applyBorder="1" applyAlignment="1" applyProtection="1">
      <alignment horizontal="center" vertical="center"/>
      <protection hidden="1"/>
    </xf>
    <xf numFmtId="0" fontId="1" fillId="0" borderId="23" xfId="0" applyFont="1" applyBorder="1" applyAlignment="1">
      <alignment horizontal="center" wrapText="1"/>
    </xf>
    <xf numFmtId="1" fontId="10" fillId="0" borderId="0" xfId="1" applyNumberFormat="1" applyFont="1" applyAlignment="1" applyProtection="1">
      <alignment horizontal="center" vertical="center"/>
      <protection hidden="1"/>
    </xf>
    <xf numFmtId="0" fontId="5" fillId="3" borderId="1" xfId="0" applyFont="1" applyFill="1" applyBorder="1" applyAlignment="1" applyProtection="1">
      <alignment horizontal="center" vertical="center" wrapText="1"/>
      <protection locked="0"/>
    </xf>
    <xf numFmtId="0" fontId="0" fillId="0" borderId="1" xfId="0" applyBorder="1" applyProtection="1">
      <protection hidden="1"/>
    </xf>
    <xf numFmtId="0" fontId="0" fillId="0" borderId="49" xfId="0" applyBorder="1" applyProtection="1">
      <protection hidden="1"/>
    </xf>
    <xf numFmtId="0" fontId="0" fillId="0" borderId="50" xfId="0" applyBorder="1" applyProtection="1">
      <protection hidden="1"/>
    </xf>
    <xf numFmtId="164" fontId="0" fillId="0" borderId="18" xfId="0" applyNumberFormat="1" applyBorder="1" applyProtection="1">
      <protection hidden="1"/>
    </xf>
    <xf numFmtId="0" fontId="0" fillId="0" borderId="19" xfId="0" applyBorder="1" applyProtection="1">
      <protection hidden="1"/>
    </xf>
    <xf numFmtId="0" fontId="0" fillId="0" borderId="20" xfId="0" applyBorder="1" applyAlignment="1" applyProtection="1">
      <alignment horizontal="right"/>
      <protection hidden="1"/>
    </xf>
    <xf numFmtId="164" fontId="0" fillId="0" borderId="21" xfId="0" applyNumberFormat="1" applyBorder="1" applyProtection="1">
      <protection hidden="1"/>
    </xf>
    <xf numFmtId="0" fontId="0" fillId="0" borderId="15" xfId="0" applyBorder="1" applyAlignment="1" applyProtection="1">
      <alignment horizontal="right"/>
      <protection hidden="1"/>
    </xf>
    <xf numFmtId="0" fontId="0" fillId="0" borderId="51" xfId="0" applyBorder="1" applyProtection="1">
      <protection hidden="1"/>
    </xf>
    <xf numFmtId="164" fontId="0" fillId="0" borderId="9" xfId="0" applyNumberFormat="1" applyBorder="1" applyProtection="1">
      <protection hidden="1"/>
    </xf>
    <xf numFmtId="0" fontId="0" fillId="0" borderId="10" xfId="0" applyBorder="1" applyProtection="1">
      <protection hidden="1"/>
    </xf>
    <xf numFmtId="0" fontId="0" fillId="0" borderId="11" xfId="0" applyBorder="1" applyAlignment="1" applyProtection="1">
      <alignment horizontal="right"/>
      <protection hidden="1"/>
    </xf>
    <xf numFmtId="0" fontId="1" fillId="0" borderId="1" xfId="0" applyFont="1" applyBorder="1" applyAlignment="1" applyProtection="1">
      <alignment horizontal="center"/>
      <protection hidden="1"/>
    </xf>
    <xf numFmtId="0" fontId="0" fillId="0" borderId="0" xfId="0" applyAlignment="1" applyProtection="1">
      <alignment horizontal="left" wrapText="1"/>
      <protection hidden="1"/>
    </xf>
    <xf numFmtId="0" fontId="10" fillId="0" borderId="23" xfId="1" applyFont="1" applyBorder="1" applyAlignment="1" applyProtection="1">
      <alignment horizontal="center" vertical="center" wrapText="1"/>
      <protection hidden="1"/>
    </xf>
    <xf numFmtId="0" fontId="10" fillId="0" borderId="29" xfId="1" applyFont="1" applyBorder="1" applyAlignment="1" applyProtection="1">
      <alignment horizontal="center" vertical="center" wrapText="1"/>
      <protection hidden="1"/>
    </xf>
    <xf numFmtId="0" fontId="1" fillId="0" borderId="21" xfId="0" applyFont="1" applyBorder="1" applyAlignment="1" applyProtection="1">
      <alignment horizontal="center"/>
      <protection hidden="1"/>
    </xf>
    <xf numFmtId="0" fontId="1" fillId="0" borderId="15" xfId="0" applyFont="1" applyBorder="1" applyAlignment="1" applyProtection="1">
      <alignment horizontal="center"/>
      <protection hidden="1"/>
    </xf>
    <xf numFmtId="0" fontId="0" fillId="2" borderId="6" xfId="0" applyFill="1" applyBorder="1" applyAlignment="1" applyProtection="1">
      <alignment horizontal="center" vertical="center"/>
      <protection locked="0"/>
    </xf>
    <xf numFmtId="0" fontId="0" fillId="14"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hidden="1"/>
    </xf>
    <xf numFmtId="0" fontId="1" fillId="3" borderId="56" xfId="0" applyFont="1" applyFill="1" applyBorder="1" applyAlignment="1" applyProtection="1">
      <alignment horizontal="center"/>
      <protection locked="0"/>
    </xf>
    <xf numFmtId="0" fontId="15" fillId="0" borderId="4" xfId="1" applyFont="1" applyFill="1" applyBorder="1" applyAlignment="1" applyProtection="1">
      <alignment horizontal="center" wrapText="1"/>
      <protection hidden="1"/>
    </xf>
    <xf numFmtId="1" fontId="10" fillId="0" borderId="0" xfId="1" applyNumberFormat="1" applyFont="1" applyAlignment="1" applyProtection="1">
      <alignment horizontal="left" vertical="center"/>
      <protection hidden="1"/>
    </xf>
    <xf numFmtId="0" fontId="3" fillId="0" borderId="0" xfId="1" applyProtection="1">
      <protection hidden="1"/>
    </xf>
    <xf numFmtId="0" fontId="18" fillId="0" borderId="0" xfId="0" applyFont="1"/>
    <xf numFmtId="0" fontId="19" fillId="0" borderId="0" xfId="0" applyFont="1"/>
    <xf numFmtId="0" fontId="10" fillId="0" borderId="26" xfId="1" applyFont="1" applyBorder="1" applyAlignment="1" applyProtection="1">
      <alignment horizontal="center" vertical="center" wrapText="1"/>
      <protection hidden="1"/>
    </xf>
    <xf numFmtId="0" fontId="10" fillId="0" borderId="1" xfId="1" applyFont="1" applyBorder="1" applyAlignment="1" applyProtection="1">
      <alignment horizontal="center" vertical="center" wrapText="1"/>
      <protection hidden="1"/>
    </xf>
    <xf numFmtId="0" fontId="16" fillId="0" borderId="0" xfId="0" applyFont="1" applyAlignment="1">
      <alignment wrapText="1"/>
    </xf>
    <xf numFmtId="1" fontId="10" fillId="0" borderId="0" xfId="1" applyNumberFormat="1" applyFont="1" applyAlignment="1" applyProtection="1">
      <alignment horizontal="left" vertical="center" wrapText="1"/>
      <protection hidden="1"/>
    </xf>
    <xf numFmtId="0" fontId="10" fillId="0" borderId="33" xfId="1" applyFont="1" applyBorder="1" applyProtection="1">
      <protection hidden="1"/>
    </xf>
    <xf numFmtId="0" fontId="10" fillId="0" borderId="13" xfId="1" applyFont="1" applyBorder="1" applyAlignment="1" applyProtection="1">
      <alignment horizontal="left" vertical="center" wrapText="1"/>
      <protection hidden="1"/>
    </xf>
    <xf numFmtId="0" fontId="10" fillId="0" borderId="7" xfId="1" applyFont="1" applyBorder="1" applyAlignment="1" applyProtection="1">
      <alignment horizontal="left" vertical="center" wrapText="1"/>
      <protection hidden="1"/>
    </xf>
    <xf numFmtId="0" fontId="10" fillId="0" borderId="22" xfId="1" applyFont="1" applyBorder="1" applyAlignment="1" applyProtection="1">
      <alignment horizontal="left" vertical="center" wrapText="1"/>
      <protection hidden="1"/>
    </xf>
    <xf numFmtId="0" fontId="10" fillId="0" borderId="35" xfId="1" applyFont="1" applyFill="1" applyBorder="1" applyAlignment="1" applyProtection="1">
      <alignment horizontal="center" vertical="center" wrapText="1"/>
      <protection hidden="1"/>
    </xf>
    <xf numFmtId="0" fontId="10" fillId="0" borderId="21" xfId="1" applyFont="1" applyFill="1" applyBorder="1" applyAlignment="1" applyProtection="1">
      <alignment horizontal="center" vertical="center" wrapText="1"/>
      <protection hidden="1"/>
    </xf>
    <xf numFmtId="0" fontId="10" fillId="0" borderId="21" xfId="1" applyFont="1" applyFill="1" applyBorder="1" applyAlignment="1" applyProtection="1">
      <alignment horizontal="center"/>
      <protection hidden="1"/>
    </xf>
    <xf numFmtId="0" fontId="10" fillId="0" borderId="45" xfId="1" applyFont="1" applyFill="1" applyBorder="1" applyAlignment="1" applyProtection="1">
      <alignment horizontal="center"/>
      <protection hidden="1"/>
    </xf>
    <xf numFmtId="0" fontId="10" fillId="0" borderId="9" xfId="1" applyFont="1" applyFill="1" applyBorder="1" applyAlignment="1" applyProtection="1">
      <alignment horizontal="center" vertical="center" wrapText="1"/>
      <protection hidden="1"/>
    </xf>
    <xf numFmtId="0" fontId="0" fillId="0" borderId="0" xfId="0" applyAlignment="1" applyProtection="1">
      <alignment vertical="center"/>
      <protection locked="0"/>
    </xf>
    <xf numFmtId="0" fontId="0" fillId="0" borderId="0" xfId="0" applyProtection="1">
      <protection locked="0"/>
    </xf>
    <xf numFmtId="0" fontId="0" fillId="0" borderId="0" xfId="0" applyFont="1" applyProtection="1">
      <protection locked="0"/>
    </xf>
    <xf numFmtId="0" fontId="0" fillId="0" borderId="0" xfId="0" applyFont="1" applyAlignment="1" applyProtection="1">
      <alignment horizontal="left" vertical="top"/>
      <protection locked="0"/>
    </xf>
    <xf numFmtId="0" fontId="9"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protection locked="0"/>
    </xf>
    <xf numFmtId="0" fontId="9" fillId="0" borderId="0" xfId="1" applyFont="1" applyFill="1" applyBorder="1" applyAlignment="1" applyProtection="1">
      <alignment horizontal="left" vertical="top"/>
      <protection locked="0"/>
    </xf>
    <xf numFmtId="0" fontId="0" fillId="0" borderId="0" xfId="0" applyFill="1" applyProtection="1">
      <protection locked="0"/>
    </xf>
    <xf numFmtId="0" fontId="4" fillId="0" borderId="0" xfId="0" applyFont="1" applyProtection="1">
      <protection locked="0"/>
    </xf>
    <xf numFmtId="0" fontId="1" fillId="3" borderId="52" xfId="0" applyFont="1" applyFill="1" applyBorder="1" applyAlignment="1" applyProtection="1">
      <alignment horizontal="center" vertical="center"/>
      <protection locked="0"/>
    </xf>
    <xf numFmtId="0" fontId="1" fillId="0" borderId="1" xfId="0" applyFont="1" applyFill="1" applyBorder="1"/>
    <xf numFmtId="0" fontId="5" fillId="0" borderId="1" xfId="1" applyFont="1" applyBorder="1" applyAlignment="1">
      <alignment horizontal="center" vertical="center"/>
    </xf>
    <xf numFmtId="1" fontId="0" fillId="0" borderId="0" xfId="0" applyNumberFormat="1"/>
    <xf numFmtId="1" fontId="0" fillId="0" borderId="0" xfId="0" applyNumberFormat="1" applyAlignment="1">
      <alignment vertical="top"/>
    </xf>
    <xf numFmtId="0" fontId="1" fillId="0" borderId="1" xfId="0" applyFont="1" applyFill="1" applyBorder="1" applyAlignment="1" applyProtection="1">
      <alignment horizontal="center" vertical="center"/>
      <protection hidden="1"/>
    </xf>
    <xf numFmtId="0" fontId="1" fillId="0" borderId="0" xfId="0" applyFont="1" applyBorder="1" applyAlignment="1" applyProtection="1">
      <alignment horizontal="center"/>
      <protection hidden="1"/>
    </xf>
    <xf numFmtId="0" fontId="1" fillId="3" borderId="2" xfId="0" applyFont="1" applyFill="1" applyBorder="1" applyAlignment="1" applyProtection="1">
      <alignment horizontal="center" vertical="center"/>
      <protection locked="0" hidden="1"/>
    </xf>
    <xf numFmtId="1" fontId="1" fillId="2" borderId="2" xfId="0" applyNumberFormat="1" applyFont="1" applyFill="1" applyBorder="1" applyAlignment="1" applyProtection="1">
      <alignment horizontal="center" vertical="center"/>
      <protection locked="0" hidden="1"/>
    </xf>
    <xf numFmtId="0" fontId="1" fillId="0" borderId="2" xfId="0" applyFont="1" applyBorder="1" applyAlignment="1" applyProtection="1">
      <alignment horizontal="center" vertical="center"/>
      <protection locked="0" hidden="1"/>
    </xf>
    <xf numFmtId="0" fontId="1" fillId="0" borderId="0" xfId="0" applyFont="1" applyBorder="1" applyAlignment="1" applyProtection="1">
      <alignment horizontal="right"/>
      <protection locked="0"/>
    </xf>
    <xf numFmtId="0" fontId="1" fillId="0" borderId="0" xfId="0" applyFont="1" applyBorder="1" applyAlignment="1" applyProtection="1">
      <alignment horizontal="center" vertical="top"/>
      <protection locked="0"/>
    </xf>
    <xf numFmtId="1" fontId="4" fillId="0" borderId="0" xfId="0" applyNumberFormat="1" applyFont="1" applyBorder="1" applyProtection="1">
      <protection locked="0"/>
    </xf>
    <xf numFmtId="0" fontId="0" fillId="0" borderId="0" xfId="0" applyBorder="1" applyProtection="1">
      <protection locked="0"/>
    </xf>
    <xf numFmtId="49" fontId="6" fillId="0" borderId="0" xfId="0" applyNumberFormat="1" applyFont="1" applyProtection="1">
      <protection locked="0"/>
    </xf>
    <xf numFmtId="0" fontId="9" fillId="0" borderId="0" xfId="1" applyFont="1" applyFill="1" applyBorder="1" applyAlignment="1" applyProtection="1">
      <alignment horizontal="left" vertical="top" wrapText="1"/>
      <protection locked="0"/>
    </xf>
    <xf numFmtId="49" fontId="4" fillId="0" borderId="0" xfId="0" applyNumberFormat="1" applyFont="1" applyProtection="1">
      <protection locked="0"/>
    </xf>
    <xf numFmtId="0" fontId="4" fillId="0" borderId="0" xfId="0" applyFont="1" applyBorder="1" applyProtection="1">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1" fillId="0" borderId="0" xfId="0" applyFont="1" applyFill="1" applyBorder="1" applyAlignment="1" applyProtection="1">
      <alignment horizontal="left"/>
      <protection locked="0"/>
    </xf>
    <xf numFmtId="0" fontId="0" fillId="0" borderId="0" xfId="0" applyAlignment="1" applyProtection="1">
      <alignment wrapText="1"/>
      <protection locked="0"/>
    </xf>
    <xf numFmtId="0" fontId="8" fillId="0" borderId="0" xfId="0" applyFont="1" applyBorder="1" applyAlignment="1" applyProtection="1">
      <alignment horizontal="center"/>
      <protection hidden="1"/>
    </xf>
    <xf numFmtId="0" fontId="1" fillId="0" borderId="0" xfId="0" applyFont="1" applyProtection="1">
      <protection hidden="1"/>
    </xf>
    <xf numFmtId="0" fontId="10" fillId="0" borderId="0" xfId="1" applyFont="1" applyAlignment="1" applyProtection="1">
      <alignment horizontal="center" vertical="center"/>
      <protection hidden="1"/>
    </xf>
    <xf numFmtId="0" fontId="1" fillId="0" borderId="0" xfId="0" applyFont="1" applyAlignment="1" applyProtection="1">
      <alignment wrapText="1"/>
      <protection hidden="1"/>
    </xf>
    <xf numFmtId="0" fontId="1" fillId="0" borderId="27" xfId="0" applyFont="1" applyBorder="1" applyAlignment="1" applyProtection="1">
      <alignment wrapText="1"/>
      <protection hidden="1"/>
    </xf>
    <xf numFmtId="0" fontId="0" fillId="0" borderId="24" xfId="0" applyBorder="1" applyAlignment="1" applyProtection="1">
      <alignment wrapText="1"/>
      <protection hidden="1"/>
    </xf>
    <xf numFmtId="0" fontId="0" fillId="0" borderId="57" xfId="0" applyBorder="1" applyAlignment="1" applyProtection="1">
      <alignment wrapText="1"/>
      <protection hidden="1"/>
    </xf>
    <xf numFmtId="0" fontId="10" fillId="0" borderId="24" xfId="1" applyFont="1" applyBorder="1" applyAlignment="1" applyProtection="1">
      <alignment wrapText="1"/>
      <protection hidden="1"/>
    </xf>
    <xf numFmtId="0" fontId="0" fillId="0" borderId="1" xfId="0" applyBorder="1" applyAlignment="1" applyProtection="1">
      <alignment wrapText="1"/>
      <protection hidden="1"/>
    </xf>
    <xf numFmtId="0" fontId="16" fillId="0" borderId="0" xfId="0" applyFont="1" applyAlignment="1" applyProtection="1">
      <alignment vertical="center"/>
      <protection hidden="1"/>
    </xf>
    <xf numFmtId="0" fontId="1" fillId="0" borderId="58" xfId="0" applyFont="1" applyBorder="1" applyAlignment="1" applyProtection="1">
      <alignment vertical="center" wrapText="1"/>
      <protection hidden="1"/>
    </xf>
    <xf numFmtId="0" fontId="1" fillId="0" borderId="7" xfId="0" applyFont="1" applyBorder="1" applyAlignment="1" applyProtection="1">
      <alignment vertical="center" wrapText="1"/>
      <protection hidden="1"/>
    </xf>
    <xf numFmtId="0" fontId="1" fillId="0" borderId="22" xfId="0" applyFont="1" applyBorder="1" applyAlignment="1" applyProtection="1">
      <alignment vertical="center" wrapText="1"/>
      <protection hidden="1"/>
    </xf>
    <xf numFmtId="0" fontId="0" fillId="3" borderId="6" xfId="0" applyFill="1" applyBorder="1" applyAlignment="1" applyProtection="1">
      <alignment horizontal="center" vertical="center"/>
      <protection locked="0"/>
    </xf>
    <xf numFmtId="0" fontId="0" fillId="8" borderId="45" xfId="0" applyFill="1" applyBorder="1" applyAlignment="1" applyProtection="1">
      <alignment horizontal="center" vertical="center"/>
      <protection hidden="1"/>
    </xf>
    <xf numFmtId="0" fontId="0" fillId="8" borderId="64" xfId="0" applyFill="1" applyBorder="1" applyAlignment="1" applyProtection="1">
      <alignment horizontal="center" vertical="center"/>
      <protection hidden="1"/>
    </xf>
    <xf numFmtId="0" fontId="0" fillId="3" borderId="4" xfId="0" applyFill="1" applyBorder="1" applyAlignment="1" applyProtection="1">
      <alignment horizontal="center" vertical="center"/>
      <protection locked="0"/>
    </xf>
    <xf numFmtId="0" fontId="3" fillId="15" borderId="2" xfId="1" applyFill="1" applyBorder="1" applyAlignment="1" applyProtection="1">
      <alignment horizontal="center" vertical="center"/>
      <protection hidden="1"/>
    </xf>
    <xf numFmtId="2" fontId="13" fillId="15" borderId="2" xfId="0" applyNumberFormat="1" applyFon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0" fontId="0" fillId="9" borderId="45" xfId="0" applyFill="1" applyBorder="1" applyAlignment="1" applyProtection="1">
      <alignment horizontal="center" vertical="center"/>
      <protection hidden="1"/>
    </xf>
    <xf numFmtId="0" fontId="0" fillId="9" borderId="64" xfId="0" applyFill="1" applyBorder="1" applyAlignment="1" applyProtection="1">
      <alignment horizontal="center" vertical="center"/>
      <protection hidden="1"/>
    </xf>
    <xf numFmtId="0" fontId="0" fillId="0" borderId="46" xfId="0" applyBorder="1" applyProtection="1">
      <protection hidden="1"/>
    </xf>
    <xf numFmtId="0" fontId="0" fillId="0" borderId="34" xfId="0" applyBorder="1" applyAlignment="1" applyProtection="1">
      <alignment horizontal="left" vertical="center"/>
      <protection hidden="1"/>
    </xf>
    <xf numFmtId="0" fontId="0" fillId="0" borderId="61" xfId="0" applyBorder="1" applyAlignment="1" applyProtection="1">
      <alignment horizontal="left" vertical="center"/>
      <protection hidden="1"/>
    </xf>
    <xf numFmtId="0" fontId="0" fillId="0" borderId="61" xfId="0" applyBorder="1" applyProtection="1">
      <protection hidden="1"/>
    </xf>
    <xf numFmtId="0" fontId="0" fillId="0" borderId="63" xfId="0" applyBorder="1" applyProtection="1">
      <protection hidden="1"/>
    </xf>
    <xf numFmtId="0" fontId="0" fillId="10" borderId="45" xfId="0" applyFill="1" applyBorder="1" applyAlignment="1" applyProtection="1">
      <alignment horizontal="center" vertical="center"/>
      <protection hidden="1"/>
    </xf>
    <xf numFmtId="0" fontId="0" fillId="10" borderId="64" xfId="0" applyFill="1" applyBorder="1" applyAlignment="1" applyProtection="1">
      <alignment horizontal="center" vertical="center"/>
      <protection hidden="1"/>
    </xf>
    <xf numFmtId="0" fontId="0" fillId="0" borderId="61" xfId="0" applyBorder="1"/>
    <xf numFmtId="0" fontId="0" fillId="0" borderId="16" xfId="0" applyBorder="1" applyProtection="1">
      <protection hidden="1"/>
    </xf>
    <xf numFmtId="0" fontId="0" fillId="0" borderId="17" xfId="0" applyBorder="1" applyProtection="1">
      <protection hidden="1"/>
    </xf>
    <xf numFmtId="0" fontId="0" fillId="0" borderId="62" xfId="0" applyBorder="1"/>
    <xf numFmtId="0" fontId="0" fillId="0" borderId="0" xfId="0" applyBorder="1"/>
    <xf numFmtId="0" fontId="0" fillId="0" borderId="31" xfId="0" applyBorder="1"/>
    <xf numFmtId="0" fontId="0" fillId="0" borderId="63" xfId="0" applyBorder="1"/>
    <xf numFmtId="0" fontId="0" fillId="0" borderId="12" xfId="0" applyBorder="1"/>
    <xf numFmtId="0" fontId="0" fillId="0" borderId="14" xfId="0" applyBorder="1"/>
    <xf numFmtId="0" fontId="5" fillId="0" borderId="1" xfId="0"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hidden="1"/>
    </xf>
    <xf numFmtId="0" fontId="1" fillId="0" borderId="31" xfId="0" applyFont="1" applyFill="1" applyBorder="1" applyAlignment="1" applyProtection="1">
      <alignment horizontal="center" vertical="center" wrapText="1"/>
      <protection hidden="1"/>
    </xf>
    <xf numFmtId="0" fontId="10" fillId="0" borderId="0" xfId="1" applyFont="1" applyBorder="1" applyAlignment="1" applyProtection="1">
      <alignment horizontal="center" wrapText="1"/>
      <protection hidden="1"/>
    </xf>
    <xf numFmtId="0" fontId="1" fillId="4" borderId="30" xfId="0" applyFont="1" applyFill="1" applyBorder="1" applyAlignment="1" applyProtection="1">
      <alignment horizontal="center" vertical="center" wrapText="1"/>
      <protection hidden="1"/>
    </xf>
    <xf numFmtId="0" fontId="1" fillId="4" borderId="39" xfId="0" applyFont="1" applyFill="1" applyBorder="1" applyAlignment="1" applyProtection="1">
      <alignment horizontal="center" vertical="center" wrapText="1"/>
      <protection hidden="1"/>
    </xf>
    <xf numFmtId="0" fontId="10" fillId="12" borderId="40" xfId="1" applyFont="1" applyFill="1" applyBorder="1" applyAlignment="1" applyProtection="1">
      <alignment horizontal="center" vertical="center" wrapText="1"/>
      <protection hidden="1"/>
    </xf>
    <xf numFmtId="0" fontId="10" fillId="12" borderId="32" xfId="1" applyFont="1" applyFill="1" applyBorder="1" applyAlignment="1" applyProtection="1">
      <alignment horizontal="center" vertical="center" wrapText="1"/>
      <protection hidden="1"/>
    </xf>
    <xf numFmtId="0" fontId="1" fillId="0" borderId="1" xfId="0" applyFont="1" applyFill="1" applyBorder="1" applyAlignment="1" applyProtection="1">
      <alignment horizontal="center" vertical="center"/>
      <protection hidden="1"/>
    </xf>
    <xf numFmtId="0" fontId="15" fillId="0" borderId="5" xfId="1" applyFont="1" applyBorder="1" applyAlignment="1" applyProtection="1">
      <alignment horizontal="center" wrapText="1"/>
      <protection hidden="1"/>
    </xf>
    <xf numFmtId="0" fontId="15" fillId="0" borderId="6" xfId="1" applyFont="1" applyBorder="1" applyAlignment="1" applyProtection="1">
      <alignment horizontal="center" wrapText="1"/>
      <protection hidden="1"/>
    </xf>
    <xf numFmtId="0" fontId="1" fillId="0" borderId="0" xfId="0" applyFont="1" applyBorder="1" applyAlignment="1" applyProtection="1">
      <alignment horizontal="center"/>
      <protection locked="0"/>
    </xf>
    <xf numFmtId="0" fontId="1" fillId="0" borderId="60" xfId="0" quotePrefix="1" applyFont="1" applyBorder="1" applyAlignment="1" applyProtection="1">
      <alignment horizontal="center" vertical="center"/>
      <protection hidden="1"/>
    </xf>
    <xf numFmtId="0" fontId="1" fillId="0" borderId="2" xfId="0" quotePrefix="1" applyFont="1" applyBorder="1" applyAlignment="1" applyProtection="1">
      <alignment horizontal="center" vertical="center"/>
      <protection hidden="1"/>
    </xf>
    <xf numFmtId="0" fontId="5" fillId="0" borderId="49" xfId="0" applyFont="1" applyFill="1" applyBorder="1" applyAlignment="1" applyProtection="1">
      <alignment horizontal="center" vertical="center" wrapText="1"/>
      <protection locked="0"/>
    </xf>
    <xf numFmtId="0" fontId="5" fillId="0" borderId="5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1" fillId="0" borderId="41" xfId="0" applyFont="1" applyFill="1" applyBorder="1" applyAlignment="1" applyProtection="1">
      <alignment horizontal="right"/>
      <protection hidden="1"/>
    </xf>
    <xf numFmtId="0" fontId="1" fillId="0" borderId="0" xfId="0" applyFont="1" applyFill="1" applyBorder="1" applyAlignment="1" applyProtection="1">
      <alignment horizontal="right"/>
      <protection hidden="1"/>
    </xf>
    <xf numFmtId="0" fontId="1" fillId="0" borderId="0" xfId="0" applyFont="1" applyBorder="1" applyAlignment="1">
      <alignment horizontal="center" vertical="center" textRotation="90" wrapText="1"/>
    </xf>
    <xf numFmtId="0" fontId="2" fillId="0" borderId="37" xfId="0" applyFont="1" applyFill="1" applyBorder="1" applyAlignment="1" applyProtection="1">
      <alignment horizontal="center"/>
      <protection hidden="1"/>
    </xf>
    <xf numFmtId="0" fontId="10" fillId="0" borderId="33" xfId="1" applyFont="1" applyBorder="1" applyAlignment="1" applyProtection="1">
      <alignment horizontal="center"/>
      <protection hidden="1"/>
    </xf>
    <xf numFmtId="0" fontId="10" fillId="0" borderId="34" xfId="1" applyFont="1" applyBorder="1" applyAlignment="1" applyProtection="1">
      <alignment horizontal="center"/>
      <protection hidden="1"/>
    </xf>
    <xf numFmtId="0" fontId="10" fillId="0" borderId="42" xfId="1" applyFont="1" applyBorder="1" applyAlignment="1" applyProtection="1">
      <alignment horizontal="center"/>
      <protection hidden="1"/>
    </xf>
    <xf numFmtId="0" fontId="0" fillId="0" borderId="46" xfId="0" applyBorder="1" applyAlignment="1">
      <alignment horizontal="center"/>
    </xf>
    <xf numFmtId="0" fontId="0" fillId="0" borderId="44" xfId="0" applyBorder="1" applyAlignment="1">
      <alignment horizontal="center"/>
    </xf>
    <xf numFmtId="0" fontId="5" fillId="0" borderId="47" xfId="0" applyFont="1" applyBorder="1" applyAlignment="1" applyProtection="1">
      <alignment horizontal="center" wrapText="1"/>
      <protection hidden="1"/>
    </xf>
    <xf numFmtId="0" fontId="5" fillId="0" borderId="48" xfId="0" applyFont="1" applyBorder="1" applyAlignment="1" applyProtection="1">
      <alignment horizontal="center" wrapText="1"/>
      <protection hidden="1"/>
    </xf>
    <xf numFmtId="0" fontId="1" fillId="2" borderId="1" xfId="0" applyFont="1" applyFill="1" applyBorder="1" applyAlignment="1" applyProtection="1">
      <alignment horizontal="center"/>
      <protection locked="0" hidden="1"/>
    </xf>
    <xf numFmtId="0" fontId="1" fillId="2" borderId="15" xfId="0" applyFont="1" applyFill="1" applyBorder="1" applyAlignment="1" applyProtection="1">
      <alignment horizontal="center"/>
      <protection locked="0" hidden="1"/>
    </xf>
    <xf numFmtId="0" fontId="1" fillId="2" borderId="10" xfId="0" applyFont="1" applyFill="1" applyBorder="1" applyAlignment="1" applyProtection="1">
      <alignment horizontal="center"/>
      <protection locked="0" hidden="1"/>
    </xf>
    <xf numFmtId="0" fontId="1" fillId="2" borderId="11" xfId="0" applyFont="1" applyFill="1" applyBorder="1" applyAlignment="1" applyProtection="1">
      <alignment horizontal="center"/>
      <protection locked="0" hidden="1"/>
    </xf>
    <xf numFmtId="0" fontId="10" fillId="0" borderId="3" xfId="1" applyFont="1" applyBorder="1" applyAlignment="1" applyProtection="1">
      <alignment horizontal="center"/>
      <protection hidden="1"/>
    </xf>
    <xf numFmtId="0" fontId="1" fillId="12" borderId="1" xfId="0" applyFont="1" applyFill="1" applyBorder="1" applyAlignment="1" applyProtection="1">
      <alignment horizontal="center" vertical="center"/>
      <protection hidden="1"/>
    </xf>
    <xf numFmtId="0" fontId="1" fillId="2" borderId="36" xfId="0" applyFont="1" applyFill="1" applyBorder="1" applyAlignment="1" applyProtection="1">
      <alignment horizontal="center"/>
      <protection locked="0" hidden="1"/>
    </xf>
    <xf numFmtId="0" fontId="1" fillId="2" borderId="37" xfId="0" applyFont="1" applyFill="1" applyBorder="1" applyAlignment="1" applyProtection="1">
      <alignment horizontal="center"/>
      <protection locked="0" hidden="1"/>
    </xf>
    <xf numFmtId="0" fontId="1" fillId="2" borderId="38" xfId="0" applyFont="1" applyFill="1" applyBorder="1" applyAlignment="1" applyProtection="1">
      <alignment horizontal="center"/>
      <protection locked="0" hidden="1"/>
    </xf>
    <xf numFmtId="0" fontId="1" fillId="14" borderId="49" xfId="0" applyFont="1" applyFill="1" applyBorder="1" applyAlignment="1" applyProtection="1">
      <alignment horizontal="center"/>
      <protection hidden="1"/>
    </xf>
    <xf numFmtId="0" fontId="1" fillId="14" borderId="54" xfId="0" applyFont="1" applyFill="1" applyBorder="1" applyAlignment="1" applyProtection="1">
      <alignment horizontal="center"/>
      <protection hidden="1"/>
    </xf>
    <xf numFmtId="0" fontId="1" fillId="14" borderId="55" xfId="0" applyFont="1" applyFill="1" applyBorder="1" applyAlignment="1" applyProtection="1">
      <alignment horizontal="center"/>
      <protection hidden="1"/>
    </xf>
    <xf numFmtId="0" fontId="1" fillId="0" borderId="0" xfId="0" applyFont="1" applyBorder="1" applyAlignment="1" applyProtection="1">
      <alignment horizontal="center" vertical="center" wrapText="1"/>
      <protection hidden="1"/>
    </xf>
    <xf numFmtId="14" fontId="14" fillId="0" borderId="0"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 fillId="0" borderId="1" xfId="0" applyFont="1" applyBorder="1" applyAlignment="1">
      <alignment horizontal="center" wrapText="1"/>
    </xf>
    <xf numFmtId="0" fontId="1" fillId="2" borderId="53" xfId="0"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0" fillId="0" borderId="35" xfId="1" applyFont="1" applyBorder="1" applyAlignment="1" applyProtection="1">
      <alignment horizontal="center"/>
    </xf>
    <xf numFmtId="0" fontId="10" fillId="0" borderId="3" xfId="1" applyFont="1" applyBorder="1" applyAlignment="1" applyProtection="1">
      <alignment horizontal="center"/>
    </xf>
    <xf numFmtId="0" fontId="10" fillId="0" borderId="45" xfId="1" applyFont="1" applyBorder="1" applyAlignment="1" applyProtection="1">
      <alignment horizontal="center" vertical="center"/>
      <protection hidden="1"/>
    </xf>
    <xf numFmtId="0" fontId="10" fillId="0" borderId="10" xfId="1" applyFont="1" applyBorder="1" applyAlignment="1" applyProtection="1">
      <alignment horizontal="center" vertical="center"/>
      <protection hidden="1"/>
    </xf>
    <xf numFmtId="0" fontId="1" fillId="2" borderId="0" xfId="0" applyFont="1" applyFill="1" applyBorder="1" applyAlignment="1" applyProtection="1">
      <alignment horizontal="center"/>
    </xf>
    <xf numFmtId="0" fontId="11" fillId="0" borderId="0" xfId="1" applyFont="1" applyAlignment="1">
      <alignment horizontal="center" vertical="center"/>
    </xf>
    <xf numFmtId="0" fontId="1" fillId="3" borderId="0" xfId="0" applyFont="1" applyFill="1" applyBorder="1" applyAlignment="1" applyProtection="1">
      <alignment horizontal="center"/>
    </xf>
    <xf numFmtId="0" fontId="1" fillId="0" borderId="25" xfId="0" applyFont="1" applyBorder="1" applyAlignment="1" applyProtection="1">
      <alignment horizontal="center" wrapText="1"/>
      <protection hidden="1"/>
    </xf>
    <xf numFmtId="0" fontId="1" fillId="0" borderId="29" xfId="0" applyFont="1" applyBorder="1" applyAlignment="1" applyProtection="1">
      <alignment horizontal="center" wrapText="1"/>
      <protection hidden="1"/>
    </xf>
    <xf numFmtId="0" fontId="0" fillId="0" borderId="0" xfId="0" applyFont="1" applyBorder="1" applyAlignment="1" applyProtection="1">
      <alignment horizontal="center"/>
      <protection hidden="1"/>
    </xf>
    <xf numFmtId="1" fontId="0" fillId="8" borderId="63" xfId="0" applyNumberFormat="1" applyFill="1" applyBorder="1" applyAlignment="1" applyProtection="1">
      <alignment horizontal="center"/>
      <protection hidden="1"/>
    </xf>
    <xf numFmtId="1" fontId="0" fillId="8" borderId="14" xfId="0" applyNumberFormat="1" applyFill="1" applyBorder="1" applyAlignment="1" applyProtection="1">
      <alignment horizontal="center"/>
      <protection hidden="1"/>
    </xf>
    <xf numFmtId="1" fontId="0" fillId="10" borderId="63" xfId="0" applyNumberFormat="1" applyFill="1" applyBorder="1" applyAlignment="1" applyProtection="1">
      <alignment horizontal="center"/>
      <protection hidden="1"/>
    </xf>
    <xf numFmtId="1" fontId="0" fillId="10" borderId="14" xfId="0" applyNumberFormat="1" applyFill="1" applyBorder="1" applyAlignment="1" applyProtection="1">
      <alignment horizontal="center"/>
      <protection hidden="1"/>
    </xf>
    <xf numFmtId="1" fontId="0" fillId="9" borderId="63" xfId="0" applyNumberFormat="1" applyFill="1" applyBorder="1" applyAlignment="1" applyProtection="1">
      <alignment horizontal="center"/>
      <protection hidden="1"/>
    </xf>
    <xf numFmtId="1" fontId="0" fillId="9" borderId="14" xfId="0" applyNumberFormat="1" applyFill="1" applyBorder="1" applyAlignment="1" applyProtection="1">
      <alignment horizontal="center"/>
      <protection hidden="1"/>
    </xf>
    <xf numFmtId="0" fontId="0" fillId="3" borderId="21" xfId="0" applyFill="1" applyBorder="1" applyAlignment="1" applyProtection="1">
      <alignment horizontal="center"/>
      <protection locked="0"/>
    </xf>
    <xf numFmtId="0" fontId="0" fillId="3" borderId="15" xfId="0" applyFill="1" applyBorder="1" applyAlignment="1" applyProtection="1">
      <alignment horizontal="center"/>
      <protection locked="0"/>
    </xf>
    <xf numFmtId="2" fontId="0" fillId="8" borderId="61" xfId="0" applyNumberFormat="1" applyFill="1" applyBorder="1" applyAlignment="1" applyProtection="1">
      <alignment horizontal="center"/>
      <protection hidden="1"/>
    </xf>
    <xf numFmtId="2" fontId="0" fillId="8" borderId="17" xfId="0" applyNumberFormat="1" applyFill="1" applyBorder="1" applyAlignment="1" applyProtection="1">
      <alignment horizontal="center"/>
      <protection hidden="1"/>
    </xf>
    <xf numFmtId="2" fontId="0" fillId="10" borderId="61" xfId="0" applyNumberFormat="1" applyFill="1" applyBorder="1" applyAlignment="1" applyProtection="1">
      <alignment horizontal="center"/>
      <protection hidden="1"/>
    </xf>
    <xf numFmtId="2" fontId="0" fillId="10" borderId="17" xfId="0" applyNumberFormat="1" applyFill="1" applyBorder="1" applyAlignment="1" applyProtection="1">
      <alignment horizontal="center"/>
      <protection hidden="1"/>
    </xf>
    <xf numFmtId="2" fontId="0" fillId="9" borderId="61" xfId="0" applyNumberFormat="1" applyFill="1" applyBorder="1" applyAlignment="1" applyProtection="1">
      <alignment horizontal="center"/>
      <protection hidden="1"/>
    </xf>
    <xf numFmtId="2" fontId="0" fillId="9" borderId="17" xfId="0" applyNumberFormat="1" applyFill="1" applyBorder="1" applyAlignment="1" applyProtection="1">
      <alignment horizontal="center"/>
      <protection hidden="1"/>
    </xf>
    <xf numFmtId="0" fontId="0" fillId="0" borderId="36" xfId="0" applyBorder="1" applyAlignment="1" applyProtection="1">
      <alignment horizontal="left"/>
      <protection hidden="1"/>
    </xf>
    <xf numFmtId="0" fontId="0" fillId="0" borderId="37" xfId="0" applyBorder="1" applyAlignment="1" applyProtection="1">
      <alignment horizontal="left"/>
      <protection hidden="1"/>
    </xf>
    <xf numFmtId="0" fontId="0" fillId="8" borderId="43" xfId="0" applyFill="1" applyBorder="1" applyAlignment="1" applyProtection="1">
      <alignment horizontal="center" vertical="center"/>
      <protection hidden="1"/>
    </xf>
    <xf numFmtId="0" fontId="0" fillId="8" borderId="65" xfId="0" applyFill="1" applyBorder="1" applyAlignment="1" applyProtection="1">
      <alignment horizontal="center" vertical="center"/>
      <protection hidden="1"/>
    </xf>
    <xf numFmtId="0" fontId="0" fillId="10" borderId="43" xfId="0" applyFill="1" applyBorder="1" applyAlignment="1" applyProtection="1">
      <alignment horizontal="center" vertical="center"/>
      <protection hidden="1"/>
    </xf>
    <xf numFmtId="0" fontId="0" fillId="10" borderId="65" xfId="0" applyFill="1" applyBorder="1" applyAlignment="1" applyProtection="1">
      <alignment horizontal="center" vertical="center"/>
      <protection hidden="1"/>
    </xf>
    <xf numFmtId="0" fontId="0" fillId="9" borderId="43" xfId="0" applyFill="1" applyBorder="1" applyAlignment="1" applyProtection="1">
      <alignment horizontal="center" vertical="center"/>
      <protection hidden="1"/>
    </xf>
    <xf numFmtId="0" fontId="0" fillId="9" borderId="65" xfId="0" applyFill="1" applyBorder="1" applyAlignment="1" applyProtection="1">
      <alignment horizontal="center" vertical="center"/>
      <protection hidden="1"/>
    </xf>
    <xf numFmtId="0" fontId="1" fillId="6" borderId="27" xfId="0" applyFont="1" applyFill="1" applyBorder="1" applyAlignment="1" applyProtection="1">
      <alignment horizontal="center" vertical="center" textRotation="90" wrapText="1"/>
      <protection hidden="1"/>
    </xf>
    <xf numFmtId="0" fontId="1" fillId="6" borderId="57" xfId="0" applyFont="1" applyFill="1" applyBorder="1" applyAlignment="1" applyProtection="1">
      <alignment horizontal="center" vertical="center" textRotation="90" wrapText="1"/>
      <protection hidden="1"/>
    </xf>
    <xf numFmtId="0" fontId="1" fillId="6" borderId="24" xfId="0" applyFont="1" applyFill="1" applyBorder="1" applyAlignment="1" applyProtection="1">
      <alignment horizontal="center" vertical="center" textRotation="90" wrapText="1"/>
      <protection hidden="1"/>
    </xf>
    <xf numFmtId="0" fontId="0" fillId="6" borderId="0" xfId="0" applyFill="1" applyBorder="1" applyAlignment="1" applyProtection="1">
      <alignment horizontal="left" vertical="center" wrapText="1"/>
      <protection hidden="1"/>
    </xf>
    <xf numFmtId="0" fontId="0" fillId="6" borderId="31" xfId="0" applyFill="1" applyBorder="1" applyAlignment="1" applyProtection="1">
      <alignment horizontal="left" vertical="center" wrapText="1"/>
      <protection hidden="1"/>
    </xf>
    <xf numFmtId="0" fontId="1" fillId="11" borderId="27" xfId="0" applyFont="1" applyFill="1" applyBorder="1" applyAlignment="1" applyProtection="1">
      <alignment horizontal="center" vertical="center" textRotation="90" wrapText="1"/>
      <protection hidden="1"/>
    </xf>
    <xf numFmtId="0" fontId="1" fillId="11" borderId="57" xfId="0" applyFont="1" applyFill="1" applyBorder="1" applyAlignment="1" applyProtection="1">
      <alignment horizontal="center" vertical="center" textRotation="90" wrapText="1"/>
      <protection hidden="1"/>
    </xf>
    <xf numFmtId="0" fontId="1" fillId="11" borderId="24" xfId="0" applyFont="1" applyFill="1" applyBorder="1" applyAlignment="1" applyProtection="1">
      <alignment horizontal="center" vertical="center" textRotation="90" wrapText="1"/>
      <protection hidden="1"/>
    </xf>
    <xf numFmtId="0" fontId="0" fillId="4" borderId="16" xfId="0" applyFill="1" applyBorder="1" applyAlignment="1" applyProtection="1">
      <alignment vertical="center" wrapText="1"/>
      <protection hidden="1"/>
    </xf>
    <xf numFmtId="0" fontId="0" fillId="4" borderId="17" xfId="0" applyFill="1" applyBorder="1" applyAlignment="1" applyProtection="1">
      <alignment vertical="center" wrapText="1"/>
      <protection hidden="1"/>
    </xf>
    <xf numFmtId="0" fontId="0" fillId="4" borderId="0" xfId="0" applyFill="1" applyBorder="1" applyAlignment="1" applyProtection="1">
      <alignment vertical="center" wrapText="1"/>
      <protection hidden="1"/>
    </xf>
    <xf numFmtId="0" fontId="0" fillId="4" borderId="31" xfId="0" applyFill="1" applyBorder="1" applyAlignment="1" applyProtection="1">
      <alignment vertical="center" wrapText="1"/>
      <protection hidden="1"/>
    </xf>
    <xf numFmtId="0" fontId="0" fillId="6" borderId="16" xfId="0" applyFill="1" applyBorder="1" applyAlignment="1" applyProtection="1">
      <alignment vertical="center" wrapText="1"/>
      <protection hidden="1"/>
    </xf>
    <xf numFmtId="0" fontId="0" fillId="6" borderId="17" xfId="0" applyFill="1" applyBorder="1" applyAlignment="1" applyProtection="1">
      <alignment vertical="center" wrapText="1"/>
      <protection hidden="1"/>
    </xf>
    <xf numFmtId="0" fontId="0" fillId="5" borderId="0" xfId="0" applyFill="1" applyBorder="1" applyAlignment="1" applyProtection="1">
      <alignment vertical="center" wrapText="1"/>
      <protection hidden="1"/>
    </xf>
    <xf numFmtId="0" fontId="0" fillId="5" borderId="31" xfId="0" applyFill="1" applyBorder="1" applyAlignment="1" applyProtection="1">
      <alignment vertical="center" wrapText="1"/>
      <protection hidden="1"/>
    </xf>
    <xf numFmtId="0" fontId="0" fillId="6" borderId="16" xfId="0" applyFill="1" applyBorder="1" applyAlignment="1" applyProtection="1">
      <alignment horizontal="left" vertical="center" wrapText="1"/>
      <protection hidden="1"/>
    </xf>
    <xf numFmtId="0" fontId="0" fillId="6" borderId="17" xfId="0" applyFill="1" applyBorder="1" applyAlignment="1" applyProtection="1">
      <alignment horizontal="left" vertical="center" wrapText="1"/>
      <protection hidden="1"/>
    </xf>
    <xf numFmtId="0" fontId="1" fillId="6" borderId="12" xfId="0"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0" fillId="6" borderId="14" xfId="0" applyFill="1" applyBorder="1" applyAlignment="1" applyProtection="1">
      <alignment horizontal="left" vertical="center" wrapText="1"/>
      <protection hidden="1"/>
    </xf>
    <xf numFmtId="0" fontId="0" fillId="6" borderId="0" xfId="0" applyFill="1" applyBorder="1" applyAlignment="1" applyProtection="1">
      <alignment vertical="center" wrapText="1"/>
      <protection hidden="1"/>
    </xf>
    <xf numFmtId="0" fontId="0" fillId="6" borderId="31" xfId="0" applyFill="1" applyBorder="1" applyAlignment="1" applyProtection="1">
      <alignment vertical="center" wrapText="1"/>
      <protection hidden="1"/>
    </xf>
    <xf numFmtId="0" fontId="0" fillId="4" borderId="12" xfId="0" applyFill="1" applyBorder="1" applyAlignment="1" applyProtection="1">
      <alignment vertical="center" wrapText="1"/>
      <protection hidden="1"/>
    </xf>
    <xf numFmtId="0" fontId="0" fillId="4" borderId="14" xfId="0" applyFill="1" applyBorder="1" applyAlignment="1" applyProtection="1">
      <alignment vertical="center" wrapText="1"/>
      <protection hidden="1"/>
    </xf>
    <xf numFmtId="0" fontId="0" fillId="5" borderId="16" xfId="0" applyFill="1" applyBorder="1" applyAlignment="1" applyProtection="1">
      <alignment vertical="center" wrapText="1"/>
      <protection hidden="1"/>
    </xf>
    <xf numFmtId="0" fontId="0" fillId="5" borderId="17" xfId="0" applyFill="1" applyBorder="1" applyAlignment="1" applyProtection="1">
      <alignment vertical="center" wrapText="1"/>
      <protection hidden="1"/>
    </xf>
    <xf numFmtId="0" fontId="0" fillId="0" borderId="12"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7" borderId="16" xfId="0" applyFill="1" applyBorder="1" applyAlignment="1" applyProtection="1">
      <alignment vertical="center" wrapText="1"/>
      <protection hidden="1"/>
    </xf>
    <xf numFmtId="0" fontId="0" fillId="7" borderId="17" xfId="0" applyFill="1" applyBorder="1" applyAlignment="1" applyProtection="1">
      <alignment vertical="center" wrapText="1"/>
      <protection hidden="1"/>
    </xf>
    <xf numFmtId="0" fontId="0" fillId="7" borderId="0" xfId="0" applyFill="1" applyBorder="1" applyAlignment="1" applyProtection="1">
      <alignment vertical="center" wrapText="1"/>
      <protection hidden="1"/>
    </xf>
    <xf numFmtId="0" fontId="0" fillId="7" borderId="31" xfId="0" applyFill="1" applyBorder="1" applyAlignment="1" applyProtection="1">
      <alignment vertical="center" wrapText="1"/>
      <protection hidden="1"/>
    </xf>
    <xf numFmtId="0" fontId="0" fillId="7" borderId="0" xfId="0" applyFont="1" applyFill="1" applyBorder="1" applyAlignment="1" applyProtection="1">
      <alignment vertical="center" wrapText="1"/>
      <protection hidden="1"/>
    </xf>
    <xf numFmtId="0" fontId="0" fillId="7" borderId="31" xfId="0" applyFont="1" applyFill="1" applyBorder="1" applyAlignment="1" applyProtection="1">
      <alignment vertical="center" wrapText="1"/>
      <protection hidden="1"/>
    </xf>
    <xf numFmtId="0" fontId="1" fillId="0" borderId="0" xfId="0" applyFont="1" applyBorder="1" applyAlignment="1" applyProtection="1">
      <alignment horizontal="center"/>
      <protection hidden="1"/>
    </xf>
    <xf numFmtId="0" fontId="14" fillId="0" borderId="0"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27" xfId="0" applyFont="1" applyBorder="1" applyAlignment="1" applyProtection="1">
      <alignment horizontal="center" vertical="center" textRotation="90" wrapText="1"/>
      <protection hidden="1"/>
    </xf>
    <xf numFmtId="0" fontId="1" fillId="0" borderId="57" xfId="0" applyFont="1" applyBorder="1" applyAlignment="1" applyProtection="1">
      <alignment horizontal="center" vertical="center" textRotation="90" wrapText="1"/>
      <protection hidden="1"/>
    </xf>
    <xf numFmtId="0" fontId="1" fillId="0" borderId="24" xfId="0" applyFont="1" applyBorder="1" applyAlignment="1" applyProtection="1">
      <alignment horizontal="center" vertical="center" textRotation="90" wrapText="1"/>
      <protection hidden="1"/>
    </xf>
    <xf numFmtId="0" fontId="0" fillId="0" borderId="16" xfId="0" applyBorder="1" applyAlignment="1" applyProtection="1">
      <alignment horizontal="left" wrapText="1"/>
      <protection hidden="1"/>
    </xf>
    <xf numFmtId="0" fontId="0" fillId="0" borderId="17" xfId="0" applyBorder="1" applyAlignment="1" applyProtection="1">
      <alignment horizontal="left" wrapText="1"/>
      <protection hidden="1"/>
    </xf>
    <xf numFmtId="0" fontId="3" fillId="0" borderId="16" xfId="1" applyBorder="1" applyAlignment="1" applyProtection="1">
      <alignment horizontal="left" wrapText="1"/>
      <protection hidden="1"/>
    </xf>
    <xf numFmtId="0" fontId="3" fillId="0" borderId="17" xfId="1" applyBorder="1" applyAlignment="1" applyProtection="1">
      <alignment horizontal="left" wrapText="1"/>
      <protection hidden="1"/>
    </xf>
    <xf numFmtId="0" fontId="0" fillId="0" borderId="0" xfId="0" applyBorder="1" applyAlignment="1" applyProtection="1">
      <alignment horizontal="left" wrapText="1"/>
      <protection hidden="1"/>
    </xf>
    <xf numFmtId="0" fontId="0" fillId="0" borderId="31" xfId="0" applyBorder="1" applyAlignment="1" applyProtection="1">
      <alignment horizontal="left" wrapText="1"/>
      <protection hidden="1"/>
    </xf>
    <xf numFmtId="0" fontId="1" fillId="5" borderId="27" xfId="0" applyFont="1" applyFill="1" applyBorder="1" applyAlignment="1" applyProtection="1">
      <alignment horizontal="center" vertical="center" textRotation="90" wrapText="1"/>
      <protection hidden="1"/>
    </xf>
    <xf numFmtId="0" fontId="1" fillId="5" borderId="57" xfId="0" applyFont="1" applyFill="1" applyBorder="1" applyAlignment="1" applyProtection="1">
      <alignment horizontal="center" vertical="center" textRotation="90" wrapText="1"/>
      <protection hidden="1"/>
    </xf>
    <xf numFmtId="0" fontId="1" fillId="5" borderId="24" xfId="0" applyFont="1" applyFill="1" applyBorder="1" applyAlignment="1" applyProtection="1">
      <alignment horizontal="center" vertical="center" textRotation="90" wrapText="1"/>
      <protection hidden="1"/>
    </xf>
    <xf numFmtId="0" fontId="1" fillId="7" borderId="27" xfId="0" applyFont="1" applyFill="1" applyBorder="1" applyAlignment="1" applyProtection="1">
      <alignment horizontal="center" vertical="center" textRotation="90" wrapText="1"/>
      <protection hidden="1"/>
    </xf>
    <xf numFmtId="0" fontId="1" fillId="7" borderId="57" xfId="0" applyFont="1" applyFill="1" applyBorder="1" applyAlignment="1" applyProtection="1">
      <alignment horizontal="center" vertical="center" textRotation="90" wrapText="1"/>
      <protection hidden="1"/>
    </xf>
    <xf numFmtId="0" fontId="0" fillId="0" borderId="0" xfId="0" applyAlignment="1">
      <alignment horizontal="left" vertical="center" wrapText="1"/>
    </xf>
    <xf numFmtId="0" fontId="0" fillId="0" borderId="0" xfId="0" applyAlignment="1">
      <alignment horizontal="left" wrapText="1"/>
    </xf>
    <xf numFmtId="0" fontId="0" fillId="0" borderId="43"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3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21" xfId="0" applyFont="1" applyBorder="1" applyAlignment="1">
      <alignment horizontal="center" vertical="center" wrapText="1"/>
    </xf>
    <xf numFmtId="0" fontId="1" fillId="0" borderId="6" xfId="0" applyFont="1" applyFill="1" applyBorder="1" applyAlignment="1">
      <alignment horizontal="center" vertical="center" wrapText="1"/>
    </xf>
    <xf numFmtId="0" fontId="0" fillId="0" borderId="52" xfId="0" applyFont="1" applyBorder="1" applyAlignment="1">
      <alignment horizontal="center" vertical="center" wrapText="1"/>
    </xf>
    <xf numFmtId="0" fontId="1" fillId="0" borderId="18" xfId="0" applyFont="1" applyBorder="1" applyAlignment="1" applyProtection="1">
      <alignment horizontal="center"/>
      <protection hidden="1"/>
    </xf>
    <xf numFmtId="0" fontId="1" fillId="0" borderId="19" xfId="0" applyFont="1" applyBorder="1" applyAlignment="1" applyProtection="1">
      <alignment horizontal="center"/>
      <protection hidden="1"/>
    </xf>
    <xf numFmtId="0" fontId="1" fillId="0" borderId="20" xfId="0" applyFont="1" applyBorder="1" applyAlignment="1" applyProtection="1">
      <alignment horizontal="center"/>
      <protection hidden="1"/>
    </xf>
    <xf numFmtId="0" fontId="1" fillId="3" borderId="0" xfId="0" applyFont="1" applyFill="1" applyAlignment="1" applyProtection="1">
      <alignment horizontal="center"/>
      <protection hidden="1"/>
    </xf>
    <xf numFmtId="0" fontId="1" fillId="3" borderId="0" xfId="0" applyFont="1" applyFill="1" applyBorder="1" applyAlignment="1" applyProtection="1">
      <alignment horizontal="center"/>
      <protection hidden="1"/>
    </xf>
    <xf numFmtId="0" fontId="0" fillId="0" borderId="45"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5" borderId="0" xfId="0" applyFill="1" applyAlignment="1" applyProtection="1">
      <alignment horizontal="left" wrapText="1"/>
      <protection hidden="1"/>
    </xf>
    <xf numFmtId="0" fontId="12" fillId="0" borderId="12" xfId="0" applyFont="1" applyBorder="1" applyAlignment="1">
      <alignment horizontal="left" vertical="center"/>
    </xf>
    <xf numFmtId="0" fontId="0" fillId="0" borderId="0" xfId="0" applyAlignment="1" applyProtection="1">
      <alignment horizontal="center" wrapText="1"/>
      <protection hidden="1"/>
    </xf>
    <xf numFmtId="0" fontId="0" fillId="0" borderId="9" xfId="0" applyFont="1" applyBorder="1" applyAlignment="1">
      <alignment horizontal="center" vertical="center" wrapText="1"/>
    </xf>
    <xf numFmtId="0" fontId="3" fillId="0" borderId="0" xfId="1" applyFill="1" applyAlignment="1">
      <alignment wrapText="1"/>
    </xf>
    <xf numFmtId="0" fontId="0" fillId="11" borderId="0" xfId="0" applyFill="1" applyAlignment="1">
      <alignment horizontal="left" wrapText="1"/>
    </xf>
    <xf numFmtId="0" fontId="0" fillId="13" borderId="0" xfId="0" applyFill="1" applyAlignment="1" applyProtection="1">
      <alignment horizontal="left"/>
      <protection hidden="1"/>
    </xf>
    <xf numFmtId="0" fontId="1" fillId="0" borderId="21" xfId="0" applyFont="1" applyBorder="1" applyAlignment="1" applyProtection="1">
      <alignment horizontal="center"/>
      <protection hidden="1"/>
    </xf>
    <xf numFmtId="0" fontId="1" fillId="0" borderId="15"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21" xfId="0" applyBorder="1" applyAlignment="1" applyProtection="1">
      <alignment horizontal="center"/>
      <protection hidden="1"/>
    </xf>
    <xf numFmtId="0" fontId="1" fillId="0" borderId="14" xfId="0" applyFont="1" applyBorder="1" applyAlignment="1" applyProtection="1">
      <alignment horizontal="center"/>
      <protection hidden="1"/>
    </xf>
    <xf numFmtId="0" fontId="1" fillId="0" borderId="30" xfId="0" applyFont="1" applyBorder="1" applyAlignment="1" applyProtection="1">
      <alignment horizontal="center"/>
      <protection hidden="1"/>
    </xf>
    <xf numFmtId="0" fontId="1" fillId="0" borderId="59" xfId="0" applyFont="1" applyBorder="1" applyAlignment="1" applyProtection="1">
      <alignment horizontal="center"/>
      <protection hidden="1"/>
    </xf>
  </cellXfs>
  <cellStyles count="2">
    <cellStyle name="Link" xfId="1" builtinId="8"/>
    <cellStyle name="Standard" xfId="0" builtinId="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59996337778862885"/>
          <bgColor theme="7" tint="0.59996337778862885"/>
        </patternFill>
      </fill>
    </dxf>
    <dxf>
      <fill>
        <patternFill>
          <fgColor theme="7" tint="0.59996337778862885"/>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7C80"/>
      <color rgb="FFF8B4F0"/>
      <color rgb="FFEF99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612371</xdr:colOff>
      <xdr:row>18</xdr:row>
      <xdr:rowOff>67194</xdr:rowOff>
    </xdr:from>
    <xdr:to>
      <xdr:col>6</xdr:col>
      <xdr:colOff>756073</xdr:colOff>
      <xdr:row>36</xdr:row>
      <xdr:rowOff>162398</xdr:rowOff>
    </xdr:to>
    <xdr:pic>
      <xdr:nvPicPr>
        <xdr:cNvPr id="2" name="Grafik 1"/>
        <xdr:cNvPicPr>
          <a:picLocks noChangeAspect="1"/>
        </xdr:cNvPicPr>
      </xdr:nvPicPr>
      <xdr:blipFill>
        <a:blip xmlns:r="http://schemas.openxmlformats.org/officeDocument/2006/relationships" r:embed="rId1"/>
        <a:stretch>
          <a:fillRect/>
        </a:stretch>
      </xdr:blipFill>
      <xdr:spPr>
        <a:xfrm>
          <a:off x="1028007" y="2727267"/>
          <a:ext cx="5837921" cy="333716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3"/>
  <sheetViews>
    <sheetView showGridLines="0" tabSelected="1" view="pageLayout" zoomScaleNormal="85" workbookViewId="0">
      <selection activeCell="B1" sqref="B1:K1"/>
    </sheetView>
  </sheetViews>
  <sheetFormatPr baseColWidth="10" defaultRowHeight="15"/>
  <cols>
    <col min="1" max="1" width="1.5703125" customWidth="1"/>
    <col min="2" max="2" width="16.140625" customWidth="1"/>
    <col min="3" max="3" width="9.85546875" customWidth="1"/>
    <col min="4" max="4" width="8.85546875" customWidth="1"/>
    <col min="5" max="5" width="8.140625" customWidth="1"/>
    <col min="6" max="6" width="11.28515625" customWidth="1"/>
    <col min="7" max="7" width="8.28515625" customWidth="1"/>
    <col min="8" max="8" width="5.140625" customWidth="1"/>
    <col min="9" max="9" width="7.28515625" customWidth="1"/>
    <col min="10" max="10" width="6.140625" customWidth="1"/>
    <col min="12" max="12" width="8.5703125" customWidth="1"/>
    <col min="13" max="13" width="10.7109375" customWidth="1"/>
    <col min="14" max="14" width="7.140625" hidden="1" customWidth="1"/>
    <col min="15" max="15" width="11.42578125" hidden="1" customWidth="1"/>
    <col min="16" max="20" width="10.7109375" style="74"/>
    <col min="24" max="24" width="19" customWidth="1"/>
    <col min="25" max="25" width="2.85546875" customWidth="1"/>
    <col min="26" max="26" width="5.42578125" customWidth="1"/>
    <col min="27" max="27" width="8" customWidth="1"/>
  </cols>
  <sheetData>
    <row r="1" spans="2:22" s="4" customFormat="1" ht="27.75" customHeight="1">
      <c r="B1" s="197" t="s">
        <v>191</v>
      </c>
      <c r="C1" s="197"/>
      <c r="D1" s="197"/>
      <c r="E1" s="197"/>
      <c r="F1" s="197"/>
      <c r="G1" s="197"/>
      <c r="H1" s="197"/>
      <c r="I1" s="197"/>
      <c r="J1" s="197"/>
      <c r="K1" s="197"/>
      <c r="L1" s="187">
        <f ca="1">NOW()</f>
        <v>42899.393117824075</v>
      </c>
      <c r="M1" s="188"/>
      <c r="N1" s="17"/>
      <c r="P1" s="73"/>
      <c r="Q1" s="73"/>
      <c r="R1" s="73"/>
      <c r="S1" s="73"/>
      <c r="T1" s="73"/>
    </row>
    <row r="2" spans="2:22" s="4" customFormat="1" ht="17.649999999999999" customHeight="1">
      <c r="B2" s="83" t="s">
        <v>174</v>
      </c>
      <c r="C2" s="145"/>
      <c r="D2" s="145"/>
      <c r="E2" s="84" t="s">
        <v>175</v>
      </c>
      <c r="F2" s="145"/>
      <c r="G2" s="145"/>
      <c r="H2" s="145"/>
      <c r="I2" s="145"/>
      <c r="J2" s="145"/>
      <c r="K2" s="145"/>
      <c r="L2" s="146"/>
      <c r="M2" s="146"/>
      <c r="N2" s="17"/>
      <c r="P2" s="73"/>
      <c r="Q2" s="73"/>
      <c r="R2" s="73"/>
      <c r="S2" s="73"/>
      <c r="T2" s="73"/>
    </row>
    <row r="3" spans="2:22" ht="15.75" thickBot="1">
      <c r="B3" s="198" t="s">
        <v>99</v>
      </c>
      <c r="C3" s="198"/>
      <c r="D3" s="198"/>
      <c r="E3" s="196" t="s">
        <v>100</v>
      </c>
      <c r="F3" s="196"/>
      <c r="G3" s="196"/>
      <c r="H3" s="196"/>
      <c r="I3" s="192" t="s">
        <v>45</v>
      </c>
      <c r="J3" s="193"/>
      <c r="K3" s="193"/>
      <c r="L3" s="193"/>
      <c r="M3" s="82">
        <v>0.11</v>
      </c>
    </row>
    <row r="4" spans="2:22" s="1" customFormat="1" ht="15.75" customHeight="1" thickBot="1">
      <c r="B4" s="64" t="s">
        <v>84</v>
      </c>
      <c r="C4" s="54"/>
      <c r="D4" s="201"/>
      <c r="E4" s="201"/>
      <c r="F4" s="52"/>
      <c r="G4" s="149" t="s">
        <v>60</v>
      </c>
      <c r="H4" s="149"/>
      <c r="I4" s="194" t="s">
        <v>139</v>
      </c>
      <c r="J4" s="195"/>
      <c r="K4" s="195"/>
      <c r="L4" s="195"/>
      <c r="M4" s="16">
        <v>1000</v>
      </c>
      <c r="P4" s="75"/>
      <c r="Q4" s="75"/>
      <c r="R4" s="75"/>
      <c r="S4" s="75"/>
      <c r="T4" s="75"/>
    </row>
    <row r="5" spans="2:22" ht="30" customHeight="1" thickBot="1">
      <c r="B5" s="29" t="s">
        <v>0</v>
      </c>
      <c r="C5" s="30" t="s">
        <v>26</v>
      </c>
      <c r="D5" s="28"/>
      <c r="E5" s="189" t="s">
        <v>85</v>
      </c>
      <c r="F5" s="189"/>
      <c r="G5" s="189"/>
      <c r="H5" s="190" t="s">
        <v>190</v>
      </c>
      <c r="I5" s="191"/>
      <c r="J5" s="199" t="s">
        <v>98</v>
      </c>
      <c r="K5" s="200"/>
      <c r="L5" s="48" t="s">
        <v>172</v>
      </c>
      <c r="M5" s="47" t="s">
        <v>43</v>
      </c>
    </row>
    <row r="6" spans="2:22" ht="28.5" customHeight="1">
      <c r="B6" s="65" t="s">
        <v>148</v>
      </c>
      <c r="C6" s="10"/>
      <c r="D6" s="53" t="str">
        <f>IF(C6="","",IF(C10=FALSE,"HAS",IF(C6&gt;=10,"kein HAS","HAS")))</f>
        <v/>
      </c>
      <c r="E6" s="165" t="str">
        <f>IF(B13&gt;2,"nur eine Eingabe!","")</f>
        <v/>
      </c>
      <c r="F6" s="147"/>
      <c r="G6" s="147"/>
      <c r="H6" s="147"/>
      <c r="I6" s="148"/>
      <c r="J6" s="150" t="s">
        <v>178</v>
      </c>
      <c r="K6" s="151"/>
      <c r="L6" s="8">
        <f>L11</f>
        <v>0</v>
      </c>
      <c r="M6" s="7">
        <f>ROUND(J11,0)</f>
        <v>0</v>
      </c>
    </row>
    <row r="7" spans="2:22" ht="28.5" customHeight="1" thickBot="1">
      <c r="B7" s="66" t="s">
        <v>149</v>
      </c>
      <c r="C7" s="89"/>
      <c r="D7" s="53" t="str">
        <f>IF(C7="","",IF(C11=FALSE,"HAS",IF(C7&gt;10,"kein HAS","HAS")))</f>
        <v/>
      </c>
      <c r="E7" s="165"/>
      <c r="F7" s="5"/>
      <c r="G7" s="6"/>
      <c r="H7" s="147" t="str">
        <f>IF(M7&lt;0,"Lokale Korrekturen falsch", IF('lokale Korrekturen'!C2="ja","Mit lokalen Korrekturen",""))</f>
        <v/>
      </c>
      <c r="I7" s="148"/>
      <c r="J7" s="152" t="s">
        <v>177</v>
      </c>
      <c r="K7" s="153"/>
      <c r="L7" s="9">
        <f>IF(F25="",0,IF(F25=0,L6,L12))</f>
        <v>0</v>
      </c>
      <c r="M7" s="3" t="b">
        <f>IF(F25="","",IF(F25&gt;0,IF(J12+'lokale Korrekturen'!I12&lt;0,0,J12+'lokale Korrekturen'!I12)))</f>
        <v>0</v>
      </c>
    </row>
    <row r="8" spans="2:22" ht="28.5" customHeight="1" thickBot="1">
      <c r="B8" s="67" t="s">
        <v>169</v>
      </c>
      <c r="C8" s="90"/>
      <c r="D8" s="53" t="str">
        <f>IF(C15="","",IF(C12=FALSE,"HAS",IF(C15&gt;2,"kein HAS","HAS")))</f>
        <v/>
      </c>
      <c r="E8" s="165"/>
      <c r="F8" s="5"/>
      <c r="G8" s="6"/>
      <c r="H8" s="147"/>
      <c r="I8" s="147"/>
      <c r="J8" s="186" t="str">
        <f>IF(B13+D13=0,"Eingaben notwendig",IF(M7&gt;=100,"Risikoermittlung notwendig",IF(M7&lt;100,"mit diesen Szenarien ist keine Risikoermittlung notwendig")))</f>
        <v>Eingaben notwendig</v>
      </c>
      <c r="K8" s="186"/>
      <c r="L8" s="186"/>
      <c r="M8" s="186"/>
    </row>
    <row r="9" spans="2:22" s="74" customFormat="1" hidden="1">
      <c r="B9" s="92"/>
      <c r="C9" s="157"/>
      <c r="D9" s="157"/>
      <c r="E9" s="157"/>
      <c r="F9" s="81" t="s">
        <v>21</v>
      </c>
      <c r="G9" s="74" t="e">
        <f>IF(C10=TRUE,C6,IF(D6="HAS",1,IF(C11=TRUE,C7,IF(D7="HAS",1,IF(C12=TRUE,10^C15/20,IF(D8="HAS",0.5,IF(C6&gt;=10,"kein HAS",IF(C7&gt;10,"kein HAS",IF(10^C15/20&gt;10,"kein HAS",IF(C6&lt;&gt;"",C6,IF(C7&lt;&gt;"",C7,IF(C15&lt;&gt;"",10^C15/20,1))))))))))))</f>
        <v>#VALUE!</v>
      </c>
      <c r="I9" s="74" t="s">
        <v>17</v>
      </c>
      <c r="J9" s="74">
        <f>0.78*0.375^-0.3</f>
        <v>1.0468518439817174</v>
      </c>
      <c r="K9" s="74">
        <f>0.7773*0.4^-0.275</f>
        <v>1.0000510498224273</v>
      </c>
      <c r="N9" s="93"/>
      <c r="V9" s="74" t="s">
        <v>115</v>
      </c>
    </row>
    <row r="10" spans="2:22" s="74" customFormat="1" hidden="1">
      <c r="B10" s="81">
        <f>IF(C10=TRUE,2,0)</f>
        <v>0</v>
      </c>
      <c r="C10" s="94" t="b">
        <f>ISNUMBER(C6)</f>
        <v>0</v>
      </c>
      <c r="D10" s="74">
        <f>IF(D6="HAS",1,0)</f>
        <v>0</v>
      </c>
      <c r="E10" s="95">
        <f>IF(F6="",0,1)</f>
        <v>0</v>
      </c>
      <c r="F10" s="81" t="s">
        <v>114</v>
      </c>
      <c r="G10" s="74" t="e">
        <f>0.9981*G9^(-0.334)</f>
        <v>#VALUE!</v>
      </c>
      <c r="J10" s="74" t="s">
        <v>188</v>
      </c>
      <c r="L10" s="74" t="s">
        <v>186</v>
      </c>
      <c r="M10" s="74" t="s">
        <v>187</v>
      </c>
      <c r="O10" s="80" t="s">
        <v>1</v>
      </c>
      <c r="P10" s="76" t="s">
        <v>2</v>
      </c>
      <c r="Q10" s="76" t="s">
        <v>47</v>
      </c>
      <c r="R10" s="76" t="s">
        <v>48</v>
      </c>
      <c r="S10" s="77" t="s">
        <v>57</v>
      </c>
      <c r="T10" s="78"/>
      <c r="U10" s="78"/>
      <c r="V10" s="74">
        <f>IF(G19&gt;0,G19,F19)</f>
        <v>1</v>
      </c>
    </row>
    <row r="11" spans="2:22" s="74" customFormat="1" hidden="1">
      <c r="B11" s="81">
        <f>IF(C11=TRUE,2,0)</f>
        <v>0</v>
      </c>
      <c r="C11" s="94" t="b">
        <f>ISNUMBER(C7)</f>
        <v>0</v>
      </c>
      <c r="D11" s="74">
        <f>IF(D7="HAS",1,0)</f>
        <v>0</v>
      </c>
      <c r="E11" s="95">
        <f>IF(H7="",0,1)</f>
        <v>0</v>
      </c>
      <c r="F11" s="96" t="s">
        <v>105</v>
      </c>
      <c r="G11" s="74" t="e">
        <f>0.9981*G9^(-0.334)</f>
        <v>#VALUE!</v>
      </c>
      <c r="I11" s="74" t="s">
        <v>18</v>
      </c>
      <c r="J11" s="74">
        <f>L11^2* 0.177*M3*M4</f>
        <v>0</v>
      </c>
      <c r="K11" s="74" t="s">
        <v>24</v>
      </c>
      <c r="L11" s="74">
        <f>IF(D13=0,0,IF(H5="Aerosol",0.4979*C4^0.3333*G11*J9,IF(H5="Ø ≤ 10 µm",0.4979*C4^0.3333*G11*J9,IF(H5="Ø ≈ 50 µm",0.3647*C4^0.3334*G12*J9,IF(H5="Ø ≈ 100 µm",0.0966*C4^0.3345*G13*J9,IF(H5="Ø ≈ 150 µm",0.0062*C4^0.3641*G11*J9,IF(H5="Ø ≥ 400 µm",0.0062*C4^0.3641*G11*J9,IF(H5="Dampf",0.4979*C4^0.3333*G11*J9,""))))))))</f>
        <v>0</v>
      </c>
      <c r="M11" s="74">
        <f>L11*0.177*2*L11/2</f>
        <v>0</v>
      </c>
      <c r="O11" s="76" t="s">
        <v>3</v>
      </c>
      <c r="P11" s="76" t="s">
        <v>49</v>
      </c>
      <c r="Q11" s="76" t="s">
        <v>111</v>
      </c>
      <c r="R11" s="76" t="s">
        <v>50</v>
      </c>
      <c r="S11" s="76" t="s">
        <v>51</v>
      </c>
      <c r="T11" s="76" t="s">
        <v>57</v>
      </c>
      <c r="U11" s="97"/>
      <c r="V11" s="74">
        <f t="shared" ref="V11:V12" si="0">IF(G20&gt;0,G20,F20)</f>
        <v>0</v>
      </c>
    </row>
    <row r="12" spans="2:22" s="74" customFormat="1" hidden="1">
      <c r="B12" s="81">
        <f>IF(C8="C1A",1,IF(C8="C1B",2,0))</f>
        <v>0</v>
      </c>
      <c r="C12" s="94" t="b">
        <f>ISNUMBER(C15)</f>
        <v>0</v>
      </c>
      <c r="D12" s="74">
        <f>IF(D8="HAS",1,0)</f>
        <v>0</v>
      </c>
      <c r="E12" s="95">
        <f>IF(H8="",0,1)</f>
        <v>0</v>
      </c>
      <c r="F12" s="98" t="s">
        <v>106</v>
      </c>
      <c r="G12" s="74" t="e">
        <f>0.9595*G9^(-0.332)</f>
        <v>#VALUE!</v>
      </c>
      <c r="I12" s="74" t="s">
        <v>19</v>
      </c>
      <c r="J12" s="74">
        <f>L12^2* 0.177*M3*M4</f>
        <v>0</v>
      </c>
      <c r="K12" s="74" t="s">
        <v>23</v>
      </c>
      <c r="L12" s="74">
        <f>IF(F25="",0,IF(D13=0,0,IF(H5="Aerosol",0.4979*(F25)^0.3333*G11*J9,IF(H5="Ø ≤ 10 µm",0.4979*(F25)^0.3333*G11*J9,IF(H5="Ø ≈ 50 µm",0.3647*(F25)^0.3334*G12*J9,IF(H5="Ø ≈ 100 µm",0.0966*(F25)^0.3345*G13*J9,IF(H5="Ø ≈ 150 µm",0.0062*(F25)^0.3641*G11*J9,IF(H5="Ø ≥ 400 µm",0.0062*(F25)^0.3641*G11*J9,IF(H5="Dampf",0.4979*(F25)^0.3333*G11*J9,"")))))))))</f>
        <v>0</v>
      </c>
      <c r="M12" s="74">
        <f>L12*0.177*2*L12/2</f>
        <v>0</v>
      </c>
      <c r="O12" s="76" t="s">
        <v>27</v>
      </c>
      <c r="P12" s="76" t="s">
        <v>4</v>
      </c>
      <c r="Q12" s="76" t="s">
        <v>5</v>
      </c>
      <c r="R12" s="76" t="s">
        <v>6</v>
      </c>
      <c r="S12" s="76" t="s">
        <v>57</v>
      </c>
      <c r="T12" s="77"/>
      <c r="U12" s="77"/>
      <c r="V12" s="74">
        <f t="shared" si="0"/>
        <v>0</v>
      </c>
    </row>
    <row r="13" spans="2:22" s="74" customFormat="1" hidden="1">
      <c r="B13" s="99">
        <f>SUM(B10:B12)</f>
        <v>0</v>
      </c>
      <c r="C13" s="99"/>
      <c r="D13" s="99">
        <f>SUM(D10:D12)</f>
        <v>0</v>
      </c>
      <c r="E13" s="74">
        <f>SUM(E10:E12)</f>
        <v>0</v>
      </c>
      <c r="F13" s="98" t="s">
        <v>107</v>
      </c>
      <c r="G13" s="74" t="e">
        <f>0.993*G9^(-0.201)</f>
        <v>#VALUE!</v>
      </c>
      <c r="I13" s="74" t="s">
        <v>22</v>
      </c>
      <c r="J13" s="74" t="str">
        <f>IF(F24=0,"",IF(F24&lt;L16,"Das extrem unkritische Szenario muss detailliert begründet werden",""))</f>
        <v/>
      </c>
      <c r="O13" s="76" t="s">
        <v>46</v>
      </c>
      <c r="P13" s="76" t="s">
        <v>7</v>
      </c>
      <c r="Q13" s="76" t="s">
        <v>8</v>
      </c>
      <c r="R13" s="76" t="s">
        <v>52</v>
      </c>
      <c r="S13" s="76" t="s">
        <v>9</v>
      </c>
      <c r="T13" s="79" t="s">
        <v>57</v>
      </c>
      <c r="V13" s="74">
        <f>IF(G23&gt;0,G23,F23)</f>
        <v>0</v>
      </c>
    </row>
    <row r="14" spans="2:22" s="74" customFormat="1" hidden="1">
      <c r="B14" s="100" t="s">
        <v>58</v>
      </c>
      <c r="C14" s="100"/>
      <c r="D14" s="101" t="s">
        <v>170</v>
      </c>
      <c r="E14" s="102" t="s">
        <v>171</v>
      </c>
      <c r="F14" s="98" t="s">
        <v>108</v>
      </c>
      <c r="G14" s="74">
        <f>1</f>
        <v>1</v>
      </c>
      <c r="O14" s="76"/>
      <c r="P14" s="76"/>
      <c r="Q14" s="76"/>
      <c r="R14" s="76"/>
      <c r="S14" s="76"/>
      <c r="T14" s="76"/>
      <c r="U14" s="79"/>
    </row>
    <row r="15" spans="2:22" s="74" customFormat="1" hidden="1">
      <c r="B15" s="99"/>
      <c r="C15" s="99" t="str">
        <f>IF(C8="C1A",1,IF(C8="C1B",2,""))</f>
        <v/>
      </c>
      <c r="F15" s="98" t="s">
        <v>109</v>
      </c>
      <c r="G15" s="74">
        <v>1</v>
      </c>
      <c r="O15" s="76"/>
      <c r="P15" s="76"/>
      <c r="Q15" s="76"/>
      <c r="R15" s="76"/>
      <c r="S15" s="76"/>
      <c r="T15" s="76"/>
      <c r="U15" s="79"/>
      <c r="V15" s="74">
        <f>V10*V11*V12*V13</f>
        <v>0</v>
      </c>
    </row>
    <row r="16" spans="2:22" s="74" customFormat="1" ht="15.75" hidden="1" thickBot="1">
      <c r="F16" s="98" t="s">
        <v>102</v>
      </c>
      <c r="G16" s="74" t="e">
        <f>0.9981*G9^(-0.334)</f>
        <v>#VALUE!</v>
      </c>
      <c r="K16" s="74" t="s">
        <v>25</v>
      </c>
      <c r="L16" s="74">
        <v>0.05</v>
      </c>
      <c r="M16" s="74">
        <v>1</v>
      </c>
      <c r="O16" s="75"/>
      <c r="P16" s="75"/>
      <c r="Q16" s="75"/>
      <c r="R16" s="75"/>
      <c r="S16" s="75"/>
      <c r="T16" s="75"/>
      <c r="U16" s="75"/>
      <c r="V16" s="23" t="b">
        <f>ISNUMBER(V15)</f>
        <v>1</v>
      </c>
    </row>
    <row r="17" spans="1:27" ht="15.75" thickBot="1">
      <c r="B17" s="167" t="s">
        <v>63</v>
      </c>
      <c r="C17" s="168"/>
      <c r="D17" s="168"/>
      <c r="E17" s="169"/>
      <c r="F17" s="166" t="str">
        <f>J13</f>
        <v/>
      </c>
      <c r="G17" s="166"/>
      <c r="H17" s="166"/>
      <c r="I17" s="166"/>
      <c r="J17" s="166"/>
      <c r="K17" s="166"/>
      <c r="L17" s="166"/>
      <c r="M17" s="166"/>
      <c r="N17" s="5"/>
      <c r="O17" s="1"/>
      <c r="P17" s="75"/>
      <c r="Q17" s="75"/>
      <c r="R17" s="75"/>
      <c r="S17" s="75"/>
      <c r="T17" s="75"/>
      <c r="U17" s="1"/>
    </row>
    <row r="18" spans="1:27" ht="30.75" thickBot="1">
      <c r="A18" s="19"/>
      <c r="B18" s="55" t="s">
        <v>61</v>
      </c>
      <c r="C18" s="155" t="s">
        <v>62</v>
      </c>
      <c r="D18" s="155"/>
      <c r="E18" s="156"/>
      <c r="F18" s="60" t="s">
        <v>159</v>
      </c>
      <c r="G18" s="61" t="s">
        <v>112</v>
      </c>
      <c r="H18" s="154" t="s">
        <v>83</v>
      </c>
      <c r="I18" s="154"/>
      <c r="J18" s="154"/>
      <c r="K18" s="154"/>
      <c r="L18" s="154"/>
      <c r="M18" s="154"/>
      <c r="N18" s="6"/>
      <c r="O18" s="104" t="s">
        <v>113</v>
      </c>
      <c r="P18" s="80"/>
      <c r="Q18" s="80"/>
      <c r="R18" s="80"/>
      <c r="S18" s="80"/>
      <c r="T18" s="80"/>
      <c r="U18" s="18"/>
      <c r="V18" s="18"/>
    </row>
    <row r="19" spans="1:27">
      <c r="A19" s="19"/>
      <c r="B19" s="68" t="s">
        <v>53</v>
      </c>
      <c r="C19" s="180"/>
      <c r="D19" s="181"/>
      <c r="E19" s="182"/>
      <c r="F19" s="91" t="str">
        <f>IF(G19&gt;0,"",O19)</f>
        <v/>
      </c>
      <c r="G19" s="32">
        <v>1</v>
      </c>
      <c r="H19" s="144"/>
      <c r="I19" s="144"/>
      <c r="J19" s="144"/>
      <c r="K19" s="144"/>
      <c r="L19" s="144"/>
      <c r="M19" s="144"/>
      <c r="N19" s="20"/>
      <c r="O19" s="74">
        <f>IF(C19="Technisch",1,IF(C19="Menschliche Faktoren",1,IF(C19="Umwelteinfluss",1,IF(C19="Dominoeffekt",1,IF(C19="Andere: Faktor eingeben","",0)))))</f>
        <v>0</v>
      </c>
      <c r="AA19" s="1"/>
    </row>
    <row r="20" spans="1:27">
      <c r="A20" s="19"/>
      <c r="B20" s="69" t="s">
        <v>103</v>
      </c>
      <c r="C20" s="174"/>
      <c r="D20" s="174"/>
      <c r="E20" s="175"/>
      <c r="F20" s="91">
        <f>IF(G20&gt;0,"",O20)</f>
        <v>0</v>
      </c>
      <c r="G20" s="32"/>
      <c r="H20" s="144"/>
      <c r="I20" s="144"/>
      <c r="J20" s="144"/>
      <c r="K20" s="144"/>
      <c r="L20" s="144"/>
      <c r="M20" s="144"/>
      <c r="N20" s="21"/>
      <c r="O20" s="74">
        <f>IF(C20="Runaway",0.5,IF(C20="Staubexplosion",0.2,IF(C20="Brand",0.05,IF(C20="Behälterversagen",0.25,IF(C20="Verpackungsleck",0.3,IF(C20="Andere: Faktor eingeben","",0))))))</f>
        <v>0</v>
      </c>
      <c r="AA20" s="1"/>
    </row>
    <row r="21" spans="1:27">
      <c r="A21" s="19"/>
      <c r="B21" s="70" t="s">
        <v>104</v>
      </c>
      <c r="C21" s="174"/>
      <c r="D21" s="174"/>
      <c r="E21" s="175"/>
      <c r="F21" s="91">
        <f t="shared" ref="F21:F23" si="1">IF(G21&gt;0,"",O21)</f>
        <v>0</v>
      </c>
      <c r="G21" s="32"/>
      <c r="H21" s="144"/>
      <c r="I21" s="144"/>
      <c r="J21" s="144"/>
      <c r="K21" s="144"/>
      <c r="L21" s="144"/>
      <c r="M21" s="144"/>
      <c r="N21" s="20"/>
      <c r="O21" s="74">
        <f>IF(C21="Blow-Down Tank",0.1,IF(C21="2nd Containment",0.5,IF(C21="HEPA-Filter",0.1,IF(C21="Keine Rückhaltung",1,IF(C21="Andere: Faktor eingeben","",0)))))</f>
        <v>0</v>
      </c>
      <c r="AA21" s="1"/>
    </row>
    <row r="22" spans="1:27">
      <c r="A22" s="19"/>
      <c r="B22" s="71" t="s">
        <v>54</v>
      </c>
      <c r="C22" s="183" t="str">
        <f>H5</f>
        <v>Ø ≈ 50 µm</v>
      </c>
      <c r="D22" s="184"/>
      <c r="E22" s="185"/>
      <c r="F22" s="158" t="s">
        <v>189</v>
      </c>
      <c r="G22" s="159"/>
      <c r="H22" s="160"/>
      <c r="I22" s="161"/>
      <c r="J22" s="161"/>
      <c r="K22" s="161"/>
      <c r="L22" s="161"/>
      <c r="M22" s="162"/>
      <c r="N22" s="20"/>
      <c r="O22" s="74"/>
      <c r="AA22" s="1"/>
    </row>
    <row r="23" spans="1:27" ht="15.75" thickBot="1">
      <c r="A23" s="19"/>
      <c r="B23" s="72" t="s">
        <v>101</v>
      </c>
      <c r="C23" s="176"/>
      <c r="D23" s="176"/>
      <c r="E23" s="177"/>
      <c r="F23" s="91">
        <f t="shared" si="1"/>
        <v>0</v>
      </c>
      <c r="G23" s="32"/>
      <c r="H23" s="144"/>
      <c r="I23" s="144"/>
      <c r="J23" s="144"/>
      <c r="K23" s="144"/>
      <c r="L23" s="144"/>
      <c r="M23" s="144"/>
      <c r="N23" s="20"/>
      <c r="O23" s="74">
        <f>IF(C23="Abblasleitung",1,IF(C23="Lüftung",0.2,IF(C23="Gebrochene Fenster/Wand",0.5,IF(C23="Gebäudeöffnung",0.3,IF(C23="Im Freien",1,IF(C23="Andere: Faktor eingeben","",0))))))</f>
        <v>0</v>
      </c>
      <c r="AA23" s="1"/>
    </row>
    <row r="24" spans="1:27" s="2" customFormat="1" ht="14.25" customHeight="1">
      <c r="A24" s="22"/>
      <c r="B24" s="172"/>
      <c r="C24" s="178" t="s">
        <v>56</v>
      </c>
      <c r="D24" s="178"/>
      <c r="E24" s="178"/>
      <c r="F24" s="24">
        <f>IF(V16=FALSE,"",V15)</f>
        <v>0</v>
      </c>
      <c r="G24" s="170" t="str">
        <f>IF(V16=FALSE,"Mindestens ein Faktor pro Parameter ist notwendig!",IF(O24&gt;0,"Nur ein Faktor pro Parameter!",""))</f>
        <v/>
      </c>
      <c r="H24" s="171"/>
      <c r="I24" s="171"/>
      <c r="J24" s="171"/>
      <c r="K24" s="171"/>
      <c r="L24" s="171"/>
      <c r="M24" s="171"/>
      <c r="P24" s="81"/>
      <c r="Q24" s="81"/>
      <c r="R24" s="81"/>
      <c r="S24" s="81"/>
      <c r="T24" s="81"/>
      <c r="AA24" s="1"/>
    </row>
    <row r="25" spans="1:27">
      <c r="A25" s="19"/>
      <c r="B25" s="173"/>
      <c r="C25" s="179" t="s">
        <v>55</v>
      </c>
      <c r="D25" s="179"/>
      <c r="E25" s="179"/>
      <c r="F25" s="87">
        <f>IF(V16=FALSE,"",F24*C4)</f>
        <v>0</v>
      </c>
      <c r="G25" s="163"/>
      <c r="H25" s="164"/>
      <c r="I25" s="164"/>
      <c r="J25" s="164"/>
      <c r="K25" s="164"/>
      <c r="L25" s="27"/>
      <c r="M25" s="26"/>
      <c r="N25" s="19"/>
      <c r="AA25" s="1"/>
    </row>
    <row r="26" spans="1:27" hidden="1"/>
    <row r="27" spans="1:27" s="74" customFormat="1" hidden="1">
      <c r="G27" s="103">
        <f>IF(F19="",0,F19)</f>
        <v>0</v>
      </c>
      <c r="H27" s="103">
        <f>IF(G19="",0,G19)</f>
        <v>1</v>
      </c>
      <c r="I27" s="74">
        <f>G27*H27</f>
        <v>0</v>
      </c>
    </row>
    <row r="28" spans="1:27" s="74" customFormat="1" hidden="1">
      <c r="G28" s="103">
        <f>IF(F20="",0,F20)</f>
        <v>0</v>
      </c>
      <c r="H28" s="103">
        <f>IF(G20="",0,G20)</f>
        <v>0</v>
      </c>
      <c r="I28" s="74">
        <f t="shared" ref="I28:I30" si="2">G28*H28</f>
        <v>0</v>
      </c>
    </row>
    <row r="29" spans="1:27" s="74" customFormat="1" hidden="1">
      <c r="G29" s="103">
        <f t="shared" ref="G29:H29" si="3">IF(F21="",0,F21)</f>
        <v>0</v>
      </c>
      <c r="H29" s="103">
        <f t="shared" si="3"/>
        <v>0</v>
      </c>
      <c r="I29" s="74">
        <f t="shared" si="2"/>
        <v>0</v>
      </c>
    </row>
    <row r="30" spans="1:27" s="74" customFormat="1" hidden="1">
      <c r="G30" s="103">
        <f t="shared" ref="G30:H30" si="4">IF(F23="",0,F23)</f>
        <v>0</v>
      </c>
      <c r="H30" s="103">
        <f t="shared" si="4"/>
        <v>0</v>
      </c>
      <c r="I30" s="74">
        <f t="shared" si="2"/>
        <v>0</v>
      </c>
    </row>
    <row r="32" spans="1:27" ht="11.25" customHeight="1"/>
    <row r="33" ht="14.25" customHeight="1"/>
  </sheetData>
  <sheetProtection algorithmName="SHA-512" hashValue="VnrV8Oiihe0LjDLj6DeNWe2VD77DtRSXI4BmC+MdUnziHLgCLL/rEMOxx5/QJwym1RgES6eK21UH95fpWlks+Q==" saltValue="u8lGrRiBWri00wO7xfIscw==" spinCount="100000" sheet="1" objects="1" scenarios="1"/>
  <customSheetViews>
    <customSheetView guid="{E3820482-98B5-49C5-A6A4-90144F59933E}" showGridLines="0" hiddenRows="1">
      <selection activeCell="O11" sqref="O11"/>
      <rowBreaks count="2" manualBreakCount="2">
        <brk id="20" max="16383" man="1"/>
        <brk id="33" max="16383" man="1"/>
      </rowBreaks>
      <pageMargins left="0.7" right="0.7" top="0.78740157499999996" bottom="0.78740157499999996" header="0.3" footer="0.3"/>
      <pageSetup paperSize="9" orientation="landscape" horizontalDpi="4294967293" r:id="rId1"/>
    </customSheetView>
  </customSheetViews>
  <mergeCells count="43">
    <mergeCell ref="H8:I8"/>
    <mergeCell ref="L1:M1"/>
    <mergeCell ref="E5:G5"/>
    <mergeCell ref="H5:I5"/>
    <mergeCell ref="I3:L3"/>
    <mergeCell ref="I4:L4"/>
    <mergeCell ref="E3:H3"/>
    <mergeCell ref="B1:K1"/>
    <mergeCell ref="B3:D3"/>
    <mergeCell ref="J5:K5"/>
    <mergeCell ref="D4:E4"/>
    <mergeCell ref="H20:M20"/>
    <mergeCell ref="G25:K25"/>
    <mergeCell ref="E6:E8"/>
    <mergeCell ref="F17:M17"/>
    <mergeCell ref="B17:E17"/>
    <mergeCell ref="G24:M24"/>
    <mergeCell ref="B24:B25"/>
    <mergeCell ref="C20:E20"/>
    <mergeCell ref="C21:E21"/>
    <mergeCell ref="C23:E23"/>
    <mergeCell ref="C24:E24"/>
    <mergeCell ref="C25:E25"/>
    <mergeCell ref="C19:E19"/>
    <mergeCell ref="C22:E22"/>
    <mergeCell ref="H19:M19"/>
    <mergeCell ref="J8:M8"/>
    <mergeCell ref="H21:M21"/>
    <mergeCell ref="H23:M23"/>
    <mergeCell ref="C2:D2"/>
    <mergeCell ref="F2:H2"/>
    <mergeCell ref="I2:K2"/>
    <mergeCell ref="L2:M2"/>
    <mergeCell ref="H7:I7"/>
    <mergeCell ref="G4:H4"/>
    <mergeCell ref="J6:K6"/>
    <mergeCell ref="J7:K7"/>
    <mergeCell ref="H18:M18"/>
    <mergeCell ref="C18:E18"/>
    <mergeCell ref="C9:E9"/>
    <mergeCell ref="F6:I6"/>
    <mergeCell ref="F22:G22"/>
    <mergeCell ref="H22:M22"/>
  </mergeCells>
  <conditionalFormatting sqref="M6">
    <cfRule type="cellIs" dxfId="40" priority="22" operator="lessThan">
      <formula>100</formula>
    </cfRule>
    <cfRule type="cellIs" dxfId="39" priority="50" operator="greaterThan">
      <formula>100</formula>
    </cfRule>
  </conditionalFormatting>
  <conditionalFormatting sqref="M7">
    <cfRule type="cellIs" dxfId="38" priority="3" operator="lessThan">
      <formula>0</formula>
    </cfRule>
    <cfRule type="cellIs" dxfId="37" priority="21" operator="lessThan">
      <formula>100</formula>
    </cfRule>
    <cfRule type="cellIs" dxfId="36" priority="49" operator="greaterThan">
      <formula>100</formula>
    </cfRule>
  </conditionalFormatting>
  <conditionalFormatting sqref="J8">
    <cfRule type="containsText" dxfId="35" priority="44" operator="containsText" text="Risikoermittlung notwendig">
      <formula>NOT(ISERROR(SEARCH("Risikoermittlung notwendig",J8)))</formula>
    </cfRule>
  </conditionalFormatting>
  <conditionalFormatting sqref="C9:E9">
    <cfRule type="containsText" dxfId="34" priority="40" operator="containsText" text="fehlerhafte Eingabe">
      <formula>NOT(ISERROR(SEARCH("fehlerhafte Eingabe",C9)))</formula>
    </cfRule>
    <cfRule type="containsText" dxfId="33" priority="41" operator="containsText" text="unvollständige Eingabe">
      <formula>NOT(ISERROR(SEARCH("unvollständige Eingabe",C9)))</formula>
    </cfRule>
    <cfRule type="containsText" dxfId="32" priority="43" operator="containsText" text="nicht">
      <formula>NOT(ISERROR(SEARCH("nicht",C9)))</formula>
    </cfRule>
  </conditionalFormatting>
  <conditionalFormatting sqref="J8">
    <cfRule type="containsText" dxfId="31" priority="42" operator="containsText" text="untersteht mit diesen Szenarien der StFV nicht">
      <formula>NOT(ISERROR(SEARCH("untersteht mit diesen Szenarien der StFV nicht",J8)))</formula>
    </cfRule>
  </conditionalFormatting>
  <conditionalFormatting sqref="J8 N9">
    <cfRule type="containsText" dxfId="30" priority="35" operator="containsText" text="kein HAS">
      <formula>NOT(ISERROR(SEARCH("kein HAS",J8)))</formula>
    </cfRule>
  </conditionalFormatting>
  <conditionalFormatting sqref="D6:D8">
    <cfRule type="containsText" dxfId="29" priority="24" operator="containsText" text="kein">
      <formula>NOT(ISERROR(SEARCH("kein",D6)))</formula>
    </cfRule>
    <cfRule type="containsText" dxfId="28" priority="25" operator="containsText" text="HAS">
      <formula>NOT(ISERROR(SEARCH("HAS",D6)))</formula>
    </cfRule>
    <cfRule type="containsText" dxfId="27" priority="34" operator="containsText" text="kein">
      <formula>NOT(ISERROR(SEARCH("kein",D6)))</formula>
    </cfRule>
  </conditionalFormatting>
  <conditionalFormatting sqref="D14">
    <cfRule type="containsText" dxfId="26" priority="32" operator="containsText" text="Bereich">
      <formula>NOT(ISERROR(SEARCH("Bereich",D14)))</formula>
    </cfRule>
  </conditionalFormatting>
  <conditionalFormatting sqref="J8:M8">
    <cfRule type="containsText" dxfId="25" priority="20" operator="containsText" text="keine">
      <formula>NOT(ISERROR(SEARCH("keine",J8)))</formula>
    </cfRule>
    <cfRule type="containsText" dxfId="24" priority="30" operator="containsText" text="Eingaben">
      <formula>NOT(ISERROR(SEARCH("Eingaben",J8)))</formula>
    </cfRule>
    <cfRule type="containsText" dxfId="23" priority="31" operator="containsText" text="Mengenschwelle">
      <formula>NOT(ISERROR(SEARCH("Mengenschwelle",J8)))</formula>
    </cfRule>
  </conditionalFormatting>
  <conditionalFormatting sqref="H7 F6">
    <cfRule type="containsText" dxfId="22" priority="4" operator="containsText" text="falsch">
      <formula>NOT(ISERROR(SEARCH("falsch",F6)))</formula>
    </cfRule>
    <cfRule type="containsText" dxfId="21" priority="27" operator="containsText" text="Mit">
      <formula>NOT(ISERROR(SEARCH("Mit",F6)))</formula>
    </cfRule>
  </conditionalFormatting>
  <conditionalFormatting sqref="E6:E8">
    <cfRule type="containsText" dxfId="20" priority="23" operator="containsText" text="nur">
      <formula>NOT(ISERROR(SEARCH("nur",E6)))</formula>
    </cfRule>
  </conditionalFormatting>
  <conditionalFormatting sqref="F17:M17">
    <cfRule type="containsText" dxfId="19" priority="1" operator="containsText" text="extrem">
      <formula>NOT(ISERROR(SEARCH("extrem",F17)))</formula>
    </cfRule>
    <cfRule type="containsText" dxfId="18" priority="17" operator="containsText" text="extreme">
      <formula>NOT(ISERROR(SEARCH("extreme",F17)))</formula>
    </cfRule>
  </conditionalFormatting>
  <conditionalFormatting sqref="C19:E19">
    <cfRule type="containsText" dxfId="17" priority="16" operator="containsText" text="Andere">
      <formula>NOT(ISERROR(SEARCH("Andere",C19)))</formula>
    </cfRule>
  </conditionalFormatting>
  <conditionalFormatting sqref="C19:E21 C23:E23">
    <cfRule type="containsText" dxfId="16" priority="15" operator="containsText" text="Andere">
      <formula>NOT(ISERROR(SEARCH("Andere",C19)))</formula>
    </cfRule>
  </conditionalFormatting>
  <conditionalFormatting sqref="G24:M24">
    <cfRule type="containsText" dxfId="15" priority="14" operator="containsText" text="Faktor">
      <formula>NOT(ISERROR(SEARCH("Faktor",G24)))</formula>
    </cfRule>
  </conditionalFormatting>
  <conditionalFormatting sqref="B24:B25">
    <cfRule type="containsText" dxfId="14" priority="13" operator="containsText" text="Obergrenze">
      <formula>NOT(ISERROR(SEARCH("Obergrenze",B24)))</formula>
    </cfRule>
  </conditionalFormatting>
  <conditionalFormatting sqref="G19">
    <cfRule type="cellIs" dxfId="13" priority="11" operator="greaterThan">
      <formula>1</formula>
    </cfRule>
  </conditionalFormatting>
  <conditionalFormatting sqref="G20">
    <cfRule type="cellIs" dxfId="12" priority="10" operator="greaterThan">
      <formula>1</formula>
    </cfRule>
  </conditionalFormatting>
  <conditionalFormatting sqref="G21">
    <cfRule type="cellIs" dxfId="11" priority="9" operator="greaterThan">
      <formula>1</formula>
    </cfRule>
  </conditionalFormatting>
  <conditionalFormatting sqref="G23">
    <cfRule type="cellIs" dxfId="10" priority="8" operator="greaterThan">
      <formula>1</formula>
    </cfRule>
  </conditionalFormatting>
  <conditionalFormatting sqref="F6:I6">
    <cfRule type="containsText" dxfId="9" priority="2" operator="containsText" text="Ø">
      <formula>NOT(ISERROR(SEARCH("Ø",F6)))</formula>
    </cfRule>
  </conditionalFormatting>
  <dataValidations count="11">
    <dataValidation type="decimal" allowBlank="1" showInputMessage="1" showErrorMessage="1" sqref="AA19">
      <formula1>0</formula1>
      <formula2>1</formula2>
    </dataValidation>
    <dataValidation type="list" allowBlank="1" showInputMessage="1" showErrorMessage="1" sqref="C20">
      <formula1>$O$11:$T$11</formula1>
    </dataValidation>
    <dataValidation type="list" allowBlank="1" showInputMessage="1" showErrorMessage="1" sqref="C21">
      <formula1>$O$12:$S$12</formula1>
    </dataValidation>
    <dataValidation type="list" allowBlank="1" showInputMessage="1" showErrorMessage="1" sqref="C19">
      <formula1>$O$10:$S$10</formula1>
    </dataValidation>
    <dataValidation type="list" allowBlank="1" showInputMessage="1" showErrorMessage="1" sqref="C8">
      <formula1>$C$14:$E$14</formula1>
    </dataValidation>
    <dataValidation type="decimal" allowBlank="1" showInputMessage="1" showErrorMessage="1" prompt="Standard 0.11" sqref="M3">
      <formula1>0</formula1>
      <formula2>1</formula2>
    </dataValidation>
    <dataValidation type="decimal" allowBlank="1" showInputMessage="1" showErrorMessage="1" prompt="Standard 0.4" sqref="F4">
      <formula1>0.02</formula1>
      <formula2>500</formula2>
    </dataValidation>
    <dataValidation type="list" allowBlank="1" showInputMessage="1" showErrorMessage="1" sqref="C23:E23">
      <formula1>$O$13:$T$13</formula1>
    </dataValidation>
    <dataValidation type="list" allowBlank="1" showInputMessage="1" showErrorMessage="1" prompt="Standard Ø ≤ 10" sqref="H5:I5">
      <formula1>$F$10:$F$16</formula1>
    </dataValidation>
    <dataValidation allowBlank="1" showInputMessage="1" showErrorMessage="1" prompt="Standard 1000" sqref="M4"/>
    <dataValidation allowBlank="1" showInputMessage="1" showErrorMessage="1" prompt="≥ 20" sqref="C4"/>
  </dataValidations>
  <hyperlinks>
    <hyperlink ref="B19" location="Szenarien!B5" display="Auslöser"/>
    <hyperlink ref="B20" location="Szenarien!B9" display="Systemfehler"/>
    <hyperlink ref="B21" location="Szenarien!B14" display="Systembarriere"/>
    <hyperlink ref="B23" location="Szenarien!B24" display="Emission"/>
    <hyperlink ref="G4:H4" location="'lokale Korrekturen'!A1" display="Korrekturen"/>
    <hyperlink ref="B1:K1" location="StFV!B2" display="Untersteht der Betrieb der StFV (Anhang 1, Art. 5) für hochaktive Stoffe (HAS) ?"/>
    <hyperlink ref="I3:L3" location="Erklärungen!B2" display="Anteil Personen im Freien"/>
    <hyperlink ref="C24:E24" location="Erklärungen!B10" display="Faktor total"/>
    <hyperlink ref="B17:E17" location="Erklärungen!B22" display="Beispiele: Szenarien mit passiven Massnahmen"/>
    <hyperlink ref="B8" location="StFV!B10" display="c) CMR                  Klasse 1 od. 2"/>
    <hyperlink ref="M5" location="Erklärungen!B29" display="Anzahl Verletzte"/>
    <hyperlink ref="L5" location="Erklärungen!B32" display="Distanz (km)"/>
    <hyperlink ref="B22" location="Szenarien!B18" display="Freisetzung"/>
    <hyperlink ref="I4:L4" location="Erklärungen!B13" display="Mittlere Bevölkerungsdichte (P/km²)"/>
    <hyperlink ref="J7:K7" location="Szenarien!J2" display="mit Szenarien"/>
    <hyperlink ref="B18" location="Szenarien!B4" display="Wahl   (Parameter)"/>
    <hyperlink ref="C18:E18" location="Szenarien!C4" display="Wahl                         (Komponente)"/>
    <hyperlink ref="B4" location="StFV!B3" display="Menge HAS (kg)"/>
    <hyperlink ref="B6" location="StFV!B8" display="a) OEL/MAK/TLV               &lt; 10 μg/m³"/>
    <hyperlink ref="B7" location="StFV!B9" display="b) ED₅₀                                  ≤ 10 mg/Tag"/>
    <hyperlink ref="F18" location="Erklärungen!B34" display="Quellstärke Faktor"/>
    <hyperlink ref="G18" location="Erklärungen!B36" display="Anderer Faktor "/>
  </hyperlinks>
  <pageMargins left="0.7" right="0.7" top="0.78740157499999996" bottom="0.78740157499999996" header="0.3" footer="0.3"/>
  <pageSetup paperSize="9" orientation="landscape" horizontalDpi="4294967293" r:id="rId2"/>
  <headerFooter>
    <oddHeader>&amp;L&amp;G</oddHeader>
  </headerFooter>
  <rowBreaks count="1" manualBreakCount="1">
    <brk id="25"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zoomScale="70" zoomScaleNormal="70" workbookViewId="0">
      <selection activeCell="E6" sqref="E6:F8"/>
    </sheetView>
  </sheetViews>
  <sheetFormatPr baseColWidth="10" defaultRowHeight="15"/>
  <cols>
    <col min="1" max="1" width="6.140625" customWidth="1"/>
    <col min="2" max="2" width="36.85546875" customWidth="1"/>
    <col min="10" max="10" width="10.7109375" hidden="1" customWidth="1"/>
    <col min="11" max="11" width="0" hidden="1" customWidth="1"/>
  </cols>
  <sheetData>
    <row r="1" spans="1:11" ht="15.75" thickBot="1"/>
    <row r="2" spans="1:11" ht="15.75" thickBot="1">
      <c r="B2" s="25" t="s">
        <v>64</v>
      </c>
      <c r="C2" s="51" t="s">
        <v>34</v>
      </c>
      <c r="E2" s="198" t="s">
        <v>99</v>
      </c>
      <c r="F2" s="198"/>
      <c r="G2" s="198"/>
      <c r="H2" s="198"/>
    </row>
    <row r="3" spans="1:11">
      <c r="B3" s="15"/>
      <c r="C3" s="6"/>
      <c r="E3" s="196" t="s">
        <v>100</v>
      </c>
      <c r="F3" s="196"/>
      <c r="G3" s="196"/>
      <c r="H3" s="196"/>
      <c r="I3" s="5"/>
    </row>
    <row r="4" spans="1:11" ht="15.75" thickBot="1">
      <c r="B4" s="57" t="s">
        <v>139</v>
      </c>
      <c r="C4" s="14">
        <f>Ausmass!M4</f>
        <v>1000</v>
      </c>
      <c r="D4" s="216" t="s">
        <v>145</v>
      </c>
      <c r="E4" s="217"/>
      <c r="F4" s="5"/>
      <c r="G4" s="5"/>
      <c r="H4" s="5"/>
      <c r="I4" s="5"/>
    </row>
    <row r="5" spans="1:11">
      <c r="B5" s="57"/>
      <c r="C5" s="218" t="s">
        <v>192</v>
      </c>
      <c r="D5" s="219"/>
      <c r="E5" s="220" t="s">
        <v>193</v>
      </c>
      <c r="F5" s="221"/>
      <c r="G5" s="222" t="s">
        <v>194</v>
      </c>
      <c r="H5" s="223"/>
      <c r="I5" s="5"/>
    </row>
    <row r="6" spans="1:11" ht="15.75" thickBot="1">
      <c r="B6" s="128" t="s">
        <v>35</v>
      </c>
      <c r="C6" s="208"/>
      <c r="D6" s="209"/>
      <c r="E6" s="208"/>
      <c r="F6" s="209"/>
      <c r="G6" s="208"/>
      <c r="H6" s="209"/>
      <c r="I6" s="122" t="s">
        <v>29</v>
      </c>
      <c r="J6" t="s">
        <v>179</v>
      </c>
    </row>
    <row r="7" spans="1:11" ht="15.75" thickBot="1">
      <c r="B7" s="129"/>
      <c r="C7" s="119" t="s">
        <v>36</v>
      </c>
      <c r="D7" s="120" t="s">
        <v>37</v>
      </c>
      <c r="E7" s="133" t="s">
        <v>38</v>
      </c>
      <c r="F7" s="134" t="s">
        <v>39</v>
      </c>
      <c r="G7" s="126" t="s">
        <v>40</v>
      </c>
      <c r="H7" s="127" t="s">
        <v>41</v>
      </c>
      <c r="I7" s="123">
        <f>IF(C2="nein",Ausmass!L6,Ausmass!L7)</f>
        <v>0</v>
      </c>
      <c r="J7">
        <f>I7*0.177*2*I7/2</f>
        <v>0</v>
      </c>
    </row>
    <row r="8" spans="1:11" ht="15.75" thickBot="1">
      <c r="B8" s="130" t="s">
        <v>30</v>
      </c>
      <c r="C8" s="121"/>
      <c r="D8" s="118"/>
      <c r="E8" s="121"/>
      <c r="F8" s="118"/>
      <c r="G8" s="121"/>
      <c r="H8" s="118"/>
      <c r="I8" s="12"/>
    </row>
    <row r="9" spans="1:11">
      <c r="B9" s="131" t="s">
        <v>33</v>
      </c>
      <c r="C9" s="210">
        <f>IF(C6="",0,(D8+C8)/2*0.177*2*(D8-C8))</f>
        <v>0</v>
      </c>
      <c r="D9" s="211"/>
      <c r="E9" s="212">
        <f>IF(E6="",0,(F8+E8)/2*0.177*2*(F8-E8))</f>
        <v>0</v>
      </c>
      <c r="F9" s="213"/>
      <c r="G9" s="214">
        <f>IF(G8&gt;I7,0,IF(G6="",0,IF(H8&gt;I7,(I7+G8)/2*0.177*2*(I7-G8),(H8+G8)/2*0.177*2*(H8-G8))))</f>
        <v>0</v>
      </c>
      <c r="H9" s="215"/>
      <c r="I9" s="124" t="s">
        <v>31</v>
      </c>
      <c r="J9" s="11">
        <f>SUM(C9:H9)</f>
        <v>0</v>
      </c>
    </row>
    <row r="10" spans="1:11" ht="15.75" thickBot="1">
      <c r="B10" s="132" t="s">
        <v>32</v>
      </c>
      <c r="C10" s="202">
        <f>C16</f>
        <v>0</v>
      </c>
      <c r="D10" s="203"/>
      <c r="E10" s="204">
        <f>E16</f>
        <v>0</v>
      </c>
      <c r="F10" s="205"/>
      <c r="G10" s="206">
        <f>G16</f>
        <v>0</v>
      </c>
      <c r="H10" s="207"/>
      <c r="I10" s="125">
        <f>SUM(C10:H10)</f>
        <v>0</v>
      </c>
      <c r="J10" s="85">
        <f>C4*J7*Ausmass!M3</f>
        <v>0</v>
      </c>
      <c r="K10" t="s">
        <v>180</v>
      </c>
    </row>
    <row r="11" spans="1:11" ht="45" customHeight="1">
      <c r="A11" s="5"/>
      <c r="B11" s="5"/>
      <c r="C11" s="13"/>
      <c r="D11" s="13" t="str">
        <f>IF(D8&gt;I7,"obere Grenze zu hoch",IF(D8&gt;E8, "obere Grenze zu hoch",""))</f>
        <v/>
      </c>
      <c r="E11" s="13"/>
      <c r="F11" s="13" t="str">
        <f>IF(F8&gt;I7,"obere Grenze zu hoch",IF(F8&gt;G8, "obere Grenze zu hoch",""))</f>
        <v/>
      </c>
      <c r="G11" s="13" t="str">
        <f>IF(G8&gt;I7, "untere Grenze zu hoch","")</f>
        <v/>
      </c>
      <c r="H11" s="13" t="str">
        <f>IF(H8&gt;I7, "obere Grenze zu hoch","")</f>
        <v/>
      </c>
      <c r="I11" s="31" t="s">
        <v>28</v>
      </c>
      <c r="J11" s="86">
        <f>J10+I10</f>
        <v>0</v>
      </c>
    </row>
    <row r="12" spans="1:11" hidden="1">
      <c r="A12" s="5"/>
      <c r="B12" s="5"/>
      <c r="C12" s="5" t="s">
        <v>59</v>
      </c>
      <c r="D12" s="5" t="s">
        <v>34</v>
      </c>
      <c r="E12" s="5"/>
      <c r="F12" s="5"/>
      <c r="G12" s="5"/>
      <c r="H12" s="5"/>
      <c r="I12" s="5">
        <f>IF(C2="ja",I10,0)</f>
        <v>0</v>
      </c>
    </row>
    <row r="13" spans="1:11" hidden="1">
      <c r="A13" s="5"/>
      <c r="B13" s="5" t="s">
        <v>42</v>
      </c>
      <c r="C13" s="5">
        <f>IF(Ausmass!J12=0,0,Ausmass!J12/(I7*0.1782*2*I7/2))</f>
        <v>0</v>
      </c>
      <c r="D13" s="5"/>
      <c r="E13" s="5"/>
      <c r="F13" s="5"/>
      <c r="G13" s="5"/>
      <c r="H13" s="5"/>
      <c r="I13" s="5"/>
    </row>
    <row r="14" spans="1:11" hidden="1">
      <c r="A14" s="5"/>
      <c r="B14" s="5"/>
      <c r="C14" s="5">
        <f>C9*C4</f>
        <v>0</v>
      </c>
      <c r="D14" s="5"/>
      <c r="E14">
        <f>E9*C4</f>
        <v>0</v>
      </c>
      <c r="F14" s="5"/>
      <c r="G14" s="5">
        <f>G9*C4</f>
        <v>0</v>
      </c>
      <c r="H14" s="5"/>
      <c r="I14" s="5">
        <f>SUM(C14:G14)*Ausmass!M3</f>
        <v>0</v>
      </c>
    </row>
    <row r="15" spans="1:11" hidden="1">
      <c r="A15" s="5"/>
      <c r="B15" s="5"/>
      <c r="C15" s="5">
        <f>C9*C6</f>
        <v>0</v>
      </c>
      <c r="E15">
        <f>E9*E6</f>
        <v>0</v>
      </c>
      <c r="F15" s="5"/>
      <c r="G15" s="5">
        <f>G9*G6</f>
        <v>0</v>
      </c>
      <c r="H15" s="5"/>
      <c r="I15" s="5">
        <f>SUM(C15:G15)*Ausmass!M3</f>
        <v>0</v>
      </c>
    </row>
    <row r="16" spans="1:11" hidden="1">
      <c r="A16" s="5"/>
      <c r="B16" s="5"/>
      <c r="C16" s="5">
        <f>(C15-C14)*Ausmass!M3</f>
        <v>0</v>
      </c>
      <c r="D16" s="5"/>
      <c r="E16" s="5">
        <f>(E15-E14)*Ausmass!M3</f>
        <v>0</v>
      </c>
      <c r="F16" s="5"/>
      <c r="G16" s="5">
        <f>(G15-G14)*Ausmass!M3</f>
        <v>0</v>
      </c>
      <c r="H16" s="5"/>
      <c r="I16">
        <f>I14-I15</f>
        <v>0</v>
      </c>
    </row>
    <row r="17" spans="1:9" hidden="1">
      <c r="A17" s="5"/>
      <c r="B17" s="5"/>
      <c r="C17" s="5"/>
      <c r="D17" s="5"/>
      <c r="E17" s="5"/>
      <c r="F17" s="5"/>
      <c r="G17" s="5"/>
      <c r="H17" s="5"/>
      <c r="I17" s="5">
        <f>SUM(C16:H16)*Ausmass!M3</f>
        <v>0</v>
      </c>
    </row>
    <row r="18" spans="1:9" ht="15.75" thickBot="1">
      <c r="A18" s="5"/>
      <c r="B18" s="5"/>
      <c r="C18" s="5"/>
      <c r="D18" s="5"/>
      <c r="E18" s="5"/>
      <c r="F18" s="5"/>
      <c r="G18" s="5"/>
      <c r="H18" s="5"/>
      <c r="I18" s="5"/>
    </row>
    <row r="19" spans="1:9">
      <c r="A19" s="5"/>
      <c r="B19" s="135" t="s">
        <v>195</v>
      </c>
      <c r="C19" s="136"/>
      <c r="D19" s="136"/>
      <c r="E19" s="136"/>
      <c r="F19" s="136"/>
      <c r="G19" s="137"/>
      <c r="H19" s="5"/>
      <c r="I19" s="5"/>
    </row>
    <row r="20" spans="1:9">
      <c r="B20" s="138"/>
      <c r="C20" s="139"/>
      <c r="D20" s="139"/>
      <c r="E20" s="139"/>
      <c r="F20" s="139"/>
      <c r="G20" s="140"/>
    </row>
    <row r="21" spans="1:9">
      <c r="B21" s="138"/>
      <c r="C21" s="139"/>
      <c r="D21" s="139"/>
      <c r="E21" s="139"/>
      <c r="F21" s="139"/>
      <c r="G21" s="140"/>
    </row>
    <row r="22" spans="1:9">
      <c r="B22" s="138"/>
      <c r="C22" s="139"/>
      <c r="D22" s="139"/>
      <c r="E22" s="139"/>
      <c r="F22" s="139"/>
      <c r="G22" s="140"/>
    </row>
    <row r="23" spans="1:9">
      <c r="B23" s="138"/>
      <c r="C23" s="139"/>
      <c r="D23" s="139"/>
      <c r="E23" s="139"/>
      <c r="F23" s="139"/>
      <c r="G23" s="140"/>
    </row>
    <row r="24" spans="1:9">
      <c r="B24" s="138"/>
      <c r="C24" s="139"/>
      <c r="D24" s="139"/>
      <c r="E24" s="139"/>
      <c r="F24" s="139"/>
      <c r="G24" s="140"/>
    </row>
    <row r="25" spans="1:9">
      <c r="B25" s="138"/>
      <c r="C25" s="139"/>
      <c r="D25" s="139"/>
      <c r="E25" s="139"/>
      <c r="F25" s="139"/>
      <c r="G25" s="140"/>
    </row>
    <row r="26" spans="1:9">
      <c r="B26" s="138"/>
      <c r="C26" s="139"/>
      <c r="D26" s="139"/>
      <c r="E26" s="139"/>
      <c r="F26" s="139"/>
      <c r="G26" s="140"/>
    </row>
    <row r="27" spans="1:9">
      <c r="B27" s="138"/>
      <c r="C27" s="139"/>
      <c r="D27" s="139"/>
      <c r="E27" s="139"/>
      <c r="F27" s="139"/>
      <c r="G27" s="140"/>
    </row>
    <row r="28" spans="1:9">
      <c r="B28" s="138"/>
      <c r="C28" s="139"/>
      <c r="D28" s="139"/>
      <c r="E28" s="139"/>
      <c r="F28" s="139"/>
      <c r="G28" s="140"/>
    </row>
    <row r="29" spans="1:9">
      <c r="B29" s="138"/>
      <c r="C29" s="139"/>
      <c r="D29" s="139"/>
      <c r="E29" s="139"/>
      <c r="F29" s="139"/>
      <c r="G29" s="140"/>
    </row>
    <row r="30" spans="1:9">
      <c r="B30" s="138"/>
      <c r="C30" s="139"/>
      <c r="D30" s="139"/>
      <c r="E30" s="139"/>
      <c r="F30" s="139"/>
      <c r="G30" s="140"/>
    </row>
    <row r="31" spans="1:9">
      <c r="B31" s="138"/>
      <c r="C31" s="139"/>
      <c r="D31" s="139"/>
      <c r="E31" s="139"/>
      <c r="F31" s="139"/>
      <c r="G31" s="140"/>
    </row>
    <row r="32" spans="1:9">
      <c r="B32" s="138"/>
      <c r="C32" s="139"/>
      <c r="D32" s="139"/>
      <c r="E32" s="139"/>
      <c r="F32" s="139"/>
      <c r="G32" s="140"/>
    </row>
    <row r="33" spans="2:7">
      <c r="B33" s="138"/>
      <c r="C33" s="139"/>
      <c r="D33" s="139"/>
      <c r="E33" s="139"/>
      <c r="F33" s="139"/>
      <c r="G33" s="140"/>
    </row>
    <row r="34" spans="2:7">
      <c r="B34" s="138"/>
      <c r="C34" s="139"/>
      <c r="D34" s="139"/>
      <c r="E34" s="139"/>
      <c r="F34" s="139"/>
      <c r="G34" s="140"/>
    </row>
    <row r="35" spans="2:7">
      <c r="B35" s="138"/>
      <c r="C35" s="139"/>
      <c r="D35" s="139"/>
      <c r="E35" s="139"/>
      <c r="F35" s="139"/>
      <c r="G35" s="140"/>
    </row>
    <row r="36" spans="2:7">
      <c r="B36" s="138"/>
      <c r="C36" s="139"/>
      <c r="D36" s="139"/>
      <c r="E36" s="139"/>
      <c r="F36" s="139"/>
      <c r="G36" s="140"/>
    </row>
    <row r="37" spans="2:7" ht="15.75" thickBot="1">
      <c r="B37" s="141"/>
      <c r="C37" s="142"/>
      <c r="D37" s="142"/>
      <c r="E37" s="142"/>
      <c r="F37" s="142"/>
      <c r="G37" s="143"/>
    </row>
  </sheetData>
  <sheetProtection algorithmName="SHA-512" hashValue="UiRZho2eJM9rfuyMr/2EW/wL8Gs8NM6HAzjEF4HfyuJxZfXYa2aelQ7FQNogrqvf5k0tR4j6UG/b0WEAneZV2w==" saltValue="V9Um0isqY4eZp2bniDu8gw==" spinCount="100000" sheet="1" objects="1" scenarios="1"/>
  <mergeCells count="15">
    <mergeCell ref="E2:H2"/>
    <mergeCell ref="E3:H3"/>
    <mergeCell ref="C10:D10"/>
    <mergeCell ref="E10:F10"/>
    <mergeCell ref="G10:H10"/>
    <mergeCell ref="C6:D6"/>
    <mergeCell ref="E6:F6"/>
    <mergeCell ref="G6:H6"/>
    <mergeCell ref="C9:D9"/>
    <mergeCell ref="E9:F9"/>
    <mergeCell ref="G9:H9"/>
    <mergeCell ref="D4:E4"/>
    <mergeCell ref="C5:D5"/>
    <mergeCell ref="E5:F5"/>
    <mergeCell ref="G5:H5"/>
  </mergeCells>
  <conditionalFormatting sqref="E11">
    <cfRule type="containsText" dxfId="8" priority="9" operator="containsText" text="Über-lappung">
      <formula>NOT(ISERROR(SEARCH("Über-lappung",E11)))</formula>
    </cfRule>
  </conditionalFormatting>
  <conditionalFormatting sqref="G11:H11">
    <cfRule type="containsText" dxfId="7" priority="8" operator="containsText" text="Grenze">
      <formula>NOT(ISERROR(SEARCH("Grenze",G11)))</formula>
    </cfRule>
  </conditionalFormatting>
  <conditionalFormatting sqref="F11">
    <cfRule type="containsText" dxfId="6" priority="7" operator="containsText" text="Grenze">
      <formula>NOT(ISERROR(SEARCH("Grenze",F11)))</formula>
    </cfRule>
  </conditionalFormatting>
  <conditionalFormatting sqref="D11">
    <cfRule type="containsText" dxfId="5" priority="6" operator="containsText" text="Grenze">
      <formula>NOT(ISERROR(SEARCH("Grenze",D11)))</formula>
    </cfRule>
  </conditionalFormatting>
  <conditionalFormatting sqref="C2">
    <cfRule type="containsText" dxfId="4" priority="5" operator="containsText" text="ja">
      <formula>NOT(ISERROR(SEARCH("ja",C2)))</formula>
    </cfRule>
  </conditionalFormatting>
  <conditionalFormatting sqref="C6:D6">
    <cfRule type="cellIs" dxfId="3" priority="1" operator="lessThan">
      <formula>0</formula>
    </cfRule>
    <cfRule type="cellIs" dxfId="2" priority="4" operator="lessThan">
      <formula>0</formula>
    </cfRule>
  </conditionalFormatting>
  <conditionalFormatting sqref="E6:F6">
    <cfRule type="cellIs" dxfId="1" priority="3" operator="lessThan">
      <formula>0</formula>
    </cfRule>
  </conditionalFormatting>
  <conditionalFormatting sqref="G6:H6">
    <cfRule type="cellIs" dxfId="0" priority="2" operator="lessThan">
      <formula>0</formula>
    </cfRule>
  </conditionalFormatting>
  <dataValidations disablePrompts="1" count="1">
    <dataValidation type="list" allowBlank="1" showInputMessage="1" showErrorMessage="1" sqref="C2">
      <formula1>$C$12:$D$12</formula1>
    </dataValidation>
  </dataValidations>
  <hyperlinks>
    <hyperlink ref="I11" location="Ausmass!B1" display="zurück"/>
    <hyperlink ref="B4" location="Erklärungen!B13" display="Mittlere Bevölkerungsdichte (P/km²)"/>
    <hyperlink ref="I6" location="Erklärungen!A1" display="d max (km)"/>
  </hyperlinks>
  <pageMargins left="0.7" right="0.7" top="0.78740157499999996" bottom="0.78740157499999996" header="0.3" footer="0.3"/>
  <pageSetup paperSize="9" scale="83" orientation="landscape" horizontalDpi="4294967293"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7"/>
  <sheetViews>
    <sheetView showGridLines="0" topLeftCell="A10" zoomScale="80" zoomScaleNormal="80" workbookViewId="0">
      <selection activeCell="C6" sqref="C6:O8"/>
    </sheetView>
  </sheetViews>
  <sheetFormatPr baseColWidth="10" defaultRowHeight="15"/>
  <cols>
    <col min="1" max="1" width="4.140625" customWidth="1"/>
    <col min="2" max="2" width="13" customWidth="1"/>
  </cols>
  <sheetData>
    <row r="1" spans="2:15">
      <c r="B1" s="5"/>
      <c r="C1" s="5"/>
      <c r="D1" s="5"/>
      <c r="E1" s="5"/>
      <c r="F1" s="5"/>
      <c r="G1" s="5"/>
      <c r="H1" s="5"/>
      <c r="I1" s="5"/>
      <c r="J1" s="5"/>
      <c r="K1" s="5"/>
      <c r="L1" s="5"/>
      <c r="M1" s="5"/>
      <c r="N1" s="5"/>
      <c r="O1" s="5"/>
    </row>
    <row r="2" spans="2:15" ht="15.75">
      <c r="B2" s="260" t="s">
        <v>44</v>
      </c>
      <c r="C2" s="260"/>
      <c r="D2" s="260"/>
      <c r="E2" s="260"/>
      <c r="F2" s="260"/>
      <c r="G2" s="260"/>
      <c r="H2" s="260"/>
      <c r="I2" s="260"/>
      <c r="J2" s="259" t="s">
        <v>142</v>
      </c>
      <c r="K2" s="259"/>
      <c r="L2" s="259"/>
      <c r="M2" s="259"/>
      <c r="N2" s="259"/>
      <c r="O2" s="259"/>
    </row>
    <row r="3" spans="2:15" ht="15.75">
      <c r="B3" s="105"/>
      <c r="C3" s="105"/>
      <c r="D3" s="105"/>
      <c r="E3" s="105"/>
      <c r="F3" s="105"/>
      <c r="G3" s="105"/>
      <c r="H3" s="105"/>
      <c r="I3" s="105"/>
      <c r="J3" s="88"/>
      <c r="K3" s="88"/>
      <c r="L3" s="88"/>
      <c r="M3" s="88"/>
      <c r="N3" s="88"/>
      <c r="O3" s="88"/>
    </row>
    <row r="4" spans="2:15" ht="15.75" thickBot="1">
      <c r="B4" s="106" t="s">
        <v>143</v>
      </c>
      <c r="C4" s="261" t="s">
        <v>144</v>
      </c>
      <c r="D4" s="261"/>
      <c r="E4" s="261"/>
      <c r="F4" s="261"/>
      <c r="G4" s="261"/>
      <c r="H4" s="261"/>
      <c r="I4" s="261"/>
      <c r="J4" s="261"/>
      <c r="K4" s="261"/>
      <c r="L4" s="261"/>
      <c r="M4" s="261"/>
      <c r="N4" s="261"/>
      <c r="O4" s="261"/>
    </row>
    <row r="5" spans="2:15" ht="17.100000000000001" customHeight="1">
      <c r="B5" s="229" t="s">
        <v>125</v>
      </c>
      <c r="C5" s="232" t="s">
        <v>116</v>
      </c>
      <c r="D5" s="232"/>
      <c r="E5" s="232"/>
      <c r="F5" s="232"/>
      <c r="G5" s="232"/>
      <c r="H5" s="232"/>
      <c r="I5" s="232"/>
      <c r="J5" s="232"/>
      <c r="K5" s="232"/>
      <c r="L5" s="232"/>
      <c r="M5" s="232"/>
      <c r="N5" s="232"/>
      <c r="O5" s="233"/>
    </row>
    <row r="6" spans="2:15" ht="17.100000000000001" customHeight="1">
      <c r="B6" s="230"/>
      <c r="C6" s="234" t="s">
        <v>117</v>
      </c>
      <c r="D6" s="234"/>
      <c r="E6" s="234"/>
      <c r="F6" s="234"/>
      <c r="G6" s="234"/>
      <c r="H6" s="234"/>
      <c r="I6" s="234"/>
      <c r="J6" s="234"/>
      <c r="K6" s="234"/>
      <c r="L6" s="234"/>
      <c r="M6" s="234"/>
      <c r="N6" s="234"/>
      <c r="O6" s="235"/>
    </row>
    <row r="7" spans="2:15" ht="17.100000000000001" customHeight="1">
      <c r="B7" s="230"/>
      <c r="C7" s="234" t="s">
        <v>118</v>
      </c>
      <c r="D7" s="234"/>
      <c r="E7" s="234"/>
      <c r="F7" s="234"/>
      <c r="G7" s="234"/>
      <c r="H7" s="234"/>
      <c r="I7" s="234"/>
      <c r="J7" s="234"/>
      <c r="K7" s="234"/>
      <c r="L7" s="234"/>
      <c r="M7" s="234"/>
      <c r="N7" s="234"/>
      <c r="O7" s="235"/>
    </row>
    <row r="8" spans="2:15" ht="17.100000000000001" customHeight="1" thickBot="1">
      <c r="B8" s="231"/>
      <c r="C8" s="247" t="s">
        <v>119</v>
      </c>
      <c r="D8" s="247"/>
      <c r="E8" s="247"/>
      <c r="F8" s="247"/>
      <c r="G8" s="247"/>
      <c r="H8" s="247"/>
      <c r="I8" s="247"/>
      <c r="J8" s="247"/>
      <c r="K8" s="247"/>
      <c r="L8" s="247"/>
      <c r="M8" s="247"/>
      <c r="N8" s="247"/>
      <c r="O8" s="248"/>
    </row>
    <row r="9" spans="2:15" ht="15" customHeight="1">
      <c r="B9" s="271" t="s">
        <v>126</v>
      </c>
      <c r="C9" s="249" t="s">
        <v>120</v>
      </c>
      <c r="D9" s="249"/>
      <c r="E9" s="249"/>
      <c r="F9" s="249"/>
      <c r="G9" s="249"/>
      <c r="H9" s="249"/>
      <c r="I9" s="249"/>
      <c r="J9" s="249"/>
      <c r="K9" s="249"/>
      <c r="L9" s="249"/>
      <c r="M9" s="249"/>
      <c r="N9" s="249"/>
      <c r="O9" s="250"/>
    </row>
    <row r="10" spans="2:15" ht="29.25" customHeight="1">
      <c r="B10" s="272"/>
      <c r="C10" s="238" t="s">
        <v>121</v>
      </c>
      <c r="D10" s="238"/>
      <c r="E10" s="238"/>
      <c r="F10" s="238"/>
      <c r="G10" s="238"/>
      <c r="H10" s="238"/>
      <c r="I10" s="238"/>
      <c r="J10" s="238"/>
      <c r="K10" s="238"/>
      <c r="L10" s="238"/>
      <c r="M10" s="238"/>
      <c r="N10" s="238"/>
      <c r="O10" s="239"/>
    </row>
    <row r="11" spans="2:15" ht="28.5" customHeight="1">
      <c r="B11" s="272"/>
      <c r="C11" s="238" t="s">
        <v>122</v>
      </c>
      <c r="D11" s="238"/>
      <c r="E11" s="238"/>
      <c r="F11" s="238"/>
      <c r="G11" s="238"/>
      <c r="H11" s="238"/>
      <c r="I11" s="238"/>
      <c r="J11" s="238"/>
      <c r="K11" s="238"/>
      <c r="L11" s="238"/>
      <c r="M11" s="238"/>
      <c r="N11" s="238"/>
      <c r="O11" s="239"/>
    </row>
    <row r="12" spans="2:15">
      <c r="B12" s="272"/>
      <c r="C12" s="238" t="s">
        <v>123</v>
      </c>
      <c r="D12" s="238"/>
      <c r="E12" s="238"/>
      <c r="F12" s="238"/>
      <c r="G12" s="238"/>
      <c r="H12" s="238"/>
      <c r="I12" s="238"/>
      <c r="J12" s="238"/>
      <c r="K12" s="238"/>
      <c r="L12" s="238"/>
      <c r="M12" s="238"/>
      <c r="N12" s="238"/>
      <c r="O12" s="239"/>
    </row>
    <row r="13" spans="2:15" ht="29.25" customHeight="1" thickBot="1">
      <c r="B13" s="273"/>
      <c r="C13" s="238" t="s">
        <v>124</v>
      </c>
      <c r="D13" s="238"/>
      <c r="E13" s="238"/>
      <c r="F13" s="238"/>
      <c r="G13" s="238"/>
      <c r="H13" s="238"/>
      <c r="I13" s="238"/>
      <c r="J13" s="238"/>
      <c r="K13" s="238"/>
      <c r="L13" s="238"/>
      <c r="M13" s="238"/>
      <c r="N13" s="238"/>
      <c r="O13" s="239"/>
    </row>
    <row r="14" spans="2:15" ht="20.100000000000001" customHeight="1">
      <c r="B14" s="224" t="s">
        <v>127</v>
      </c>
      <c r="C14" s="236" t="s">
        <v>10</v>
      </c>
      <c r="D14" s="236"/>
      <c r="E14" s="236"/>
      <c r="F14" s="236"/>
      <c r="G14" s="236"/>
      <c r="H14" s="236"/>
      <c r="I14" s="236"/>
      <c r="J14" s="236"/>
      <c r="K14" s="236"/>
      <c r="L14" s="236"/>
      <c r="M14" s="236"/>
      <c r="N14" s="236"/>
      <c r="O14" s="237"/>
    </row>
    <row r="15" spans="2:15" ht="20.100000000000001" customHeight="1">
      <c r="B15" s="225"/>
      <c r="C15" s="245" t="s">
        <v>181</v>
      </c>
      <c r="D15" s="245"/>
      <c r="E15" s="245"/>
      <c r="F15" s="245"/>
      <c r="G15" s="245"/>
      <c r="H15" s="245"/>
      <c r="I15" s="245"/>
      <c r="J15" s="245"/>
      <c r="K15" s="245"/>
      <c r="L15" s="245"/>
      <c r="M15" s="245"/>
      <c r="N15" s="245"/>
      <c r="O15" s="246"/>
    </row>
    <row r="16" spans="2:15" ht="20.100000000000001" customHeight="1">
      <c r="B16" s="225"/>
      <c r="C16" s="245" t="s">
        <v>11</v>
      </c>
      <c r="D16" s="245"/>
      <c r="E16" s="245"/>
      <c r="F16" s="245"/>
      <c r="G16" s="245"/>
      <c r="H16" s="245"/>
      <c r="I16" s="245"/>
      <c r="J16" s="245"/>
      <c r="K16" s="245"/>
      <c r="L16" s="245"/>
      <c r="M16" s="245"/>
      <c r="N16" s="245"/>
      <c r="O16" s="246"/>
    </row>
    <row r="17" spans="2:15" ht="20.100000000000001" customHeight="1" thickBot="1">
      <c r="B17" s="226"/>
      <c r="C17" s="245" t="s">
        <v>12</v>
      </c>
      <c r="D17" s="245"/>
      <c r="E17" s="245"/>
      <c r="F17" s="245"/>
      <c r="G17" s="245"/>
      <c r="H17" s="245"/>
      <c r="I17" s="245"/>
      <c r="J17" s="245"/>
      <c r="K17" s="245"/>
      <c r="L17" s="245"/>
      <c r="M17" s="245"/>
      <c r="N17" s="245"/>
      <c r="O17" s="246"/>
    </row>
    <row r="18" spans="2:15" ht="15" customHeight="1">
      <c r="B18" s="224" t="s">
        <v>128</v>
      </c>
      <c r="C18" s="240" t="s">
        <v>110</v>
      </c>
      <c r="D18" s="240"/>
      <c r="E18" s="240"/>
      <c r="F18" s="240"/>
      <c r="G18" s="240"/>
      <c r="H18" s="240"/>
      <c r="I18" s="240"/>
      <c r="J18" s="240"/>
      <c r="K18" s="240"/>
      <c r="L18" s="240"/>
      <c r="M18" s="240"/>
      <c r="N18" s="240"/>
      <c r="O18" s="241"/>
    </row>
    <row r="19" spans="2:15">
      <c r="B19" s="225"/>
      <c r="C19" s="227" t="s">
        <v>183</v>
      </c>
      <c r="D19" s="227"/>
      <c r="E19" s="227"/>
      <c r="F19" s="227"/>
      <c r="G19" s="227"/>
      <c r="H19" s="227"/>
      <c r="I19" s="227"/>
      <c r="J19" s="227"/>
      <c r="K19" s="227"/>
      <c r="L19" s="227"/>
      <c r="M19" s="227"/>
      <c r="N19" s="227"/>
      <c r="O19" s="228"/>
    </row>
    <row r="20" spans="2:15" ht="15" customHeight="1">
      <c r="B20" s="225"/>
      <c r="C20" s="227" t="s">
        <v>184</v>
      </c>
      <c r="D20" s="227"/>
      <c r="E20" s="227"/>
      <c r="F20" s="227"/>
      <c r="G20" s="227"/>
      <c r="H20" s="227"/>
      <c r="I20" s="227"/>
      <c r="J20" s="227"/>
      <c r="K20" s="227"/>
      <c r="L20" s="227"/>
      <c r="M20" s="227"/>
      <c r="N20" s="227"/>
      <c r="O20" s="228"/>
    </row>
    <row r="21" spans="2:15" ht="15" customHeight="1">
      <c r="B21" s="225"/>
      <c r="C21" s="227" t="s">
        <v>185</v>
      </c>
      <c r="D21" s="227"/>
      <c r="E21" s="227"/>
      <c r="F21" s="227"/>
      <c r="G21" s="227"/>
      <c r="H21" s="227"/>
      <c r="I21" s="227"/>
      <c r="J21" s="227"/>
      <c r="K21" s="227"/>
      <c r="L21" s="227"/>
      <c r="M21" s="227"/>
      <c r="N21" s="227"/>
      <c r="O21" s="228"/>
    </row>
    <row r="22" spans="2:15" ht="15" customHeight="1">
      <c r="B22" s="225"/>
      <c r="C22" s="227" t="s">
        <v>182</v>
      </c>
      <c r="D22" s="227"/>
      <c r="E22" s="227"/>
      <c r="F22" s="227"/>
      <c r="G22" s="227"/>
      <c r="H22" s="227"/>
      <c r="I22" s="227"/>
      <c r="J22" s="227"/>
      <c r="K22" s="227"/>
      <c r="L22" s="227"/>
      <c r="M22" s="227"/>
      <c r="N22" s="227"/>
      <c r="O22" s="228"/>
    </row>
    <row r="23" spans="2:15" ht="15.75" thickBot="1">
      <c r="B23" s="226"/>
      <c r="C23" s="242" t="s">
        <v>102</v>
      </c>
      <c r="D23" s="243"/>
      <c r="E23" s="243"/>
      <c r="F23" s="243"/>
      <c r="G23" s="243"/>
      <c r="H23" s="243"/>
      <c r="I23" s="243"/>
      <c r="J23" s="243"/>
      <c r="K23" s="243"/>
      <c r="L23" s="243"/>
      <c r="M23" s="243"/>
      <c r="N23" s="243"/>
      <c r="O23" s="244"/>
    </row>
    <row r="24" spans="2:15" ht="15" customHeight="1">
      <c r="B24" s="274" t="s">
        <v>138</v>
      </c>
      <c r="C24" s="253" t="s">
        <v>13</v>
      </c>
      <c r="D24" s="253"/>
      <c r="E24" s="253"/>
      <c r="F24" s="253"/>
      <c r="G24" s="253"/>
      <c r="H24" s="253"/>
      <c r="I24" s="253"/>
      <c r="J24" s="253"/>
      <c r="K24" s="253"/>
      <c r="L24" s="253"/>
      <c r="M24" s="253"/>
      <c r="N24" s="253"/>
      <c r="O24" s="254"/>
    </row>
    <row r="25" spans="2:15">
      <c r="B25" s="275"/>
      <c r="C25" s="255" t="s">
        <v>14</v>
      </c>
      <c r="D25" s="255"/>
      <c r="E25" s="255"/>
      <c r="F25" s="255"/>
      <c r="G25" s="255"/>
      <c r="H25" s="255"/>
      <c r="I25" s="255"/>
      <c r="J25" s="255"/>
      <c r="K25" s="255"/>
      <c r="L25" s="255"/>
      <c r="M25" s="255"/>
      <c r="N25" s="255"/>
      <c r="O25" s="256"/>
    </row>
    <row r="26" spans="2:15">
      <c r="B26" s="275"/>
      <c r="C26" s="257" t="s">
        <v>20</v>
      </c>
      <c r="D26" s="257"/>
      <c r="E26" s="257"/>
      <c r="F26" s="257"/>
      <c r="G26" s="257"/>
      <c r="H26" s="257"/>
      <c r="I26" s="257"/>
      <c r="J26" s="257"/>
      <c r="K26" s="257"/>
      <c r="L26" s="257"/>
      <c r="M26" s="257"/>
      <c r="N26" s="257"/>
      <c r="O26" s="258"/>
    </row>
    <row r="27" spans="2:15">
      <c r="B27" s="275"/>
      <c r="C27" s="255" t="s">
        <v>15</v>
      </c>
      <c r="D27" s="255"/>
      <c r="E27" s="255"/>
      <c r="F27" s="255"/>
      <c r="G27" s="255"/>
      <c r="H27" s="255"/>
      <c r="I27" s="255"/>
      <c r="J27" s="255"/>
      <c r="K27" s="255"/>
      <c r="L27" s="255"/>
      <c r="M27" s="255"/>
      <c r="N27" s="255"/>
      <c r="O27" s="256"/>
    </row>
    <row r="28" spans="2:15" ht="15.75" thickBot="1">
      <c r="B28" s="275"/>
      <c r="C28" s="255" t="s">
        <v>16</v>
      </c>
      <c r="D28" s="255"/>
      <c r="E28" s="255"/>
      <c r="F28" s="255"/>
      <c r="G28" s="255"/>
      <c r="H28" s="255"/>
      <c r="I28" s="255"/>
      <c r="J28" s="255"/>
      <c r="K28" s="255"/>
      <c r="L28" s="255"/>
      <c r="M28" s="255"/>
      <c r="N28" s="255"/>
      <c r="O28" s="256"/>
    </row>
    <row r="29" spans="2:15" ht="36.75" customHeight="1">
      <c r="B29" s="262" t="s">
        <v>129</v>
      </c>
      <c r="C29" s="265" t="s">
        <v>132</v>
      </c>
      <c r="D29" s="265"/>
      <c r="E29" s="265"/>
      <c r="F29" s="265"/>
      <c r="G29" s="265"/>
      <c r="H29" s="265"/>
      <c r="I29" s="265"/>
      <c r="J29" s="265"/>
      <c r="K29" s="265"/>
      <c r="L29" s="265"/>
      <c r="M29" s="265"/>
      <c r="N29" s="265"/>
      <c r="O29" s="266"/>
    </row>
    <row r="30" spans="2:15" ht="42.75" customHeight="1" thickBot="1">
      <c r="B30" s="264"/>
      <c r="C30" s="251" t="s">
        <v>133</v>
      </c>
      <c r="D30" s="251"/>
      <c r="E30" s="251"/>
      <c r="F30" s="251"/>
      <c r="G30" s="251"/>
      <c r="H30" s="251"/>
      <c r="I30" s="251"/>
      <c r="J30" s="251"/>
      <c r="K30" s="251"/>
      <c r="L30" s="251"/>
      <c r="M30" s="251"/>
      <c r="N30" s="251"/>
      <c r="O30" s="252"/>
    </row>
    <row r="31" spans="2:15" ht="33" customHeight="1">
      <c r="B31" s="262" t="s">
        <v>130</v>
      </c>
      <c r="C31" s="265" t="s">
        <v>134</v>
      </c>
      <c r="D31" s="265"/>
      <c r="E31" s="265"/>
      <c r="F31" s="265"/>
      <c r="G31" s="265"/>
      <c r="H31" s="265"/>
      <c r="I31" s="265"/>
      <c r="J31" s="265"/>
      <c r="K31" s="265"/>
      <c r="L31" s="265"/>
      <c r="M31" s="265"/>
      <c r="N31" s="265"/>
      <c r="O31" s="266"/>
    </row>
    <row r="32" spans="2:15" ht="34.5" customHeight="1" thickBot="1">
      <c r="B32" s="264"/>
      <c r="C32" s="251" t="s">
        <v>135</v>
      </c>
      <c r="D32" s="251"/>
      <c r="E32" s="251"/>
      <c r="F32" s="251"/>
      <c r="G32" s="251"/>
      <c r="H32" s="251"/>
      <c r="I32" s="251"/>
      <c r="J32" s="251"/>
      <c r="K32" s="251"/>
      <c r="L32" s="251"/>
      <c r="M32" s="251"/>
      <c r="N32" s="251"/>
      <c r="O32" s="252"/>
    </row>
    <row r="33" spans="2:15" ht="30" customHeight="1">
      <c r="B33" s="262" t="s">
        <v>131</v>
      </c>
      <c r="C33" s="267" t="s">
        <v>158</v>
      </c>
      <c r="D33" s="267"/>
      <c r="E33" s="267"/>
      <c r="F33" s="267"/>
      <c r="G33" s="267"/>
      <c r="H33" s="267"/>
      <c r="I33" s="267"/>
      <c r="J33" s="267"/>
      <c r="K33" s="267"/>
      <c r="L33" s="267"/>
      <c r="M33" s="267"/>
      <c r="N33" s="267"/>
      <c r="O33" s="268"/>
    </row>
    <row r="34" spans="2:15" ht="18" customHeight="1">
      <c r="B34" s="263"/>
      <c r="C34" s="269" t="s">
        <v>136</v>
      </c>
      <c r="D34" s="269"/>
      <c r="E34" s="269"/>
      <c r="F34" s="269"/>
      <c r="G34" s="269"/>
      <c r="H34" s="269"/>
      <c r="I34" s="269"/>
      <c r="J34" s="269"/>
      <c r="K34" s="269"/>
      <c r="L34" s="269"/>
      <c r="M34" s="269"/>
      <c r="N34" s="269"/>
      <c r="O34" s="270"/>
    </row>
    <row r="35" spans="2:15" ht="45" customHeight="1" thickBot="1">
      <c r="B35" s="264"/>
      <c r="C35" s="251" t="s">
        <v>137</v>
      </c>
      <c r="D35" s="251"/>
      <c r="E35" s="251"/>
      <c r="F35" s="251"/>
      <c r="G35" s="251"/>
      <c r="H35" s="251"/>
      <c r="I35" s="251"/>
      <c r="J35" s="251"/>
      <c r="K35" s="251"/>
      <c r="L35" s="251"/>
      <c r="M35" s="251"/>
      <c r="N35" s="251"/>
      <c r="O35" s="252"/>
    </row>
    <row r="36" spans="2:15">
      <c r="B36" s="5"/>
      <c r="C36" s="5"/>
      <c r="D36" s="5"/>
      <c r="E36" s="5"/>
      <c r="F36" s="5"/>
      <c r="G36" s="5"/>
      <c r="H36" s="5"/>
      <c r="I36" s="5"/>
      <c r="J36" s="5"/>
      <c r="K36" s="5"/>
      <c r="L36" s="5"/>
      <c r="M36" s="5"/>
      <c r="N36" s="5"/>
      <c r="O36" s="5"/>
    </row>
    <row r="37" spans="2:15">
      <c r="B37" s="5"/>
      <c r="C37" s="107" t="s">
        <v>28</v>
      </c>
      <c r="D37" s="5"/>
      <c r="E37" s="5"/>
      <c r="F37" s="5"/>
      <c r="G37" s="5"/>
      <c r="H37" s="5"/>
      <c r="I37" s="5"/>
      <c r="J37" s="5"/>
      <c r="K37" s="5"/>
      <c r="L37" s="5"/>
      <c r="M37" s="5"/>
      <c r="N37" s="5"/>
      <c r="O37" s="5"/>
    </row>
  </sheetData>
  <sheetProtection algorithmName="SHA-512" hashValue="cFD7VyGtxzVrBjwRAiokSIPuST6ZMSHIsTtE6VowO1zOREJ831guuL87xt7BIQKXqdU5p2IjxWdXxcm0SvIEtQ==" saltValue="KjNIf+uOKR3cFgT7QuZtIg==" spinCount="100000" sheet="1" objects="1" scenarios="1"/>
  <mergeCells count="42">
    <mergeCell ref="J2:O2"/>
    <mergeCell ref="B2:I2"/>
    <mergeCell ref="C4:O4"/>
    <mergeCell ref="B33:B35"/>
    <mergeCell ref="C29:O29"/>
    <mergeCell ref="C31:O31"/>
    <mergeCell ref="C32:O32"/>
    <mergeCell ref="C33:O33"/>
    <mergeCell ref="C34:O34"/>
    <mergeCell ref="C35:O35"/>
    <mergeCell ref="B9:B13"/>
    <mergeCell ref="B14:B17"/>
    <mergeCell ref="B24:B28"/>
    <mergeCell ref="B29:B30"/>
    <mergeCell ref="B31:B32"/>
    <mergeCell ref="C13:O13"/>
    <mergeCell ref="C9:O9"/>
    <mergeCell ref="C30:O30"/>
    <mergeCell ref="C17:O17"/>
    <mergeCell ref="C24:O24"/>
    <mergeCell ref="C25:O25"/>
    <mergeCell ref="C26:O26"/>
    <mergeCell ref="C27:O27"/>
    <mergeCell ref="C28:O28"/>
    <mergeCell ref="C12:O12"/>
    <mergeCell ref="C15:O15"/>
    <mergeCell ref="B18:B23"/>
    <mergeCell ref="C21:O21"/>
    <mergeCell ref="C22:O22"/>
    <mergeCell ref="B5:B8"/>
    <mergeCell ref="C5:O5"/>
    <mergeCell ref="C6:O6"/>
    <mergeCell ref="C7:O7"/>
    <mergeCell ref="C14:O14"/>
    <mergeCell ref="C10:O10"/>
    <mergeCell ref="C11:O11"/>
    <mergeCell ref="C18:O18"/>
    <mergeCell ref="C19:O19"/>
    <mergeCell ref="C20:O20"/>
    <mergeCell ref="C23:O23"/>
    <mergeCell ref="C16:O16"/>
    <mergeCell ref="C8:O8"/>
  </mergeCells>
  <hyperlinks>
    <hyperlink ref="C37" location="Ausmass!B1" display="zurück"/>
    <hyperlink ref="C33:O33" location="TEEL!B5" display="Schwerwiegender Effekt (Definition der Verletzten): Die exponierten Personen erleiden eine schwerwiegende, lang andauernde oder fluchtbehindernde Wirkung, entsprechend der Definition des TEEL-2-Werts"/>
  </hyperlinks>
  <pageMargins left="0.7" right="0.7" top="0.78740157499999996" bottom="0.78740157499999996" header="0.3" footer="0.3"/>
  <pageSetup paperSize="9" scale="65" orientation="landscape" horizontalDpi="4294967293" r:id="rId1"/>
  <headerFooter>
    <oddHeader>&amp;L&amp;G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showGridLines="0" topLeftCell="A9" workbookViewId="0">
      <selection activeCell="G42" sqref="G42"/>
    </sheetView>
  </sheetViews>
  <sheetFormatPr baseColWidth="10" defaultRowHeight="15"/>
  <cols>
    <col min="1" max="1" width="5" customWidth="1"/>
    <col min="2" max="2" width="14.140625" customWidth="1"/>
    <col min="3" max="3" width="13.5703125" customWidth="1"/>
  </cols>
  <sheetData>
    <row r="1" spans="1:7" ht="15.75" thickBot="1">
      <c r="A1" s="5"/>
      <c r="B1" s="5"/>
      <c r="C1" s="5"/>
      <c r="D1" s="5"/>
      <c r="E1" s="5"/>
      <c r="F1" s="5"/>
      <c r="G1" s="5"/>
    </row>
    <row r="2" spans="1:7">
      <c r="A2" s="5"/>
      <c r="B2" s="297" t="s">
        <v>78</v>
      </c>
      <c r="C2" s="298"/>
      <c r="D2" s="294" t="s">
        <v>71</v>
      </c>
      <c r="E2" s="295"/>
      <c r="F2" s="295" t="s">
        <v>72</v>
      </c>
      <c r="G2" s="296"/>
    </row>
    <row r="3" spans="1:7">
      <c r="A3" s="5"/>
      <c r="B3" s="5"/>
      <c r="C3" s="5"/>
      <c r="D3" s="49" t="s">
        <v>73</v>
      </c>
      <c r="E3" s="45" t="s">
        <v>65</v>
      </c>
      <c r="F3" s="45" t="s">
        <v>73</v>
      </c>
      <c r="G3" s="50" t="s">
        <v>65</v>
      </c>
    </row>
    <row r="4" spans="1:7" ht="15.75" thickBot="1">
      <c r="A4" s="5"/>
      <c r="B4" s="33" t="s">
        <v>66</v>
      </c>
      <c r="C4" s="34" t="s">
        <v>77</v>
      </c>
      <c r="D4" s="280" t="s">
        <v>76</v>
      </c>
      <c r="E4" s="281"/>
      <c r="F4" s="281" t="s">
        <v>76</v>
      </c>
      <c r="G4" s="282"/>
    </row>
    <row r="5" spans="1:7">
      <c r="A5" s="5"/>
      <c r="B5" s="278" t="s">
        <v>67</v>
      </c>
      <c r="C5" s="35" t="s">
        <v>69</v>
      </c>
      <c r="D5" s="36">
        <v>0.3</v>
      </c>
      <c r="E5" s="37">
        <v>0.11</v>
      </c>
      <c r="F5" s="37">
        <v>0.8</v>
      </c>
      <c r="G5" s="38" t="s">
        <v>74</v>
      </c>
    </row>
    <row r="6" spans="1:7">
      <c r="A6" s="5"/>
      <c r="B6" s="279"/>
      <c r="C6" s="34" t="s">
        <v>70</v>
      </c>
      <c r="D6" s="39">
        <v>0.6</v>
      </c>
      <c r="E6" s="33">
        <v>0.11</v>
      </c>
      <c r="F6" s="33">
        <v>0.05</v>
      </c>
      <c r="G6" s="40" t="s">
        <v>74</v>
      </c>
    </row>
    <row r="7" spans="1:7">
      <c r="A7" s="5"/>
      <c r="B7" s="299" t="s">
        <v>68</v>
      </c>
      <c r="C7" s="34" t="s">
        <v>69</v>
      </c>
      <c r="D7" s="39">
        <v>0.9</v>
      </c>
      <c r="E7" s="33">
        <v>0.01</v>
      </c>
      <c r="F7" s="33">
        <v>0.05</v>
      </c>
      <c r="G7" s="40" t="s">
        <v>75</v>
      </c>
    </row>
    <row r="8" spans="1:7" ht="15.75" thickBot="1">
      <c r="A8" s="5"/>
      <c r="B8" s="300"/>
      <c r="C8" s="41" t="s">
        <v>70</v>
      </c>
      <c r="D8" s="42">
        <v>1</v>
      </c>
      <c r="E8" s="43">
        <v>0.01</v>
      </c>
      <c r="F8" s="43">
        <v>1E-3</v>
      </c>
      <c r="G8" s="44" t="s">
        <v>75</v>
      </c>
    </row>
    <row r="9" spans="1:7">
      <c r="A9" s="5"/>
      <c r="B9" s="5"/>
      <c r="C9" s="5"/>
      <c r="D9" s="5"/>
      <c r="E9" s="5"/>
      <c r="F9" s="5"/>
      <c r="G9" s="5"/>
    </row>
    <row r="10" spans="1:7" hidden="1">
      <c r="A10" s="5"/>
      <c r="B10" s="301" t="s">
        <v>86</v>
      </c>
      <c r="C10" s="301"/>
      <c r="D10" s="301"/>
      <c r="E10" s="301"/>
      <c r="F10" s="301"/>
      <c r="G10" s="301"/>
    </row>
    <row r="11" spans="1:7" hidden="1">
      <c r="A11" s="5"/>
      <c r="B11" s="301"/>
      <c r="C11" s="301"/>
      <c r="D11" s="301"/>
      <c r="E11" s="301"/>
      <c r="F11" s="301"/>
      <c r="G11" s="301"/>
    </row>
    <row r="12" spans="1:7" hidden="1">
      <c r="A12" s="5"/>
      <c r="B12" s="46"/>
      <c r="C12" s="46"/>
      <c r="D12" s="46"/>
      <c r="E12" s="46"/>
      <c r="F12" s="46"/>
      <c r="G12" s="46"/>
    </row>
    <row r="13" spans="1:7" ht="15.75" thickBot="1">
      <c r="A13" s="5"/>
      <c r="B13" s="302" t="s">
        <v>95</v>
      </c>
      <c r="C13" s="302"/>
      <c r="D13" s="302"/>
      <c r="E13" s="46"/>
      <c r="F13" s="46"/>
      <c r="G13" s="46"/>
    </row>
    <row r="14" spans="1:7" ht="15.75" thickBot="1">
      <c r="A14" s="5"/>
      <c r="B14" s="283" t="s">
        <v>87</v>
      </c>
      <c r="C14" s="284"/>
      <c r="D14" s="284"/>
      <c r="E14" s="284"/>
      <c r="F14" s="284" t="s">
        <v>176</v>
      </c>
      <c r="G14" s="292"/>
    </row>
    <row r="15" spans="1:7" ht="15" customHeight="1">
      <c r="A15" s="5"/>
      <c r="B15" s="285" t="s">
        <v>88</v>
      </c>
      <c r="C15" s="286"/>
      <c r="D15" s="286"/>
      <c r="E15" s="286"/>
      <c r="F15" s="286">
        <v>500</v>
      </c>
      <c r="G15" s="293"/>
    </row>
    <row r="16" spans="1:7" ht="15" customHeight="1">
      <c r="A16" s="5"/>
      <c r="B16" s="291" t="s">
        <v>89</v>
      </c>
      <c r="C16" s="289"/>
      <c r="D16" s="289"/>
      <c r="E16" s="289"/>
      <c r="F16" s="289">
        <v>1000</v>
      </c>
      <c r="G16" s="290"/>
    </row>
    <row r="17" spans="1:12" ht="15" customHeight="1">
      <c r="A17" s="5"/>
      <c r="B17" s="291" t="s">
        <v>90</v>
      </c>
      <c r="C17" s="289"/>
      <c r="D17" s="289"/>
      <c r="E17" s="289"/>
      <c r="F17" s="289">
        <v>2000</v>
      </c>
      <c r="G17" s="290"/>
    </row>
    <row r="18" spans="1:12" ht="15" customHeight="1">
      <c r="A18" s="5"/>
      <c r="B18" s="291" t="s">
        <v>91</v>
      </c>
      <c r="C18" s="289"/>
      <c r="D18" s="289"/>
      <c r="E18" s="289"/>
      <c r="F18" s="289">
        <v>4000</v>
      </c>
      <c r="G18" s="290"/>
    </row>
    <row r="19" spans="1:12" ht="15" customHeight="1">
      <c r="A19" s="5"/>
      <c r="B19" s="291" t="s">
        <v>92</v>
      </c>
      <c r="C19" s="289"/>
      <c r="D19" s="289"/>
      <c r="E19" s="289"/>
      <c r="F19" s="289">
        <v>8000</v>
      </c>
      <c r="G19" s="290"/>
    </row>
    <row r="20" spans="1:12" ht="15" customHeight="1" thickBot="1">
      <c r="A20" s="5"/>
      <c r="B20" s="304" t="s">
        <v>93</v>
      </c>
      <c r="C20" s="287"/>
      <c r="D20" s="287"/>
      <c r="E20" s="287"/>
      <c r="F20" s="287">
        <v>16000</v>
      </c>
      <c r="G20" s="288"/>
    </row>
    <row r="21" spans="1:12">
      <c r="A21" s="5"/>
      <c r="B21" s="303"/>
      <c r="C21" s="303"/>
      <c r="D21" s="303"/>
      <c r="E21" s="46"/>
      <c r="F21" s="46"/>
      <c r="G21" s="46"/>
    </row>
    <row r="22" spans="1:12">
      <c r="A22" s="5"/>
      <c r="B22" s="307" t="s">
        <v>140</v>
      </c>
      <c r="C22" s="307"/>
      <c r="D22" s="307"/>
      <c r="E22" s="307"/>
      <c r="F22" s="307"/>
      <c r="G22" s="307"/>
    </row>
    <row r="23" spans="1:12" ht="15.75" thickBot="1">
      <c r="A23" s="5"/>
      <c r="B23" s="5"/>
      <c r="C23" s="5"/>
      <c r="D23" s="5"/>
      <c r="E23" s="5"/>
      <c r="F23" s="5"/>
      <c r="G23" s="5"/>
    </row>
    <row r="24" spans="1:12" ht="15.75" thickBot="1">
      <c r="A24" s="5"/>
      <c r="B24" s="261" t="s">
        <v>141</v>
      </c>
      <c r="C24" s="315"/>
      <c r="D24" s="316" t="s">
        <v>79</v>
      </c>
      <c r="E24" s="317"/>
      <c r="F24" s="295" t="s">
        <v>80</v>
      </c>
      <c r="G24" s="296"/>
    </row>
    <row r="25" spans="1:12">
      <c r="A25" s="5"/>
      <c r="B25" s="294" t="s">
        <v>94</v>
      </c>
      <c r="C25" s="296"/>
      <c r="D25" s="314" t="s">
        <v>168</v>
      </c>
      <c r="E25" s="312"/>
      <c r="F25" s="312" t="s">
        <v>168</v>
      </c>
      <c r="G25" s="313"/>
      <c r="L25" s="58"/>
    </row>
    <row r="26" spans="1:12">
      <c r="A26" s="5"/>
      <c r="B26" s="308" t="s">
        <v>96</v>
      </c>
      <c r="C26" s="309"/>
      <c r="D26" s="314" t="s">
        <v>81</v>
      </c>
      <c r="E26" s="312"/>
      <c r="F26" s="312" t="s">
        <v>81</v>
      </c>
      <c r="G26" s="313"/>
      <c r="L26" s="59"/>
    </row>
    <row r="27" spans="1:12" ht="15.75" thickBot="1">
      <c r="A27" s="5"/>
      <c r="B27" s="310" t="s">
        <v>97</v>
      </c>
      <c r="C27" s="311"/>
      <c r="D27" s="280" t="s">
        <v>82</v>
      </c>
      <c r="E27" s="281"/>
      <c r="F27" s="281" t="s">
        <v>82</v>
      </c>
      <c r="G27" s="282"/>
    </row>
    <row r="28" spans="1:12">
      <c r="A28" s="5"/>
      <c r="B28" s="5"/>
      <c r="C28" s="5"/>
      <c r="D28" s="5"/>
      <c r="E28" s="5"/>
      <c r="F28" s="5"/>
      <c r="G28" s="5"/>
    </row>
    <row r="29" spans="1:12" ht="15" customHeight="1">
      <c r="A29" s="5"/>
      <c r="B29" s="305" t="s">
        <v>162</v>
      </c>
      <c r="C29" s="305"/>
      <c r="D29" s="305"/>
      <c r="E29" s="305"/>
      <c r="F29" s="305"/>
      <c r="G29" s="305"/>
    </row>
    <row r="30" spans="1:12">
      <c r="A30" s="5"/>
      <c r="B30" s="305"/>
      <c r="C30" s="305"/>
      <c r="D30" s="305"/>
      <c r="E30" s="305"/>
      <c r="F30" s="305"/>
      <c r="G30" s="305"/>
    </row>
    <row r="31" spans="1:12">
      <c r="A31" s="5"/>
      <c r="B31" s="5"/>
      <c r="C31" s="5"/>
      <c r="D31" s="5"/>
      <c r="E31" s="5"/>
      <c r="F31" s="5"/>
      <c r="G31" s="5"/>
    </row>
    <row r="32" spans="1:12" ht="70.5" customHeight="1">
      <c r="B32" s="306" t="s">
        <v>173</v>
      </c>
      <c r="C32" s="306"/>
      <c r="D32" s="306"/>
      <c r="E32" s="306"/>
      <c r="F32" s="306"/>
      <c r="G32" s="306"/>
    </row>
    <row r="33" spans="1:7">
      <c r="A33" s="5"/>
      <c r="B33" s="5"/>
      <c r="C33" s="5"/>
      <c r="D33" s="5"/>
      <c r="E33" s="5"/>
      <c r="F33" s="5"/>
      <c r="G33" s="5"/>
    </row>
    <row r="34" spans="1:7" ht="46.5" customHeight="1">
      <c r="A34" s="5"/>
      <c r="B34" s="276" t="s">
        <v>160</v>
      </c>
      <c r="C34" s="276"/>
      <c r="D34" s="276"/>
      <c r="E34" s="276"/>
      <c r="F34" s="276"/>
      <c r="G34" s="276"/>
    </row>
    <row r="36" spans="1:7" ht="28.5" customHeight="1">
      <c r="B36" s="277" t="s">
        <v>161</v>
      </c>
      <c r="C36" s="277"/>
      <c r="D36" s="277"/>
      <c r="E36" s="277"/>
      <c r="F36" s="277"/>
      <c r="G36" s="277"/>
    </row>
    <row r="38" spans="1:7">
      <c r="B38" s="31" t="s">
        <v>28</v>
      </c>
    </row>
  </sheetData>
  <sheetProtection algorithmName="SHA-512" hashValue="3bIG/ke2gyzYdcccxzzLvY9I9vY76ufXfBtz6uWXojZldJs+WZ0aMqzEOx+oMhUKZGv+H8dF4Abxjn6++FkrCg==" saltValue="uIziEK94dX6fobzx4Io35w==" spinCount="100000" sheet="1" objects="1" scenarios="1"/>
  <mergeCells count="41">
    <mergeCell ref="B29:G30"/>
    <mergeCell ref="B32:G32"/>
    <mergeCell ref="B22:G22"/>
    <mergeCell ref="B25:C25"/>
    <mergeCell ref="B26:C26"/>
    <mergeCell ref="B27:C27"/>
    <mergeCell ref="F24:G24"/>
    <mergeCell ref="F25:G25"/>
    <mergeCell ref="F26:G26"/>
    <mergeCell ref="F27:G27"/>
    <mergeCell ref="D25:E25"/>
    <mergeCell ref="D26:E26"/>
    <mergeCell ref="D27:E27"/>
    <mergeCell ref="B24:C24"/>
    <mergeCell ref="D24:E24"/>
    <mergeCell ref="F17:G17"/>
    <mergeCell ref="F18:G18"/>
    <mergeCell ref="B13:D13"/>
    <mergeCell ref="B21:D21"/>
    <mergeCell ref="B20:E20"/>
    <mergeCell ref="D2:E2"/>
    <mergeCell ref="F2:G2"/>
    <mergeCell ref="B2:C2"/>
    <mergeCell ref="B7:B8"/>
    <mergeCell ref="B10:G11"/>
    <mergeCell ref="B34:G34"/>
    <mergeCell ref="B36:G36"/>
    <mergeCell ref="B5:B6"/>
    <mergeCell ref="D4:E4"/>
    <mergeCell ref="F4:G4"/>
    <mergeCell ref="B14:E14"/>
    <mergeCell ref="B15:E15"/>
    <mergeCell ref="F20:G20"/>
    <mergeCell ref="F19:G19"/>
    <mergeCell ref="B19:E19"/>
    <mergeCell ref="B16:E16"/>
    <mergeCell ref="B17:E17"/>
    <mergeCell ref="B18:E18"/>
    <mergeCell ref="F14:G14"/>
    <mergeCell ref="F15:G15"/>
    <mergeCell ref="F16:G16"/>
  </mergeCells>
  <hyperlinks>
    <hyperlink ref="B29:G30" location="Szenarien!B33" display="Verletzte: Kriterien zur Beurteilung von schweren Schädigungen (Stufe Kurzbericht)"/>
    <hyperlink ref="B38" location="Ausmass!B1" display="zurück"/>
  </hyperlinks>
  <pageMargins left="0.7" right="0.7" top="0.78740157499999996" bottom="0.78740157499999996" header="0.3" footer="0.3"/>
  <pageSetup paperSize="9" orientation="portrait" horizontalDpi="4294967293" r:id="rId1"/>
  <headerFooter>
    <oddHeader>&amp;L&amp;G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4"/>
  <sheetViews>
    <sheetView showGridLines="0" workbookViewId="0">
      <selection activeCell="C6" sqref="C6"/>
    </sheetView>
  </sheetViews>
  <sheetFormatPr baseColWidth="10" defaultRowHeight="15"/>
  <cols>
    <col min="1" max="1" width="1.5703125" customWidth="1"/>
    <col min="2" max="2" width="80.28515625" customWidth="1"/>
  </cols>
  <sheetData>
    <row r="1" spans="2:2" ht="9" customHeight="1"/>
    <row r="2" spans="2:2" ht="18.75">
      <c r="B2" s="62" t="s">
        <v>150</v>
      </c>
    </row>
    <row r="3" spans="2:2">
      <c r="B3" s="108" t="s">
        <v>147</v>
      </c>
    </row>
    <row r="4" spans="2:2" ht="15.75" thickBot="1">
      <c r="B4" s="108"/>
    </row>
    <row r="5" spans="2:2">
      <c r="B5" s="109" t="s">
        <v>146</v>
      </c>
    </row>
    <row r="6" spans="2:2" ht="195.75" customHeight="1" thickBot="1">
      <c r="B6" s="110" t="s">
        <v>152</v>
      </c>
    </row>
    <row r="7" spans="2:2" ht="15.75" thickBot="1">
      <c r="B7" s="13"/>
    </row>
    <row r="8" spans="2:2" ht="45">
      <c r="B8" s="109" t="s">
        <v>163</v>
      </c>
    </row>
    <row r="9" spans="2:2" ht="45">
      <c r="B9" s="111" t="s">
        <v>151</v>
      </c>
    </row>
    <row r="10" spans="2:2" ht="30.75" thickBot="1">
      <c r="B10" s="112" t="s">
        <v>167</v>
      </c>
    </row>
    <row r="11" spans="2:2">
      <c r="B11" s="13"/>
    </row>
    <row r="12" spans="2:2" ht="135">
      <c r="B12" s="113" t="s">
        <v>164</v>
      </c>
    </row>
    <row r="13" spans="2:2">
      <c r="B13" s="5"/>
    </row>
    <row r="14" spans="2:2">
      <c r="B14" s="63" t="s">
        <v>165</v>
      </c>
    </row>
  </sheetData>
  <sheetProtection algorithmName="SHA-512" hashValue="G11sJy90zicp9A+GuBqqSRflo7EzjLBAXZOoN/IlD5H6QGrOUZ/Ur4qPmWvFLJJWX1Pam1d3ZF3qOIqNbEw4yg==" saltValue="WeWaDWIe3kJlPQ60iNIAlw==" spinCount="100000" sheet="1" objects="1" scenarios="1"/>
  <hyperlinks>
    <hyperlink ref="B14" location="Ausmass!B1" display="zurück"/>
    <hyperlink ref="B10" location="Erklärungen!B24" display="c) CMR-Stoffe mit Störfallpotential"/>
  </hyperlinks>
  <pageMargins left="0.7" right="0.7" top="0.78740157499999996" bottom="0.78740157499999996" header="0.3" footer="0.3"/>
  <pageSetup paperSize="9" orientation="portrait" horizontalDpi="4294967293" r:id="rId1"/>
  <headerFooter>
    <oddHeader>&amp;L&amp;G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8"/>
  <sheetViews>
    <sheetView showGridLines="0" workbookViewId="0">
      <selection activeCell="B16" sqref="B16"/>
    </sheetView>
  </sheetViews>
  <sheetFormatPr baseColWidth="10" defaultRowHeight="15"/>
  <cols>
    <col min="1" max="1" width="2.42578125" customWidth="1"/>
    <col min="2" max="2" width="81.42578125" customWidth="1"/>
  </cols>
  <sheetData>
    <row r="1" spans="2:2" ht="6" customHeight="1">
      <c r="B1" s="5"/>
    </row>
    <row r="2" spans="2:2" ht="18.75">
      <c r="B2" s="114" t="s">
        <v>153</v>
      </c>
    </row>
    <row r="3" spans="2:2" ht="60.75" thickBot="1">
      <c r="B3" s="13" t="s">
        <v>154</v>
      </c>
    </row>
    <row r="4" spans="2:2" ht="60">
      <c r="B4" s="115" t="s">
        <v>155</v>
      </c>
    </row>
    <row r="5" spans="2:2" ht="60">
      <c r="B5" s="116" t="s">
        <v>156</v>
      </c>
    </row>
    <row r="6" spans="2:2" ht="75.75" thickBot="1">
      <c r="B6" s="117" t="s">
        <v>157</v>
      </c>
    </row>
    <row r="7" spans="2:2">
      <c r="B7" s="5"/>
    </row>
    <row r="8" spans="2:2">
      <c r="B8" s="56" t="s">
        <v>166</v>
      </c>
    </row>
  </sheetData>
  <sheetProtection algorithmName="SHA-512" hashValue="f+u7KkfKv6OkgoJcD3G4DmOesqgh9RFLvdJfHJgREN6YSQ89+2O+wr3NxJ68KlkT9ILnZED8EW0b68YWMxe7BQ==" saltValue="bTpulilUKlwKl1b1l8WRFg==" spinCount="100000" sheet="1" objects="1" scenarios="1"/>
  <hyperlinks>
    <hyperlink ref="B8" location="Ausmass!B1" display="zurück"/>
  </hyperlinks>
  <pageMargins left="0.7" right="0.7" top="0.78740157499999996" bottom="0.78740157499999996" header="0.3" footer="0.3"/>
  <pageSetup paperSize="9" orientation="portrait" r:id="rId1"/>
  <headerFooter>
    <oddHeader>&amp;L&amp;G</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pplikation zur Ausmasseinschätzung bei Betrieben mit hochaktiven Stoffen v1.0"/>
    <f:field ref="objsubject" par="" edit="true" text=""/>
    <f:field ref="objcreatedby" par="" text="Hösli, Michael (BAFU - HMI)"/>
    <f:field ref="objcreatedat" par="" text="18.04.2017 13:25:38"/>
    <f:field ref="objchangedby" par="" text="Hösli, Michael (BAFU - HMI)"/>
    <f:field ref="objmodifiedat" par="" text="18.04.2017 13:42:50"/>
    <f:field ref="doc_FSCFOLIO_1_1001_FieldDocumentNumber" par="" text=""/>
    <f:field ref="doc_FSCFOLIO_1_1001_FieldSubject" par="" edit="true" text=""/>
    <f:field ref="FSCFOLIO_1_1001_FieldCurrentUser" par="" text="Robert Stark"/>
    <f:field ref="CCAPRECONFIG_15_1001_Objektname" par="" edit="true" text="Applikation zur Ausmasseinschätzung bei Betrieben mit hochaktiven Stoffen v1.0"/>
    <f:field ref="CHPRECONFIG_1_1001_Objektname" par="" edit="true" text="Applikation zur Ausmasseinschätzung bei Betrieben mit hochaktiven Stoffen v1.0"/>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Ausmass</vt:lpstr>
      <vt:lpstr>lokale Korrekturen</vt:lpstr>
      <vt:lpstr>Szenarien</vt:lpstr>
      <vt:lpstr>Erklärungen</vt:lpstr>
      <vt:lpstr>StFV</vt:lpstr>
      <vt:lpstr>TEEL</vt:lpstr>
      <vt:lpstr>StFV!_ftn1</vt:lpstr>
      <vt:lpstr>StFV!_ftnref1</vt:lpstr>
      <vt:lpstr>'lokale Korrekturen'!Druckbereich</vt:lpstr>
      <vt:lpstr>MG_Korr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Bützer</dc:creator>
  <cp:lastModifiedBy>Stark Robert BAFU</cp:lastModifiedBy>
  <cp:lastPrinted>2017-04-18T11:41:11Z</cp:lastPrinted>
  <dcterms:created xsi:type="dcterms:W3CDTF">2016-03-24T07:17:15Z</dcterms:created>
  <dcterms:modified xsi:type="dcterms:W3CDTF">2017-06-13T07:26:24Z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Gefahrenprävention</vt:lpwstr>
  </property>
  <property fmtid="{D5CDD505-2E9C-101B-9397-08002B2CF9AE}" pid="15" name="FSC#BAFUBDO@15.1700:Abteilung_neu">
    <vt:lpwstr/>
  </property>
  <property fmtid="{D5CDD505-2E9C-101B-9397-08002B2CF9AE}" pid="16" name="FSC#BAFUBDO@15.1700:Aktenzeichen">
    <vt:lpwstr>242.3-59976/00026/00007/Q162-1074</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242.3-59976/00026/00007</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18.04.2017</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Applikation zur Ausmasseinschätzung bei Betrieben mit hochaktiven Stoffen v1.0</vt:lpwstr>
  </property>
  <property fmtid="{D5CDD505-2E9C-101B-9397-08002B2CF9AE}" pid="54" name="FSC#BAFUBDO@15.1700:Eingang">
    <vt:lpwstr>2017-04-10T15:31:10</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242.3-59976</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HMI</vt:lpwstr>
  </property>
  <property fmtid="{D5CDD505-2E9C-101B-9397-08002B2CF9AE}" pid="148" name="FSC#BAFUBDO@15.1700:SubGegenstand">
    <vt:lpwstr>07 Excel-Tool v1.0</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Gefahrenprävention (GeP)</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SRT</vt:lpwstr>
  </property>
  <property fmtid="{D5CDD505-2E9C-101B-9397-08002B2CF9AE}" pid="205" name="FSC#UVEKCFG@15.1700:CategoryReference">
    <vt:lpwstr>242.3</vt:lpwstr>
  </property>
  <property fmtid="{D5CDD505-2E9C-101B-9397-08002B2CF9AE}" pid="206" name="FSC#UVEKCFG@15.1700:cooAddress">
    <vt:lpwstr>COO.2002.100.2.5230239</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Applikation zur Ausmasseinschätzung bei Betrieben mit hochaktiven Stoffen v1.0</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Q162-1074</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19.05.2017</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Applikation zur Ausmasseinschätzung bei Betrieben mit hochaktiven Stoffen v1.0</vt:lpwstr>
  </property>
  <property fmtid="{D5CDD505-2E9C-101B-9397-08002B2CF9AE}" pid="286" name="FSC#UVEKCFG@15.1700:Nummer">
    <vt:lpwstr>Q162-1074</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242.3-59976</vt:lpwstr>
  </property>
  <property fmtid="{D5CDD505-2E9C-101B-9397-08002B2CF9AE}" pid="298" name="FSC#COOELAK@1.1001:FileRefYear">
    <vt:lpwstr>2014</vt:lpwstr>
  </property>
  <property fmtid="{D5CDD505-2E9C-101B-9397-08002B2CF9AE}" pid="299" name="FSC#COOELAK@1.1001:FileRefOrdinal">
    <vt:lpwstr>59976</vt:lpwstr>
  </property>
  <property fmtid="{D5CDD505-2E9C-101B-9397-08002B2CF9AE}" pid="300" name="FSC#COOELAK@1.1001:FileRefOU">
    <vt:lpwstr>Gefahrenprävention (GeP)</vt:lpwstr>
  </property>
  <property fmtid="{D5CDD505-2E9C-101B-9397-08002B2CF9AE}" pid="301" name="FSC#COOELAK@1.1001:Organization">
    <vt:lpwstr/>
  </property>
  <property fmtid="{D5CDD505-2E9C-101B-9397-08002B2CF9AE}" pid="302" name="FSC#COOELAK@1.1001:Owner">
    <vt:lpwstr>Hösli Michael</vt:lpwstr>
  </property>
  <property fmtid="{D5CDD505-2E9C-101B-9397-08002B2CF9AE}" pid="303" name="FSC#COOELAK@1.1001:OwnerExtension">
    <vt:lpwstr>+41 58 46 293 88</vt:lpwstr>
  </property>
  <property fmtid="{D5CDD505-2E9C-101B-9397-08002B2CF9AE}" pid="304" name="FSC#COOELAK@1.1001:OwnerFaxExtension">
    <vt:lpwstr>+41 58 46 478 66</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Störfall- und Erdbebenvorsorge (GeP) (BAFU)</vt:lpwstr>
  </property>
  <property fmtid="{D5CDD505-2E9C-101B-9397-08002B2CF9AE}" pid="310" name="FSC#COOELAK@1.1001:CreatedAt">
    <vt:lpwstr>18.04.2017</vt:lpwstr>
  </property>
  <property fmtid="{D5CDD505-2E9C-101B-9397-08002B2CF9AE}" pid="311" name="FSC#COOELAK@1.1001:OU">
    <vt:lpwstr>Gefahrenprävention (GeP) (BAFU)</vt:lpwstr>
  </property>
  <property fmtid="{D5CDD505-2E9C-101B-9397-08002B2CF9AE}" pid="312" name="FSC#COOELAK@1.1001:Priority">
    <vt:lpwstr> ()</vt:lpwstr>
  </property>
  <property fmtid="{D5CDD505-2E9C-101B-9397-08002B2CF9AE}" pid="313" name="FSC#COOELAK@1.1001:ObjBarCode">
    <vt:lpwstr>*COO.2002.100.2.5230239*</vt:lpwstr>
  </property>
  <property fmtid="{D5CDD505-2E9C-101B-9397-08002B2CF9AE}" pid="314" name="FSC#COOELAK@1.1001:RefBarCode">
    <vt:lpwstr>*COO.2002.100.6.1021531*</vt:lpwstr>
  </property>
  <property fmtid="{D5CDD505-2E9C-101B-9397-08002B2CF9AE}" pid="315" name="FSC#COOELAK@1.1001:FileRefBarCode">
    <vt:lpwstr>*242.3-59976*</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242.3</vt:lpwstr>
  </property>
  <property fmtid="{D5CDD505-2E9C-101B-9397-08002B2CF9AE}" pid="329" name="FSC#COOELAK@1.1001:CurrentUserRolePos">
    <vt:lpwstr>Sachbearbeiter/in</vt:lpwstr>
  </property>
  <property fmtid="{D5CDD505-2E9C-101B-9397-08002B2CF9AE}" pid="330" name="FSC#COOELAK@1.1001:CurrentUserEmail">
    <vt:lpwstr>robert.stark@bafu.admin.ch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StFV-Unterstellung-Szenarien-20170412</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242.3-59976/00026/00007</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COO.2002.100.2.5230239</vt:lpwstr>
  </property>
  <property fmtid="{D5CDD505-2E9C-101B-9397-08002B2CF9AE}" pid="360" name="FSC#FSCFOLIO@1.1001:docpropproject">
    <vt:lpwstr/>
  </property>
</Properties>
</file>