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731"/>
  <workbookPr/>
  <mc:AlternateContent xmlns:mc="http://schemas.openxmlformats.org/markup-compatibility/2006">
    <mc:Choice Requires="x15">
      <x15ac:absPath xmlns:x15ac="http://schemas.microsoft.com/office/spreadsheetml/2010/11/ac" url="Q:\Abteilungsprojekte\Surf\surf-KB\RiverRestoration\Wirkungskontrolle\0_Praxisdokumentation\Praxisdok_FR\6_Hilfsmittel\6_2_Auswertungsfiles\"/>
    </mc:Choice>
  </mc:AlternateContent>
  <xr:revisionPtr revIDLastSave="0" documentId="13_ncr:1_{9E3F7272-DF56-469F-9B0C-D1D3CD71CA08}" xr6:coauthVersionLast="47" xr6:coauthVersionMax="47" xr10:uidLastSave="{00000000-0000-0000-0000-000000000000}"/>
  <bookViews>
    <workbookView xWindow="-110" yWindow="-110" windowWidth="19420" windowHeight="11620" tabRatio="907" activeTab="8" xr2:uid="{00000000-000D-0000-FFFF-FFFF00000000}"/>
  </bookViews>
  <sheets>
    <sheet name="Indicateur 1.1" sheetId="27" r:id="rId1"/>
    <sheet name="Indicateur 1.2" sheetId="36" r:id="rId2"/>
    <sheet name="Indicateurs 1.3 + 1.4" sheetId="39" r:id="rId3"/>
    <sheet name="Indicateur 1.5" sheetId="2" r:id="rId4"/>
    <sheet name="Indicateur 1.6" sheetId="4" r:id="rId5"/>
    <sheet name="Indicateur 8.1" sheetId="40" r:id="rId6"/>
    <sheet name="Indicateur 8.2" sheetId="41" r:id="rId7"/>
    <sheet name="Indicateur 8.3" sheetId="42" r:id="rId8"/>
    <sheet name="Indicateur 9.1" sheetId="44" r:id="rId9"/>
    <sheet name="Repertoire_modifications" sheetId="43" r:id="rId10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16" i="44" l="1"/>
  <c r="C14" i="44"/>
  <c r="C13" i="44"/>
  <c r="I8" i="2"/>
  <c r="C15" i="44"/>
  <c r="C17" i="44" l="1"/>
  <c r="C10" i="41"/>
  <c r="H8" i="42" l="1"/>
  <c r="S6" i="39" l="1"/>
  <c r="C14" i="42" l="1"/>
  <c r="H10" i="42"/>
  <c r="H9" i="42"/>
  <c r="H11" i="42" s="1"/>
  <c r="M7" i="42"/>
  <c r="M8" i="42" s="1"/>
  <c r="H38" i="40"/>
  <c r="G38" i="40"/>
  <c r="I38" i="40" s="1"/>
  <c r="H37" i="40"/>
  <c r="G37" i="40"/>
  <c r="I37" i="40" s="1"/>
  <c r="H36" i="40"/>
  <c r="G36" i="40"/>
  <c r="I36" i="40" s="1"/>
  <c r="H35" i="40"/>
  <c r="G35" i="40"/>
  <c r="H34" i="40"/>
  <c r="G34" i="40"/>
  <c r="I34" i="40" s="1"/>
  <c r="H23" i="40"/>
  <c r="G23" i="40"/>
  <c r="I23" i="40" s="1"/>
  <c r="H22" i="40"/>
  <c r="G22" i="40"/>
  <c r="I22" i="40" s="1"/>
  <c r="H21" i="40"/>
  <c r="G21" i="40"/>
  <c r="I21" i="40" s="1"/>
  <c r="H20" i="40"/>
  <c r="G20" i="40"/>
  <c r="I20" i="40" s="1"/>
  <c r="H19" i="40"/>
  <c r="G19" i="40"/>
  <c r="I19" i="40" s="1"/>
  <c r="I35" i="40" l="1"/>
  <c r="K18" i="39" l="1" a="1"/>
  <c r="K18" i="39" s="1"/>
  <c r="K17" i="39" a="1"/>
  <c r="K17" i="39" s="1"/>
  <c r="K16" i="39" a="1"/>
  <c r="K16" i="39" s="1"/>
  <c r="K15" i="39" a="1"/>
  <c r="K15" i="39" s="1"/>
  <c r="K14" i="39" a="1"/>
  <c r="K14" i="39" s="1"/>
  <c r="K13" i="39" a="1"/>
  <c r="K13" i="39" s="1"/>
  <c r="K12" i="39" a="1"/>
  <c r="K12" i="39" s="1"/>
  <c r="K11" i="39" a="1"/>
  <c r="K11" i="39" s="1"/>
  <c r="K10" i="39" a="1"/>
  <c r="K10" i="39" s="1"/>
  <c r="K9" i="39" a="1"/>
  <c r="K9" i="39" s="1"/>
  <c r="K8" i="39" a="1"/>
  <c r="K8" i="39" s="1"/>
  <c r="S7" i="39"/>
  <c r="O6" i="39"/>
  <c r="O7" i="39" l="1"/>
  <c r="O9" i="39" s="1"/>
  <c r="O10" i="39" s="1"/>
  <c r="S8" i="39"/>
  <c r="S9" i="39" s="1"/>
  <c r="O8" i="39"/>
  <c r="N38" i="36" l="1"/>
  <c r="M12" i="36"/>
  <c r="N12" i="36"/>
  <c r="K12" i="36"/>
  <c r="J12" i="36"/>
  <c r="M17" i="36"/>
  <c r="M13" i="36"/>
  <c r="N13" i="36"/>
  <c r="M14" i="36"/>
  <c r="N14" i="36"/>
  <c r="M15" i="36"/>
  <c r="N15" i="36"/>
  <c r="M16" i="36"/>
  <c r="N16" i="36"/>
  <c r="N17" i="36"/>
  <c r="M18" i="36"/>
  <c r="N18" i="36"/>
  <c r="M19" i="36"/>
  <c r="N19" i="36"/>
  <c r="M20" i="36"/>
  <c r="N20" i="36"/>
  <c r="M21" i="36"/>
  <c r="N21" i="36"/>
  <c r="M22" i="36"/>
  <c r="N22" i="36"/>
  <c r="M23" i="36"/>
  <c r="N23" i="36"/>
  <c r="M24" i="36"/>
  <c r="N24" i="36"/>
  <c r="M25" i="36"/>
  <c r="N25" i="36"/>
  <c r="M26" i="36"/>
  <c r="N26" i="36"/>
  <c r="M27" i="36"/>
  <c r="N27" i="36"/>
  <c r="M28" i="36"/>
  <c r="N28" i="36"/>
  <c r="M29" i="36"/>
  <c r="N29" i="36"/>
  <c r="M30" i="36"/>
  <c r="N30" i="36"/>
  <c r="M31" i="36"/>
  <c r="N31" i="36"/>
  <c r="M32" i="36"/>
  <c r="N32" i="36"/>
  <c r="M33" i="36"/>
  <c r="N33" i="36"/>
  <c r="M34" i="36"/>
  <c r="N34" i="36"/>
  <c r="M35" i="36"/>
  <c r="N35" i="36"/>
  <c r="M36" i="36"/>
  <c r="N36" i="36"/>
  <c r="M37" i="36"/>
  <c r="N37" i="36"/>
  <c r="M38" i="36"/>
  <c r="M39" i="36"/>
  <c r="N39" i="36"/>
  <c r="M40" i="36"/>
  <c r="N40" i="36"/>
  <c r="M41" i="36"/>
  <c r="N41" i="36"/>
  <c r="L41" i="36"/>
  <c r="K41" i="36"/>
  <c r="J41" i="36"/>
  <c r="L40" i="36"/>
  <c r="K40" i="36"/>
  <c r="J40" i="36"/>
  <c r="L39" i="36"/>
  <c r="K39" i="36"/>
  <c r="J39" i="36"/>
  <c r="L38" i="36"/>
  <c r="K38" i="36"/>
  <c r="J38" i="36"/>
  <c r="L37" i="36"/>
  <c r="K37" i="36"/>
  <c r="J37" i="36"/>
  <c r="L36" i="36"/>
  <c r="K36" i="36"/>
  <c r="J36" i="36"/>
  <c r="L35" i="36"/>
  <c r="K35" i="36"/>
  <c r="J35" i="36"/>
  <c r="L34" i="36"/>
  <c r="K34" i="36"/>
  <c r="J34" i="36"/>
  <c r="L33" i="36"/>
  <c r="K33" i="36"/>
  <c r="J33" i="36"/>
  <c r="L32" i="36"/>
  <c r="K32" i="36"/>
  <c r="J32" i="36"/>
  <c r="L31" i="36"/>
  <c r="K31" i="36"/>
  <c r="J31" i="36"/>
  <c r="L30" i="36"/>
  <c r="K30" i="36"/>
  <c r="J30" i="36"/>
  <c r="L29" i="36"/>
  <c r="K29" i="36"/>
  <c r="J29" i="36"/>
  <c r="L28" i="36"/>
  <c r="K28" i="36"/>
  <c r="J28" i="36"/>
  <c r="L27" i="36"/>
  <c r="K27" i="36"/>
  <c r="J27" i="36"/>
  <c r="L26" i="36"/>
  <c r="K26" i="36"/>
  <c r="J26" i="36"/>
  <c r="L25" i="36"/>
  <c r="K25" i="36"/>
  <c r="J25" i="36"/>
  <c r="L24" i="36"/>
  <c r="K24" i="36"/>
  <c r="J24" i="36"/>
  <c r="L23" i="36"/>
  <c r="K23" i="36"/>
  <c r="J23" i="36"/>
  <c r="L22" i="36"/>
  <c r="K22" i="36"/>
  <c r="J22" i="36"/>
  <c r="L21" i="36"/>
  <c r="K21" i="36"/>
  <c r="J21" i="36"/>
  <c r="L20" i="36"/>
  <c r="K20" i="36"/>
  <c r="J20" i="36"/>
  <c r="L19" i="36"/>
  <c r="K19" i="36"/>
  <c r="J19" i="36"/>
  <c r="L18" i="36"/>
  <c r="K18" i="36"/>
  <c r="J18" i="36"/>
  <c r="L17" i="36"/>
  <c r="K17" i="36"/>
  <c r="J17" i="36"/>
  <c r="L16" i="36"/>
  <c r="K16" i="36"/>
  <c r="J16" i="36"/>
  <c r="L15" i="36"/>
  <c r="K15" i="36"/>
  <c r="J15" i="36"/>
  <c r="L14" i="36"/>
  <c r="K14" i="36"/>
  <c r="J14" i="36"/>
  <c r="L13" i="36"/>
  <c r="K13" i="36"/>
  <c r="J13" i="36"/>
  <c r="L12" i="36"/>
  <c r="J9" i="36"/>
  <c r="K9" i="36"/>
  <c r="L9" i="36"/>
  <c r="M9" i="36"/>
  <c r="N9" i="36"/>
  <c r="G8" i="4"/>
  <c r="G7" i="4"/>
  <c r="N43" i="36" l="1"/>
  <c r="M42" i="36"/>
  <c r="M43" i="36"/>
  <c r="K43" i="36"/>
  <c r="L58" i="36"/>
  <c r="L59" i="36" s="1"/>
  <c r="K58" i="36"/>
  <c r="K59" i="36" s="1"/>
  <c r="L43" i="36"/>
  <c r="J58" i="36"/>
  <c r="J59" i="36" s="1"/>
  <c r="M58" i="36"/>
  <c r="M59" i="36" s="1"/>
  <c r="J43" i="36"/>
  <c r="S7" i="36" s="1"/>
  <c r="K44" i="36"/>
  <c r="L42" i="36"/>
  <c r="J44" i="36"/>
  <c r="N58" i="36"/>
  <c r="N59" i="36" s="1"/>
  <c r="M44" i="36"/>
  <c r="M45" i="36" s="1"/>
  <c r="N44" i="36"/>
  <c r="N42" i="36"/>
  <c r="J42" i="36"/>
  <c r="L44" i="36"/>
  <c r="K42" i="36"/>
  <c r="S8" i="36" l="1"/>
  <c r="S12" i="36"/>
  <c r="J45" i="36"/>
  <c r="L45" i="36"/>
  <c r="K45" i="36"/>
  <c r="N45" i="36"/>
  <c r="G7" i="27" l="1"/>
  <c r="G9" i="27" s="1"/>
  <c r="G10" i="27" s="1"/>
  <c r="S8" i="27" s="1"/>
  <c r="K19" i="27"/>
  <c r="L10" i="27" l="1"/>
  <c r="K10" i="27"/>
  <c r="N10" i="27"/>
  <c r="M10" i="27"/>
  <c r="O10" i="27"/>
  <c r="O20" i="27"/>
  <c r="N20" i="27"/>
  <c r="M20" i="27"/>
  <c r="L20" i="27"/>
  <c r="K20" i="27"/>
  <c r="K30" i="27" s="1"/>
  <c r="O19" i="27"/>
  <c r="N19" i="27"/>
  <c r="M19" i="27"/>
  <c r="L19" i="27"/>
  <c r="O18" i="27"/>
  <c r="N18" i="27"/>
  <c r="M18" i="27"/>
  <c r="L18" i="27"/>
  <c r="K18" i="27"/>
  <c r="O17" i="27"/>
  <c r="N17" i="27"/>
  <c r="M17" i="27"/>
  <c r="L17" i="27"/>
  <c r="K17" i="27"/>
  <c r="O16" i="27"/>
  <c r="N16" i="27"/>
  <c r="M16" i="27"/>
  <c r="L16" i="27"/>
  <c r="K16" i="27"/>
  <c r="O15" i="27"/>
  <c r="N15" i="27"/>
  <c r="M15" i="27"/>
  <c r="L15" i="27"/>
  <c r="K15" i="27"/>
  <c r="O14" i="27"/>
  <c r="N14" i="27"/>
  <c r="M14" i="27"/>
  <c r="L14" i="27"/>
  <c r="L26" i="27" s="1"/>
  <c r="K14" i="27"/>
  <c r="O13" i="27"/>
  <c r="N13" i="27"/>
  <c r="M13" i="27"/>
  <c r="L13" i="27"/>
  <c r="K13" i="27"/>
  <c r="O12" i="27"/>
  <c r="N12" i="27"/>
  <c r="M12" i="27"/>
  <c r="L12" i="27"/>
  <c r="K12" i="27"/>
  <c r="M30" i="27" l="1"/>
  <c r="O22" i="27"/>
  <c r="M10" i="36"/>
  <c r="J10" i="36"/>
  <c r="N10" i="36"/>
  <c r="K10" i="36"/>
  <c r="L10" i="36"/>
  <c r="M22" i="27"/>
  <c r="K22" i="27"/>
  <c r="K31" i="27"/>
  <c r="N31" i="27"/>
  <c r="N30" i="27"/>
  <c r="K26" i="27"/>
  <c r="K27" i="27"/>
  <c r="O31" i="27"/>
  <c r="O30" i="27"/>
  <c r="L31" i="27"/>
  <c r="L30" i="27"/>
  <c r="O27" i="27"/>
  <c r="O26" i="27"/>
  <c r="M27" i="27"/>
  <c r="M26" i="27"/>
  <c r="N27" i="27"/>
  <c r="N26" i="27"/>
  <c r="M31" i="27"/>
  <c r="L27" i="27"/>
  <c r="N22" i="27"/>
  <c r="L23" i="27"/>
  <c r="G11" i="27"/>
  <c r="M23" i="27"/>
  <c r="L22" i="27"/>
  <c r="N23" i="27"/>
  <c r="K23" i="27"/>
  <c r="K24" i="27" s="1"/>
  <c r="O23" i="27"/>
  <c r="O24" i="27" s="1"/>
  <c r="S10" i="27" l="1"/>
  <c r="S10" i="36"/>
  <c r="S11" i="36"/>
  <c r="S9" i="36"/>
  <c r="L28" i="27"/>
  <c r="K32" i="27"/>
  <c r="K28" i="27"/>
  <c r="M32" i="27"/>
  <c r="M28" i="27"/>
  <c r="N32" i="27"/>
  <c r="N28" i="27"/>
  <c r="O28" i="27"/>
  <c r="N24" i="27"/>
  <c r="M24" i="27"/>
  <c r="O32" i="27"/>
  <c r="L32" i="27"/>
  <c r="L24" i="27"/>
  <c r="S13" i="36" l="1"/>
  <c r="S9" i="27"/>
  <c r="I9" i="2"/>
  <c r="I10" i="2" s="1"/>
  <c r="I11" i="2"/>
  <c r="I12" i="2" l="1"/>
  <c r="I15" i="2" s="1"/>
  <c r="I16" i="2" l="1"/>
  <c r="I17" i="2" s="1"/>
  <c r="G9" i="4"/>
  <c r="G10" i="4"/>
  <c r="G11" i="4"/>
  <c r="G12" i="4" l="1"/>
  <c r="H11" i="4" s="1"/>
  <c r="H10" i="4" l="1"/>
  <c r="H7" i="4"/>
  <c r="H8" i="4"/>
  <c r="H9" i="4"/>
  <c r="H12" i="4" l="1"/>
</calcChain>
</file>

<file path=xl/sharedStrings.xml><?xml version="1.0" encoding="utf-8"?>
<sst xmlns="http://schemas.openxmlformats.org/spreadsheetml/2006/main" count="788" uniqueCount="351">
  <si>
    <t>0_10</t>
  </si>
  <si>
    <t>1_27</t>
  </si>
  <si>
    <t>1_28</t>
  </si>
  <si>
    <t>1_30</t>
  </si>
  <si>
    <t>1_29</t>
  </si>
  <si>
    <t>1_31</t>
  </si>
  <si>
    <t>1_32</t>
  </si>
  <si>
    <t>1_34</t>
  </si>
  <si>
    <t>1_37</t>
  </si>
  <si>
    <t>1_19</t>
  </si>
  <si>
    <t>1_20</t>
  </si>
  <si>
    <t>1_21</t>
  </si>
  <si>
    <t>1_22</t>
  </si>
  <si>
    <t>1_23</t>
  </si>
  <si>
    <t>1_24</t>
  </si>
  <si>
    <t>1_25</t>
  </si>
  <si>
    <t>1_26</t>
  </si>
  <si>
    <t>1_38</t>
  </si>
  <si>
    <t>1_39</t>
  </si>
  <si>
    <t>1_40</t>
  </si>
  <si>
    <t>1_41</t>
  </si>
  <si>
    <t>0_01</t>
  </si>
  <si>
    <t>0_04</t>
  </si>
  <si>
    <t>1_08</t>
  </si>
  <si>
    <t>1_09</t>
  </si>
  <si>
    <t>1_10</t>
  </si>
  <si>
    <t>1_11</t>
  </si>
  <si>
    <t>1_12</t>
  </si>
  <si>
    <t>1_13</t>
  </si>
  <si>
    <t>1_14</t>
  </si>
  <si>
    <t>1_15</t>
  </si>
  <si>
    <t>1_16</t>
  </si>
  <si>
    <t>1_17</t>
  </si>
  <si>
    <t>1_18</t>
  </si>
  <si>
    <t>0_11</t>
  </si>
  <si>
    <t xml:space="preserve"> </t>
  </si>
  <si>
    <t>Nr.</t>
  </si>
  <si>
    <t>n</t>
  </si>
  <si>
    <t>0_09</t>
  </si>
  <si>
    <t>Code 12X</t>
  </si>
  <si>
    <t>Code 11X</t>
  </si>
  <si>
    <t>G1_42_Stru</t>
  </si>
  <si>
    <t>G1_52_Mobi</t>
  </si>
  <si>
    <t>G1_47_Code</t>
  </si>
  <si>
    <t>Indicateur 1.1 Structure du fond du lit</t>
  </si>
  <si>
    <t>Export SIG</t>
  </si>
  <si>
    <t>* Attribution manuelle ou via SIG</t>
  </si>
  <si>
    <t>G1_43_Surf</t>
  </si>
  <si>
    <t>Tronçon d'unité de longueur*</t>
  </si>
  <si>
    <t>Valeur provenant du contrôle de la mise en œuvre ou calculée avec SIG/ Calculs automatisés (en gris)</t>
  </si>
  <si>
    <t>Surface du fond du lit [m2]</t>
  </si>
  <si>
    <t>Longeur du talweg [m]</t>
  </si>
  <si>
    <t>Largeur moyenne du fond du lit [m]</t>
  </si>
  <si>
    <t>Unité de longueur [m]</t>
  </si>
  <si>
    <t>Nombre d'unités de longueur le long du talweg</t>
  </si>
  <si>
    <t>Evaluation Indicateur 1.1 Structure du fond du lit</t>
  </si>
  <si>
    <t>Entrée manuelle / Calculs automatisés (en gris)</t>
  </si>
  <si>
    <t>Nombre d'unités de longeur par tronçon d'unité de longueur</t>
  </si>
  <si>
    <t>Longueur du tronçon d'unité de longueur [m]</t>
  </si>
  <si>
    <t>Nombre de structures par type de structure</t>
  </si>
  <si>
    <t>Banc</t>
  </si>
  <si>
    <t>Fosse</t>
  </si>
  <si>
    <t>Chennal</t>
  </si>
  <si>
    <t>Plat</t>
  </si>
  <si>
    <t>Radiers</t>
  </si>
  <si>
    <t>Écoulement secondaire</t>
  </si>
  <si>
    <t>Eaux peu profondes</t>
  </si>
  <si>
    <t>Seuil</t>
  </si>
  <si>
    <t>Mouille</t>
  </si>
  <si>
    <t>Tous les types de structures</t>
  </si>
  <si>
    <t>Nombre de types de structures pour chaque tronçon d'unité de longueur</t>
  </si>
  <si>
    <t>Nombre de structures pour chaque tronçon d'unité de longueur</t>
  </si>
  <si>
    <t>Densité de structures par unité de longueur</t>
  </si>
  <si>
    <r>
      <t>Séquence chenal-plat-radiers (</t>
    </r>
    <r>
      <rPr>
        <sz val="11"/>
        <rFont val="Calibri"/>
        <family val="2"/>
        <scheme val="minor"/>
      </rPr>
      <t>pour les cours d’eaux de faible pente; &lt; 3 %).</t>
    </r>
  </si>
  <si>
    <t>Nombre de types de structures d'une séquence chenal-plat-radiers pour chaque tronçon d'unité de longueur</t>
  </si>
  <si>
    <t>Nombre de structures d'une séquence chenal-plat-radiers pour chagque tronçon d'unité de longueur</t>
  </si>
  <si>
    <t>Densité de structures d'une séquence chenal-plat-radiers par unité de longueur</t>
  </si>
  <si>
    <t>Nombre de types de structures d'une séquence seuils-mouilles pour chaque tronçon d'unité de longueur</t>
  </si>
  <si>
    <t>Nombre de structures d'une séquence seuils-mouilles pour chagque tronçon d'unité de longueur</t>
  </si>
  <si>
    <t>Densité de structures d'une séquence seuils-mouilles par unité de longueur</t>
  </si>
  <si>
    <r>
      <rPr>
        <b/>
        <sz val="11"/>
        <rFont val="Calibri"/>
        <family val="2"/>
        <scheme val="minor"/>
      </rPr>
      <t xml:space="preserve">Evaluation de la structure du fond du lit </t>
    </r>
    <r>
      <rPr>
        <sz val="11"/>
        <rFont val="Calibri"/>
        <family val="2"/>
        <scheme val="minor"/>
      </rPr>
      <t>pour chaque tronçon d'unité de longueur</t>
    </r>
  </si>
  <si>
    <t>Calculs automatisés des variables pour l'évaluation (en gris)</t>
  </si>
  <si>
    <t>Nombre de structures du fond du lit [-]</t>
  </si>
  <si>
    <t>Nombre totale (densité) de structures du fond du lit par unité de longueur  (moyenne pondérée) [-]</t>
  </si>
  <si>
    <t>Valeur standardisée structure du fond du lit (moyenne pondérée) [-]</t>
  </si>
  <si>
    <t>Tronçon d'unité de longueur</t>
  </si>
  <si>
    <t>Indicateur 1.2 Structure des rives</t>
  </si>
  <si>
    <t>G1_44_Sinu</t>
  </si>
  <si>
    <t>G1_45_Natu</t>
  </si>
  <si>
    <t>G1_46_Pent</t>
  </si>
  <si>
    <t>G1_48_Long</t>
  </si>
  <si>
    <t>Evaluation indicateur 1.2 Structure des rives</t>
  </si>
  <si>
    <t>Calculs automatisés (en gris)</t>
  </si>
  <si>
    <t>Paramètre Aménagement longitudinal (A_long)</t>
  </si>
  <si>
    <t>Nombre d'unités de longeur par tronçon d'unité de longueur -&gt;  provient de l'indicateur 1.1</t>
  </si>
  <si>
    <t>Longueur du tronçon d'unité de longueur [m] -&gt; provient de l'indicateur 1.1</t>
  </si>
  <si>
    <t>Longeur des rive par type de structure</t>
  </si>
  <si>
    <t>Linéaire, aménagement perméable, plat</t>
  </si>
  <si>
    <t>Linéaire, aménagement perméable, pentu</t>
  </si>
  <si>
    <t>Linéaire, aménagement imperméable, plat</t>
  </si>
  <si>
    <t>Linéaire, aménagement imperméable, pentu</t>
  </si>
  <si>
    <t>Linéaire, substrat meuble, plat</t>
  </si>
  <si>
    <t>Linéaire, substrat meuble, pentu</t>
  </si>
  <si>
    <t>Linéaire, racines, plat</t>
  </si>
  <si>
    <t>Linéaire, racines, pentu</t>
  </si>
  <si>
    <t>Linéaire, roches, plat</t>
  </si>
  <si>
    <t>Linéaire, roches, pentu</t>
  </si>
  <si>
    <t>Convexe, aménagement perméable, plat</t>
  </si>
  <si>
    <t>Convexe, aménagement perméable, pentu</t>
  </si>
  <si>
    <t>Convexe, aménagement imperméable, plat</t>
  </si>
  <si>
    <t>Convexe, aménagement imperméable, pentu</t>
  </si>
  <si>
    <t>Convexe, substrat meuble, plat</t>
  </si>
  <si>
    <t>Convexe, substrat meuble, pentu</t>
  </si>
  <si>
    <t>Convexe, racines, plat</t>
  </si>
  <si>
    <t>Convexe, racines, pentu</t>
  </si>
  <si>
    <t>Convexe, roches, plat</t>
  </si>
  <si>
    <t>Convexe, roches, pentu</t>
  </si>
  <si>
    <t>Concave, aménagement perméable, plat</t>
  </si>
  <si>
    <t>Concave, aménagement perméable, pentu</t>
  </si>
  <si>
    <t>Concave, aménagement imperméable, plat</t>
  </si>
  <si>
    <t>Concave, aménagement imperméable, pentu</t>
  </si>
  <si>
    <t>Concave, substrat meuble, plat</t>
  </si>
  <si>
    <t>Concave, substrat meuble, pentu</t>
  </si>
  <si>
    <t>Concave, racines, plat</t>
  </si>
  <si>
    <t>Concave, racines, pentu</t>
  </si>
  <si>
    <t>Concave, roches, plat</t>
  </si>
  <si>
    <t>Concave, roches, pentu</t>
  </si>
  <si>
    <t>Longueur d'aménagement perméable linéaire pour chaque tronçon d'unité de longueur [m]</t>
  </si>
  <si>
    <t>Longueur d'aménagement imperméable linéaire pour chaque tronçon d'unité de longueur [m]</t>
  </si>
  <si>
    <t>Longueur des rives pour chaque tronçon d'unité de longueur</t>
  </si>
  <si>
    <t>A_long pour chaque tronçon d'unité de longueur</t>
  </si>
  <si>
    <t xml:space="preserve">Nombre de type de structure des rives restant, c.-à-d. sans les rives linéaire aménagées (11X, 12X), pour chaque tronçon d'unité de longueur </t>
  </si>
  <si>
    <t>A_structure pour chaque tronçon d'unité de longueur</t>
  </si>
  <si>
    <t>Calculs automatisés des variables pour l'évaluation (en gris/ rouge)</t>
  </si>
  <si>
    <t>Longueur aménagement longitudinal imperméable linéaire [m]</t>
  </si>
  <si>
    <t>Longueur aménagement longitudinal perméable linéaire [m]</t>
  </si>
  <si>
    <t>A_long (moyenne pondérée)</t>
  </si>
  <si>
    <t>Nombre de types de structures des rives par unité de longueur (n; moyenne pondérée)</t>
  </si>
  <si>
    <t>A_structure (moyenne pondérée)</t>
  </si>
  <si>
    <t>Longueur rives [m]</t>
  </si>
  <si>
    <t>Valeur standardisée structure des rives [-]</t>
  </si>
  <si>
    <t>Paramètre Éléments de la structure (A_structure)</t>
  </si>
  <si>
    <t>1.3 Profondeur d'eau et 1.4 Vitesse d'écoulement</t>
  </si>
  <si>
    <t>Données du formulaire de données</t>
  </si>
  <si>
    <t>Code projet (ID)</t>
  </si>
  <si>
    <t>Relevé</t>
  </si>
  <si>
    <t>N°PT</t>
  </si>
  <si>
    <t>N° point PT</t>
  </si>
  <si>
    <t>Position dans le PT</t>
  </si>
  <si>
    <t>Profondeur</t>
  </si>
  <si>
    <t>Vitesse d'écoulement</t>
  </si>
  <si>
    <t>Données du formulaire de données/ Calcul automatisé (en gris)</t>
  </si>
  <si>
    <t>Largeur du lit mouillé PT</t>
  </si>
  <si>
    <t>Profondeur d'eau max.</t>
  </si>
  <si>
    <t>Evaluation indicateur 1.3 Profondeur d’eau</t>
  </si>
  <si>
    <t>Largueur moyenne du lit mouillé [m]</t>
  </si>
  <si>
    <t>Ecart-type profondeur eau max. [m]</t>
  </si>
  <si>
    <t>Moyenne profondeur eau max.[m]</t>
  </si>
  <si>
    <t>Coefficient de variation profondeur eau max. [%]</t>
  </si>
  <si>
    <t>Valeur standardisée profondeur d'eau [-]</t>
  </si>
  <si>
    <t>Evaluation indicateur 1.4 Vitesse d'écoulement</t>
  </si>
  <si>
    <t>Ecart-type vitesse écoulement [m/s]</t>
  </si>
  <si>
    <t>Moyenne vitesse écoulement [m/s]</t>
  </si>
  <si>
    <t>Coefficient de variation vitesse d'écoulement [%]</t>
  </si>
  <si>
    <t>Valeur standardisée vitesse d'écoulement [-]</t>
  </si>
  <si>
    <t>Après 1</t>
  </si>
  <si>
    <t>CH_ExempleV1_01</t>
  </si>
  <si>
    <t>Indicateur 1.5 Offre en abris</t>
  </si>
  <si>
    <t xml:space="preserve">Export SIG </t>
  </si>
  <si>
    <t>Abris à l'intérieur de la ligne de rive (= surface mouillée)</t>
  </si>
  <si>
    <t>Abris à l'exterieur de la ligne de rive</t>
  </si>
  <si>
    <t>G1_49_Abri</t>
  </si>
  <si>
    <t>G1_50_Surf</t>
  </si>
  <si>
    <t>1_49_Abris</t>
  </si>
  <si>
    <t>1_50_Surfa</t>
  </si>
  <si>
    <t>Evaluation indicateur 1.5 Offre en abris</t>
  </si>
  <si>
    <t>Valeurs de référence définies par les experts/ Calculs automatisés des variables pour l'évaluation (en gris/ rouge)</t>
  </si>
  <si>
    <t>Longueur sous-tronçon [m]</t>
  </si>
  <si>
    <t>Surface mouillée [m2]</t>
  </si>
  <si>
    <t>Surface totale considérée (= surface mouillée + abris à l'exterieur de la ligne de rive) [m2]</t>
  </si>
  <si>
    <t>Surface de l'offre en abris actuelle/ effectivement présent [m2]</t>
  </si>
  <si>
    <t>Offre en abris actuelle/ effectivement présent [%]</t>
  </si>
  <si>
    <t>Offre en abris typique du site [%]</t>
  </si>
  <si>
    <t>Source offre en abris typique du site</t>
  </si>
  <si>
    <t>Proportion de l'état de référence [%]</t>
  </si>
  <si>
    <t>Ecart avec l'état de référence [%]</t>
  </si>
  <si>
    <t>Valeur standardisée offre en abris [-]</t>
  </si>
  <si>
    <t>un peu plus de bois mort et de mouille</t>
  </si>
  <si>
    <t>Indicateur 1.6 Substrat</t>
  </si>
  <si>
    <t>G1_51_Natu</t>
  </si>
  <si>
    <t>G1_53_Surf</t>
  </si>
  <si>
    <t>Evaluation Indicateur 1.6 Substrat (Capacité à la mobilisation)</t>
  </si>
  <si>
    <t>Capacité à la mobilisation: Calculs automatisés des variables pour l'évaluation (en gris)</t>
  </si>
  <si>
    <t>Capacité à la mobilisation/ Type de substrat</t>
  </si>
  <si>
    <t>Caractéristique</t>
  </si>
  <si>
    <t>Dépôts de matières en suspension</t>
  </si>
  <si>
    <t>Matériaux charriés fins</t>
  </si>
  <si>
    <t>Matériaux charriés grossiers</t>
  </si>
  <si>
    <t>Matériaux du fond du lit mêlés à des matériaux charriés</t>
  </si>
  <si>
    <t>Matériaux du fond du lit grossier</t>
  </si>
  <si>
    <t>Surface [m]</t>
  </si>
  <si>
    <t>Proportion des surfaces p [%]</t>
  </si>
  <si>
    <t>Capacité à la mobilisation: Evaluation</t>
  </si>
  <si>
    <t>Valeur standardisée capacité à la mobilisation du substrat [-]</t>
  </si>
  <si>
    <t xml:space="preserve">Le calcul automatique de la formule peut être réactivé en cliquant </t>
  </si>
  <si>
    <t>dans la formule et en appuyant sur Shift + Ctrl + Enter.</t>
  </si>
  <si>
    <t>8_21</t>
  </si>
  <si>
    <t>8_22</t>
  </si>
  <si>
    <t>8_23</t>
  </si>
  <si>
    <t>8_24</t>
  </si>
  <si>
    <t>8_26</t>
  </si>
  <si>
    <t>8_27</t>
  </si>
  <si>
    <t>8_47</t>
  </si>
  <si>
    <t>8_48</t>
  </si>
  <si>
    <t>8_28</t>
  </si>
  <si>
    <t>XXX</t>
  </si>
  <si>
    <t>8_35</t>
  </si>
  <si>
    <t>8_42</t>
  </si>
  <si>
    <t>8_45</t>
  </si>
  <si>
    <t>8_36</t>
  </si>
  <si>
    <t>8_43</t>
  </si>
  <si>
    <t>8_46</t>
  </si>
  <si>
    <t>8_37</t>
  </si>
  <si>
    <t>8_38</t>
  </si>
  <si>
    <t>8_39</t>
  </si>
  <si>
    <t>8_44</t>
  </si>
  <si>
    <t>8_40</t>
  </si>
  <si>
    <t>8_41</t>
  </si>
  <si>
    <t>Nom Feuille Excel</t>
  </si>
  <si>
    <t>Date (mm/yy)</t>
  </si>
  <si>
    <t>Version</t>
  </si>
  <si>
    <t>Modification</t>
  </si>
  <si>
    <t>Responsabilité</t>
  </si>
  <si>
    <t>1.02</t>
  </si>
  <si>
    <t>Eawag</t>
  </si>
  <si>
    <t>Indicateurs 1.3 et 1.4</t>
  </si>
  <si>
    <t>Indicateurs 8.1 et 8.3</t>
  </si>
  <si>
    <t>Adaptation de la formule Excel pour le calcul de l'écart-type dans les variables 1_19 et 1_23 (de STVEDA à ECARTYPE.STANDARD). Cela permet d'éviter que le texte de la colonne G:G, par exemple, soit interprété à tort en tant que valeur de mesure.</t>
  </si>
  <si>
    <t>Ajout des fiches de travail pour l'évaluation des indicateurs 8.1 et 8.3</t>
  </si>
  <si>
    <t xml:space="preserve">Indicateur 8.2 Composition des associations végétales </t>
  </si>
  <si>
    <t xml:space="preserve">Indicateur 8.3 Évolution des communautés alluviales </t>
  </si>
  <si>
    <t xml:space="preserve">Evaluation indicateur 8.1 Espèces végétales spécifiques </t>
  </si>
  <si>
    <t>Base de calculs : version 2.01 de la fiche technique du jeu d’indicateurs 8.</t>
  </si>
  <si>
    <t>Valeur tirée du fichier d'évaluation pour l'indicateur 1.1 (cellule G8)</t>
  </si>
  <si>
    <t>Données du formulaire de données du jeu 8</t>
  </si>
  <si>
    <t>Ne remplir que 8_23 ou 8_24 pour chaque espèce</t>
  </si>
  <si>
    <t>Espèces cibles</t>
  </si>
  <si>
    <t>Néophytes</t>
  </si>
  <si>
    <t>Nom espèce végétale</t>
  </si>
  <si>
    <t>Espèce cible ou néophyte</t>
  </si>
  <si>
    <t>Nombre d'individu par espèce végétale</t>
  </si>
  <si>
    <t>Surface colonisée par espèce végétale</t>
  </si>
  <si>
    <t>Valeur standardisée espèce végétale spécifique</t>
  </si>
  <si>
    <t>Nombre d'individu par espèce végétale par km de cours d'eau</t>
  </si>
  <si>
    <t>Surface colonisée par espèce végétale par km de cours d'eau</t>
  </si>
  <si>
    <t>Valeur indicative 0 espèce végétale par km de cours d'eau</t>
  </si>
  <si>
    <t>Valeur indicative 1 espèce végétale par km de cours d'eau</t>
  </si>
  <si>
    <t xml:space="preserve">Espèce cible  </t>
  </si>
  <si>
    <t>Néophyte</t>
  </si>
  <si>
    <t>8_26 et 8_27 sont définit par un expert, des exemples sont disponibles sous "Autres annexes" sur www.bafu.admin.ch/controle-des-effets-revit dans le document "Végétation riv./all. (8.1) : Recommandation et exemples".</t>
  </si>
  <si>
    <t>Somme doit être = 100 %</t>
  </si>
  <si>
    <t>Proportion eau</t>
  </si>
  <si>
    <t xml:space="preserve">Proportion sédiments alluviaux nus ou clairsemés </t>
  </si>
  <si>
    <t xml:space="preserve">Proportion zone alluviale avec végétation herbacée </t>
  </si>
  <si>
    <t xml:space="preserve">Proportion forêt alluviale de bois tendre </t>
  </si>
  <si>
    <t>Proportion forêt alluviale de bois dur</t>
  </si>
  <si>
    <t xml:space="preserve">Proportion autres forêts </t>
  </si>
  <si>
    <t>Proportion autres surfaces</t>
  </si>
  <si>
    <t>Nombre de formations alluviales potentielles</t>
  </si>
  <si>
    <t>Indice de Shannon</t>
  </si>
  <si>
    <t>Valeur standardisée  proportion formations alluviales</t>
  </si>
  <si>
    <t>Valeur indicative 0 selon tab. 8.3</t>
  </si>
  <si>
    <t>Valeur indicative 1 selon tab. 8.3</t>
  </si>
  <si>
    <t>Proportion des formations pionnières</t>
  </si>
  <si>
    <t>Valeur standardisée formations pionnières</t>
  </si>
  <si>
    <t>Graphique de standardisation des résultats pour les formations pionnières.</t>
  </si>
  <si>
    <t>Graphique de standardisation de l’indice de Shan-non : évolution pour cinq formations</t>
  </si>
  <si>
    <t>Tableau 8.3 : Valeurs indicatives 0 et 1 pour l’indice de Shannon en fonction du nombre potentiel de formations</t>
  </si>
  <si>
    <t>Analyse 1: Diversité des formations alluviales</t>
  </si>
  <si>
    <t>Analyse 2: Proportion des formations pionnières</t>
  </si>
  <si>
    <t xml:space="preserve">Evaluation indicateur 8.3 Évolution des communautés alluviales  </t>
  </si>
  <si>
    <r>
      <t xml:space="preserve">Séquence seuils-mouilles </t>
    </r>
    <r>
      <rPr>
        <sz val="11"/>
        <rFont val="Calibri"/>
        <family val="2"/>
        <scheme val="minor"/>
      </rPr>
      <t>(pour les eaux à plus forte pente; &gt; 1 %)</t>
    </r>
    <r>
      <rPr>
        <sz val="11"/>
        <color rgb="FF00B050"/>
        <rFont val="Calibri"/>
        <family val="2"/>
        <scheme val="minor"/>
      </rPr>
      <t>*</t>
    </r>
  </si>
  <si>
    <t>*Les enrochements en rangées périodiques sont, conformément à la fiche technique, cartographiés en tant que succession Seuil (8) - Mouille (9). Pour l'évaluation,  seulement 1 seuil et 1 mouille sont comptés pour l'ensemble du tronçon de revitalisation afin de ne pas augmenter artificiellement la densité des structures.</t>
  </si>
  <si>
    <t>Ajout gestion des rampes en enrochement (cellule I35).</t>
  </si>
  <si>
    <t>Ajout de deux autres distributions de types de substrats au tableau</t>
  </si>
  <si>
    <t>Base de calculs : version 1.05 de la fiche technique du jeu d’indicateurs 1.</t>
  </si>
  <si>
    <t>Base de calculs : version 2.02 de la fiche technique du jeu d’indicateurs 8.</t>
  </si>
  <si>
    <t>Voir le mode d'emploi  sur www.bafu.admin.ch/controle-des-effets-revit pour faire les calculs avec Vegedaz pour les étapes 1-3</t>
  </si>
  <si>
    <t>8_53</t>
  </si>
  <si>
    <t>8_54</t>
  </si>
  <si>
    <t>Calcul automatisé de la variable pour l'évaluation (en gris)</t>
  </si>
  <si>
    <t>Moyenne des indices de Jaccard milieux cibles</t>
  </si>
  <si>
    <t>Valeur standardisée milieux cibles</t>
  </si>
  <si>
    <t>Subalpin</t>
  </si>
  <si>
    <t>9_01</t>
  </si>
  <si>
    <t>Jura</t>
  </si>
  <si>
    <t>9_02</t>
  </si>
  <si>
    <t>9_03</t>
  </si>
  <si>
    <t>9_27</t>
  </si>
  <si>
    <t>9_28</t>
  </si>
  <si>
    <t>9_30</t>
  </si>
  <si>
    <t>9_41</t>
  </si>
  <si>
    <t>&gt;6</t>
  </si>
  <si>
    <t>9_42</t>
  </si>
  <si>
    <t>&gt;7</t>
  </si>
  <si>
    <t>9_43</t>
  </si>
  <si>
    <t>&gt;9</t>
  </si>
  <si>
    <t>9_44</t>
  </si>
  <si>
    <t>&gt;10</t>
  </si>
  <si>
    <t>&gt;26</t>
  </si>
  <si>
    <t>&gt;54</t>
  </si>
  <si>
    <t>Indicateur 9.1 Avifaune</t>
  </si>
  <si>
    <t>Base de calculs : version 2.02 de la fiche technique du jeu d’indicateurs 9.</t>
  </si>
  <si>
    <t>Tableaux d'évaluation</t>
  </si>
  <si>
    <t>Non défini -&gt; veuillez prendre contact avec la Station ornithologique de Sempach</t>
  </si>
  <si>
    <t>Région biogéographique</t>
  </si>
  <si>
    <t>Etage altitudinal</t>
  </si>
  <si>
    <r>
      <t>Surface examinée [m</t>
    </r>
    <r>
      <rPr>
        <vertAlign val="superscript"/>
        <sz val="11"/>
        <rFont val="Calibri"/>
        <family val="2"/>
        <scheme val="minor"/>
      </rPr>
      <t>2</t>
    </r>
    <r>
      <rPr>
        <sz val="11"/>
        <rFont val="Calibri"/>
        <family val="2"/>
        <scheme val="minor"/>
      </rPr>
      <t>]</t>
    </r>
  </si>
  <si>
    <t>Nombre total espèces oiseaux nicheurs</t>
  </si>
  <si>
    <t xml:space="preserve">Nombre total de territoires oiseaux nicheurs </t>
  </si>
  <si>
    <t>Nombre espèces oiseaux nicheurs cibles</t>
  </si>
  <si>
    <t>Nombre espèces cibles</t>
  </si>
  <si>
    <t>Evaluation diversité des espèces</t>
  </si>
  <si>
    <t>Nombre oiseaux nicheurs</t>
  </si>
  <si>
    <t>Densité</t>
  </si>
  <si>
    <t>Evaluation densité</t>
  </si>
  <si>
    <t>Evaluation diversité des espèces [-]</t>
  </si>
  <si>
    <t>Evaluation espèces cibles [-]</t>
  </si>
  <si>
    <t>Evaluation espèces cibles</t>
  </si>
  <si>
    <t>Evaluation densité [-]</t>
  </si>
  <si>
    <t>Densité territoires oiseaux nicheurs par ha</t>
  </si>
  <si>
    <t>20.12.2024</t>
  </si>
  <si>
    <t>1.03</t>
  </si>
  <si>
    <t>Eawag, Vogelwarte Sempach</t>
  </si>
  <si>
    <t>Indicateur 1.1</t>
  </si>
  <si>
    <t>Indicateur 1.6</t>
  </si>
  <si>
    <t>Indicateur 1.5</t>
  </si>
  <si>
    <t>Indicateur 8.2</t>
  </si>
  <si>
    <t>Indicateur 9.1</t>
  </si>
  <si>
    <t>Format de la cellule I8 modifié et nouvellement lié à la cellule O6 dans la feuille de calcul « Indicateurs 1.3 et 1.4 ».</t>
  </si>
  <si>
    <t>Complément avec calcul de la valeur standardisée de l'indicateur 8.2 (étape 4 de la fiche technique V 2.02).</t>
  </si>
  <si>
    <t>Complément des fiches d'évalutation avec l'évaluation pour l'indicateur 9.1</t>
  </si>
  <si>
    <t>&lt;-- Veuillez utiliser les listes déroulantes du formulaire de données.</t>
  </si>
  <si>
    <t>Jura (Collinéen)</t>
  </si>
  <si>
    <t>Plateau, Versant nord des Alpes (Collinéen)</t>
  </si>
  <si>
    <t>Alpes centrales occidentales, Alpes centrales orientales, Versant sud des Alpes (Collinéen)</t>
  </si>
  <si>
    <t>Collinéen</t>
  </si>
  <si>
    <t>Jura (Montagnard)</t>
  </si>
  <si>
    <t>Plateau, Versant nord des Alpes, Alpes centrales occidentales, Alpes centrales orientales, Versant sud des Alpes (Montagnard)</t>
  </si>
  <si>
    <t>Etape 4 - Valeur standardisée</t>
  </si>
  <si>
    <t>Valeur standardisée avifaune (moyenne pondérée; [-])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</si>
</sst>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0.0000"/>
  </numFmts>
  <fonts count="3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2"/>
      <color theme="1"/>
      <name val="Calibri"/>
      <family val="2"/>
      <scheme val="minor"/>
    </font>
    <font>
      <sz val="12"/>
      <color rgb="FF006100"/>
      <name val="Calibri"/>
      <family val="2"/>
      <scheme val="minor"/>
    </font>
    <font>
      <sz val="12"/>
      <color rgb="FF9C0006"/>
      <name val="Calibri"/>
      <family val="2"/>
      <scheme val="minor"/>
    </font>
    <font>
      <sz val="12"/>
      <color rgb="FF9C5700"/>
      <name val="Calibri"/>
      <family val="2"/>
      <scheme val="minor"/>
    </font>
    <font>
      <sz val="12"/>
      <color rgb="FF3F3F76"/>
      <name val="Calibri"/>
      <family val="2"/>
      <scheme val="minor"/>
    </font>
    <font>
      <b/>
      <sz val="12"/>
      <color rgb="FF3F3F3F"/>
      <name val="Calibri"/>
      <family val="2"/>
      <scheme val="minor"/>
    </font>
    <font>
      <b/>
      <sz val="12"/>
      <color rgb="FFFA7D00"/>
      <name val="Calibri"/>
      <family val="2"/>
      <scheme val="minor"/>
    </font>
    <font>
      <sz val="12"/>
      <color rgb="FFFA7D00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12"/>
      <color rgb="FFFF0000"/>
      <name val="Calibri"/>
      <family val="2"/>
      <scheme val="minor"/>
    </font>
    <font>
      <i/>
      <sz val="12"/>
      <color rgb="FF7F7F7F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0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FF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rgb="FF0070C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b/>
      <sz val="10"/>
      <color theme="1"/>
      <name val="Calibri"/>
      <family val="2"/>
      <scheme val="minor"/>
    </font>
    <font>
      <sz val="11"/>
      <color rgb="FF000000"/>
      <name val="Calibri"/>
      <family val="2"/>
      <charset val="1"/>
    </font>
    <font>
      <sz val="9"/>
      <color rgb="FF00B050"/>
      <name val="Arial"/>
      <family val="2"/>
    </font>
    <font>
      <b/>
      <sz val="11"/>
      <color rgb="FF000000"/>
      <name val="Calibri"/>
      <family val="2"/>
      <scheme val="minor"/>
    </font>
    <font>
      <i/>
      <sz val="8"/>
      <color theme="1"/>
      <name val="Calibri"/>
      <family val="2"/>
      <scheme val="minor"/>
    </font>
    <font>
      <vertAlign val="superscript"/>
      <sz val="11"/>
      <name val="Calibri"/>
      <family val="2"/>
      <scheme val="minor"/>
    </font>
  </fonts>
  <fills count="4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99FF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rgb="FF4BD0FF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48">
    <xf numFmtId="0" fontId="0" fillId="0" borderId="0"/>
    <xf numFmtId="9" fontId="1" fillId="0" borderId="0" applyFont="0" applyFill="0" applyBorder="0" applyAlignment="0" applyProtection="0"/>
    <xf numFmtId="0" fontId="7" fillId="0" borderId="0" applyNumberFormat="0" applyFill="0" applyBorder="0" applyAlignment="0" applyProtection="0"/>
    <xf numFmtId="0" fontId="8" fillId="0" borderId="4" applyNumberFormat="0" applyFill="0" applyAlignment="0" applyProtection="0"/>
    <xf numFmtId="0" fontId="9" fillId="0" borderId="5" applyNumberFormat="0" applyFill="0" applyAlignment="0" applyProtection="0"/>
    <xf numFmtId="0" fontId="10" fillId="0" borderId="6" applyNumberFormat="0" applyFill="0" applyAlignment="0" applyProtection="0"/>
    <xf numFmtId="0" fontId="10" fillId="0" borderId="0" applyNumberFormat="0" applyFill="0" applyBorder="0" applyAlignment="0" applyProtection="0"/>
    <xf numFmtId="0" fontId="11" fillId="0" borderId="0"/>
    <xf numFmtId="0" fontId="12" fillId="3" borderId="0" applyNumberFormat="0" applyBorder="0" applyAlignment="0" applyProtection="0"/>
    <xf numFmtId="0" fontId="13" fillId="4" borderId="0" applyNumberFormat="0" applyBorder="0" applyAlignment="0" applyProtection="0"/>
    <xf numFmtId="0" fontId="14" fillId="5" borderId="0" applyNumberFormat="0" applyBorder="0" applyAlignment="0" applyProtection="0"/>
    <xf numFmtId="0" fontId="15" fillId="6" borderId="7" applyNumberFormat="0" applyAlignment="0" applyProtection="0"/>
    <xf numFmtId="0" fontId="16" fillId="7" borderId="8" applyNumberFormat="0" applyAlignment="0" applyProtection="0"/>
    <xf numFmtId="0" fontId="17" fillId="7" borderId="7" applyNumberFormat="0" applyAlignment="0" applyProtection="0"/>
    <xf numFmtId="0" fontId="18" fillId="0" borderId="9" applyNumberFormat="0" applyFill="0" applyAlignment="0" applyProtection="0"/>
    <xf numFmtId="0" fontId="19" fillId="8" borderId="10" applyNumberFormat="0" applyAlignment="0" applyProtection="0"/>
    <xf numFmtId="0" fontId="20" fillId="0" borderId="0" applyNumberFormat="0" applyFill="0" applyBorder="0" applyAlignment="0" applyProtection="0"/>
    <xf numFmtId="0" fontId="11" fillId="9" borderId="11" applyNumberFormat="0" applyFont="0" applyAlignment="0" applyProtection="0"/>
    <xf numFmtId="0" fontId="21" fillId="0" borderId="0" applyNumberFormat="0" applyFill="0" applyBorder="0" applyAlignment="0" applyProtection="0"/>
    <xf numFmtId="0" fontId="22" fillId="0" borderId="12" applyNumberFormat="0" applyFill="0" applyAlignment="0" applyProtection="0"/>
    <xf numFmtId="0" fontId="23" fillId="10" borderId="0" applyNumberFormat="0" applyBorder="0" applyAlignment="0" applyProtection="0"/>
    <xf numFmtId="0" fontId="11" fillId="11" borderId="0" applyNumberFormat="0" applyBorder="0" applyAlignment="0" applyProtection="0"/>
    <xf numFmtId="0" fontId="11" fillId="12" borderId="0" applyNumberFormat="0" applyBorder="0" applyAlignment="0" applyProtection="0"/>
    <xf numFmtId="0" fontId="11" fillId="13" borderId="0" applyNumberFormat="0" applyBorder="0" applyAlignment="0" applyProtection="0"/>
    <xf numFmtId="0" fontId="23" fillId="14" borderId="0" applyNumberFormat="0" applyBorder="0" applyAlignment="0" applyProtection="0"/>
    <xf numFmtId="0" fontId="11" fillId="15" borderId="0" applyNumberFormat="0" applyBorder="0" applyAlignment="0" applyProtection="0"/>
    <xf numFmtId="0" fontId="11" fillId="16" borderId="0" applyNumberFormat="0" applyBorder="0" applyAlignment="0" applyProtection="0"/>
    <xf numFmtId="0" fontId="11" fillId="17" borderId="0" applyNumberFormat="0" applyBorder="0" applyAlignment="0" applyProtection="0"/>
    <xf numFmtId="0" fontId="23" fillId="18" borderId="0" applyNumberFormat="0" applyBorder="0" applyAlignment="0" applyProtection="0"/>
    <xf numFmtId="0" fontId="11" fillId="19" borderId="0" applyNumberFormat="0" applyBorder="0" applyAlignment="0" applyProtection="0"/>
    <xf numFmtId="0" fontId="11" fillId="20" borderId="0" applyNumberFormat="0" applyBorder="0" applyAlignment="0" applyProtection="0"/>
    <xf numFmtId="0" fontId="11" fillId="21" borderId="0" applyNumberFormat="0" applyBorder="0" applyAlignment="0" applyProtection="0"/>
    <xf numFmtId="0" fontId="23" fillId="22" borderId="0" applyNumberFormat="0" applyBorder="0" applyAlignment="0" applyProtection="0"/>
    <xf numFmtId="0" fontId="11" fillId="23" borderId="0" applyNumberFormat="0" applyBorder="0" applyAlignment="0" applyProtection="0"/>
    <xf numFmtId="0" fontId="11" fillId="24" borderId="0" applyNumberFormat="0" applyBorder="0" applyAlignment="0" applyProtection="0"/>
    <xf numFmtId="0" fontId="11" fillId="25" borderId="0" applyNumberFormat="0" applyBorder="0" applyAlignment="0" applyProtection="0"/>
    <xf numFmtId="0" fontId="23" fillId="26" borderId="0" applyNumberFormat="0" applyBorder="0" applyAlignment="0" applyProtection="0"/>
    <xf numFmtId="0" fontId="11" fillId="27" borderId="0" applyNumberFormat="0" applyBorder="0" applyAlignment="0" applyProtection="0"/>
    <xf numFmtId="0" fontId="11" fillId="28" borderId="0" applyNumberFormat="0" applyBorder="0" applyAlignment="0" applyProtection="0"/>
    <xf numFmtId="0" fontId="11" fillId="29" borderId="0" applyNumberFormat="0" applyBorder="0" applyAlignment="0" applyProtection="0"/>
    <xf numFmtId="0" fontId="23" fillId="30" borderId="0" applyNumberFormat="0" applyBorder="0" applyAlignment="0" applyProtection="0"/>
    <xf numFmtId="0" fontId="11" fillId="31" borderId="0" applyNumberFormat="0" applyBorder="0" applyAlignment="0" applyProtection="0"/>
    <xf numFmtId="0" fontId="11" fillId="32" borderId="0" applyNumberFormat="0" applyBorder="0" applyAlignment="0" applyProtection="0"/>
    <xf numFmtId="0" fontId="11" fillId="33" borderId="0" applyNumberFormat="0" applyBorder="0" applyAlignment="0" applyProtection="0"/>
    <xf numFmtId="0" fontId="1" fillId="0" borderId="0"/>
    <xf numFmtId="0" fontId="30" fillId="0" borderId="0"/>
    <xf numFmtId="0" fontId="32" fillId="0" borderId="0"/>
    <xf numFmtId="0" fontId="30" fillId="0" borderId="0"/>
  </cellStyleXfs>
  <cellXfs count="270">
    <xf numFmtId="0" fontId="0" fillId="0" borderId="0" xfId="0"/>
    <xf numFmtId="0" fontId="3" fillId="0" borderId="0" xfId="0" applyFont="1"/>
    <xf numFmtId="0" fontId="2" fillId="0" borderId="0" xfId="0" applyFont="1"/>
    <xf numFmtId="0" fontId="0" fillId="0" borderId="2" xfId="0" applyBorder="1" applyAlignment="1">
      <alignment vertical="center" wrapText="1"/>
    </xf>
    <xf numFmtId="0" fontId="0" fillId="0" borderId="1" xfId="0" applyBorder="1"/>
    <xf numFmtId="0" fontId="2" fillId="0" borderId="1" xfId="0" applyFont="1" applyFill="1" applyBorder="1" applyAlignment="1">
      <alignment vertical="top"/>
    </xf>
    <xf numFmtId="0" fontId="0" fillId="0" borderId="0" xfId="0" applyFill="1" applyBorder="1"/>
    <xf numFmtId="0" fontId="0" fillId="0" borderId="1" xfId="0" applyBorder="1" applyAlignment="1">
      <alignment vertical="top"/>
    </xf>
    <xf numFmtId="0" fontId="0" fillId="0" borderId="1" xfId="0" applyFont="1" applyFill="1" applyBorder="1" applyAlignment="1">
      <alignment vertical="top"/>
    </xf>
    <xf numFmtId="0" fontId="0" fillId="0" borderId="1" xfId="0" applyFill="1" applyBorder="1" applyAlignment="1">
      <alignment vertical="top"/>
    </xf>
    <xf numFmtId="0" fontId="0" fillId="0" borderId="0" xfId="0" applyFont="1" applyFill="1"/>
    <xf numFmtId="0" fontId="2" fillId="0" borderId="0" xfId="0" applyFont="1" applyFill="1" applyBorder="1" applyAlignment="1">
      <alignment horizontal="left" vertical="top"/>
    </xf>
    <xf numFmtId="0" fontId="2" fillId="0" borderId="1" xfId="0" applyNumberFormat="1" applyFont="1" applyFill="1" applyBorder="1" applyAlignment="1">
      <alignment vertical="top"/>
    </xf>
    <xf numFmtId="0" fontId="2" fillId="0" borderId="0" xfId="0" applyFont="1" applyFill="1" applyBorder="1" applyAlignment="1">
      <alignment vertical="top"/>
    </xf>
    <xf numFmtId="0" fontId="2" fillId="0" borderId="1" xfId="0" applyFont="1" applyFill="1" applyBorder="1" applyAlignment="1" applyProtection="1">
      <alignment vertical="top"/>
    </xf>
    <xf numFmtId="0" fontId="2" fillId="0" borderId="1" xfId="0" applyFont="1" applyBorder="1" applyAlignment="1">
      <alignment vertical="top"/>
    </xf>
    <xf numFmtId="0" fontId="2" fillId="0" borderId="1" xfId="0" applyNumberFormat="1" applyFont="1" applyFill="1" applyBorder="1" applyAlignment="1">
      <alignment horizontal="left" vertical="top"/>
    </xf>
    <xf numFmtId="0" fontId="2" fillId="0" borderId="1" xfId="0" applyFont="1" applyFill="1" applyBorder="1" applyAlignment="1">
      <alignment horizontal="left" vertical="top"/>
    </xf>
    <xf numFmtId="0" fontId="2" fillId="0" borderId="1" xfId="0" applyFont="1" applyFill="1" applyBorder="1" applyAlignment="1" applyProtection="1">
      <alignment horizontal="left" vertical="top"/>
    </xf>
    <xf numFmtId="0" fontId="0" fillId="0" borderId="1" xfId="0" applyFill="1" applyBorder="1" applyAlignment="1" applyProtection="1">
      <alignment vertical="top"/>
      <protection locked="0"/>
    </xf>
    <xf numFmtId="0" fontId="0" fillId="0" borderId="1" xfId="0" applyFill="1" applyBorder="1" applyAlignment="1" applyProtection="1">
      <alignment vertical="top"/>
    </xf>
    <xf numFmtId="0" fontId="3" fillId="0" borderId="0" xfId="0" applyFont="1" applyFill="1" applyBorder="1" applyAlignment="1" applyProtection="1">
      <alignment vertical="top"/>
      <protection locked="0"/>
    </xf>
    <xf numFmtId="0" fontId="0" fillId="0" borderId="0" xfId="0" applyFill="1" applyBorder="1" applyAlignment="1" applyProtection="1">
      <alignment vertical="top"/>
      <protection locked="0"/>
    </xf>
    <xf numFmtId="0" fontId="5" fillId="0" borderId="0" xfId="0" applyFont="1" applyFill="1" applyBorder="1" applyAlignment="1">
      <alignment vertical="top"/>
    </xf>
    <xf numFmtId="0" fontId="0" fillId="0" borderId="0" xfId="0" applyFill="1" applyBorder="1" applyAlignment="1">
      <alignment vertical="top"/>
    </xf>
    <xf numFmtId="0" fontId="2" fillId="0" borderId="1" xfId="0" applyFont="1" applyFill="1" applyBorder="1" applyAlignment="1" applyProtection="1">
      <alignment vertical="top"/>
      <protection locked="0"/>
    </xf>
    <xf numFmtId="0" fontId="3" fillId="0" borderId="0" xfId="0" applyFont="1" applyFill="1" applyBorder="1" applyAlignment="1">
      <alignment vertical="top"/>
    </xf>
    <xf numFmtId="0" fontId="0" fillId="0" borderId="1" xfId="0" applyBorder="1" applyAlignment="1" applyProtection="1">
      <alignment vertical="top"/>
      <protection locked="0"/>
    </xf>
    <xf numFmtId="0" fontId="0" fillId="0" borderId="0" xfId="0" applyNumberFormat="1" applyFill="1" applyBorder="1" applyAlignment="1" applyProtection="1">
      <alignment vertical="top"/>
      <protection locked="0"/>
    </xf>
    <xf numFmtId="49" fontId="0" fillId="0" borderId="1" xfId="0" applyNumberFormat="1" applyFill="1" applyBorder="1" applyAlignment="1" applyProtection="1">
      <alignment vertical="top"/>
      <protection locked="0"/>
    </xf>
    <xf numFmtId="0" fontId="0" fillId="0" borderId="1" xfId="0" applyNumberFormat="1" applyBorder="1" applyAlignment="1" applyProtection="1">
      <alignment vertical="top"/>
      <protection locked="0"/>
    </xf>
    <xf numFmtId="165" fontId="0" fillId="0" borderId="0" xfId="0" applyNumberFormat="1" applyFill="1" applyBorder="1" applyAlignment="1">
      <alignment vertical="top"/>
    </xf>
    <xf numFmtId="0" fontId="0" fillId="0" borderId="3" xfId="0" applyFill="1" applyBorder="1" applyAlignment="1" applyProtection="1">
      <alignment vertical="top"/>
      <protection locked="0"/>
    </xf>
    <xf numFmtId="2" fontId="0" fillId="2" borderId="1" xfId="0" applyNumberFormat="1" applyFill="1" applyBorder="1" applyAlignment="1">
      <alignment vertical="top"/>
    </xf>
    <xf numFmtId="2" fontId="2" fillId="0" borderId="0" xfId="0" applyNumberFormat="1" applyFont="1" applyFill="1" applyBorder="1" applyAlignment="1">
      <alignment vertical="top"/>
    </xf>
    <xf numFmtId="0" fontId="2" fillId="0" borderId="0" xfId="0" applyFont="1" applyFill="1" applyBorder="1" applyAlignment="1" applyProtection="1">
      <alignment vertical="top"/>
      <protection locked="0"/>
    </xf>
    <xf numFmtId="0" fontId="0" fillId="0" borderId="0" xfId="0" applyFont="1" applyFill="1" applyBorder="1" applyAlignment="1" applyProtection="1">
      <alignment vertical="top"/>
      <protection locked="0"/>
    </xf>
    <xf numFmtId="0" fontId="0" fillId="0" borderId="0" xfId="0" applyNumberFormat="1" applyFont="1" applyFill="1" applyBorder="1" applyAlignment="1" applyProtection="1">
      <alignment vertical="top"/>
      <protection locked="0"/>
    </xf>
    <xf numFmtId="0" fontId="0" fillId="0" borderId="0" xfId="0" applyFont="1" applyFill="1" applyBorder="1" applyAlignment="1">
      <alignment vertical="top"/>
    </xf>
    <xf numFmtId="2" fontId="0" fillId="2" borderId="1" xfId="0" applyNumberFormat="1" applyFill="1" applyBorder="1" applyAlignment="1" applyProtection="1">
      <alignment vertical="top"/>
      <protection locked="0"/>
    </xf>
    <xf numFmtId="0" fontId="6" fillId="0" borderId="0" xfId="0" applyFont="1" applyFill="1" applyBorder="1" applyAlignment="1">
      <alignment vertical="top"/>
    </xf>
    <xf numFmtId="0" fontId="3" fillId="0" borderId="0" xfId="0" applyFont="1" applyAlignment="1">
      <alignment vertical="top"/>
    </xf>
    <xf numFmtId="0" fontId="0" fillId="0" borderId="0" xfId="0" applyAlignment="1">
      <alignment vertical="top"/>
    </xf>
    <xf numFmtId="0" fontId="2" fillId="0" borderId="0" xfId="0" applyFont="1" applyAlignment="1">
      <alignment vertical="top"/>
    </xf>
    <xf numFmtId="0" fontId="0" fillId="0" borderId="1" xfId="0" applyFont="1" applyFill="1" applyBorder="1" applyAlignment="1">
      <alignment horizontal="left" vertical="top"/>
    </xf>
    <xf numFmtId="0" fontId="0" fillId="0" borderId="1" xfId="0" applyFont="1" applyBorder="1" applyAlignment="1">
      <alignment vertical="top"/>
    </xf>
    <xf numFmtId="0" fontId="0" fillId="0" borderId="0" xfId="0" applyFill="1" applyBorder="1" applyAlignment="1">
      <alignment horizontal="right" vertical="top"/>
    </xf>
    <xf numFmtId="0" fontId="0" fillId="0" borderId="0" xfId="0" applyFont="1" applyAlignment="1">
      <alignment vertical="top"/>
    </xf>
    <xf numFmtId="2" fontId="0" fillId="0" borderId="1" xfId="0" applyNumberFormat="1" applyFont="1" applyFill="1" applyBorder="1" applyAlignment="1">
      <alignment vertical="top"/>
    </xf>
    <xf numFmtId="0" fontId="0" fillId="0" borderId="0" xfId="0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24" fillId="0" borderId="1" xfId="0" applyFont="1" applyFill="1" applyBorder="1" applyAlignment="1">
      <alignment horizontal="left" vertical="top"/>
    </xf>
    <xf numFmtId="0" fontId="0" fillId="0" borderId="1" xfId="0" applyFont="1" applyFill="1" applyBorder="1" applyAlignment="1">
      <alignment vertical="top" wrapText="1"/>
    </xf>
    <xf numFmtId="0" fontId="0" fillId="0" borderId="0" xfId="0" applyFill="1" applyAlignment="1">
      <alignment vertical="top"/>
    </xf>
    <xf numFmtId="2" fontId="0" fillId="2" borderId="1" xfId="1" applyNumberFormat="1" applyFont="1" applyFill="1" applyBorder="1" applyAlignment="1">
      <alignment vertical="top"/>
    </xf>
    <xf numFmtId="2" fontId="0" fillId="2" borderId="1" xfId="0" applyNumberFormat="1" applyFont="1" applyFill="1" applyBorder="1" applyAlignment="1">
      <alignment vertical="top"/>
    </xf>
    <xf numFmtId="0" fontId="0" fillId="0" borderId="0" xfId="0" applyFill="1" applyAlignment="1" applyProtection="1">
      <alignment horizontal="left" vertical="top" wrapText="1"/>
    </xf>
    <xf numFmtId="0" fontId="0" fillId="0" borderId="1" xfId="0" applyFont="1" applyBorder="1" applyAlignment="1">
      <alignment horizontal="left" vertical="top"/>
    </xf>
    <xf numFmtId="0" fontId="0" fillId="0" borderId="0" xfId="0" applyBorder="1" applyAlignment="1">
      <alignment vertical="center" wrapText="1"/>
    </xf>
    <xf numFmtId="0" fontId="0" fillId="0" borderId="0" xfId="0" applyAlignment="1"/>
    <xf numFmtId="0" fontId="0" fillId="0" borderId="0" xfId="0" applyFont="1" applyFill="1" applyAlignment="1">
      <alignment vertical="top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vertical="center"/>
    </xf>
    <xf numFmtId="0" fontId="0" fillId="0" borderId="1" xfId="0" applyFont="1" applyFill="1" applyBorder="1"/>
    <xf numFmtId="0" fontId="0" fillId="0" borderId="1" xfId="0" applyBorder="1" applyAlignment="1">
      <alignment horizontal="left" vertical="center"/>
    </xf>
    <xf numFmtId="0" fontId="0" fillId="0" borderId="0" xfId="0" applyFill="1"/>
    <xf numFmtId="2" fontId="0" fillId="2" borderId="1" xfId="0" applyNumberFormat="1" applyFill="1" applyBorder="1" applyAlignment="1">
      <alignment horizontal="right"/>
    </xf>
    <xf numFmtId="2" fontId="0" fillId="2" borderId="1" xfId="0" applyNumberFormat="1" applyFill="1" applyBorder="1"/>
    <xf numFmtId="2" fontId="0" fillId="2" borderId="14" xfId="0" applyNumberFormat="1" applyFill="1" applyBorder="1" applyAlignment="1">
      <alignment horizontal="right"/>
    </xf>
    <xf numFmtId="2" fontId="0" fillId="2" borderId="13" xfId="0" applyNumberFormat="1" applyFont="1" applyFill="1" applyBorder="1" applyAlignment="1">
      <alignment horizontal="right"/>
    </xf>
    <xf numFmtId="2" fontId="0" fillId="2" borderId="13" xfId="0" applyNumberFormat="1" applyFont="1" applyFill="1" applyBorder="1"/>
    <xf numFmtId="0" fontId="0" fillId="0" borderId="0" xfId="0" applyBorder="1"/>
    <xf numFmtId="0" fontId="0" fillId="0" borderId="1" xfId="0" applyBorder="1" applyAlignment="1">
      <alignment horizontal="left"/>
    </xf>
    <xf numFmtId="0" fontId="0" fillId="0" borderId="15" xfId="0" applyBorder="1"/>
    <xf numFmtId="0" fontId="0" fillId="0" borderId="1" xfId="0" applyFont="1" applyFill="1" applyBorder="1" applyAlignment="1" applyProtection="1">
      <alignment vertical="top"/>
    </xf>
    <xf numFmtId="0" fontId="0" fillId="0" borderId="0" xfId="0" applyFont="1"/>
    <xf numFmtId="0" fontId="0" fillId="0" borderId="0" xfId="0" applyAlignment="1">
      <alignment horizontal="left"/>
    </xf>
    <xf numFmtId="0" fontId="0" fillId="0" borderId="0" xfId="0" applyFont="1" applyFill="1" applyBorder="1" applyAlignment="1" applyProtection="1">
      <alignment vertical="top"/>
    </xf>
    <xf numFmtId="0" fontId="0" fillId="0" borderId="1" xfId="0" applyFont="1" applyBorder="1" applyAlignment="1">
      <alignment horizontal="left"/>
    </xf>
    <xf numFmtId="0" fontId="0" fillId="0" borderId="1" xfId="0" applyFont="1" applyBorder="1"/>
    <xf numFmtId="164" fontId="0" fillId="2" borderId="1" xfId="0" applyNumberFormat="1" applyFill="1" applyBorder="1"/>
    <xf numFmtId="0" fontId="0" fillId="2" borderId="1" xfId="0" applyFont="1" applyFill="1" applyBorder="1"/>
    <xf numFmtId="0" fontId="0" fillId="0" borderId="0" xfId="0" applyBorder="1" applyAlignment="1">
      <alignment horizontal="left"/>
    </xf>
    <xf numFmtId="0" fontId="0" fillId="0" borderId="14" xfId="0" applyFont="1" applyBorder="1"/>
    <xf numFmtId="0" fontId="0" fillId="2" borderId="14" xfId="0" applyFont="1" applyFill="1" applyBorder="1"/>
    <xf numFmtId="0" fontId="0" fillId="0" borderId="17" xfId="0" applyBorder="1"/>
    <xf numFmtId="0" fontId="0" fillId="0" borderId="14" xfId="0" applyFont="1" applyFill="1" applyBorder="1"/>
    <xf numFmtId="0" fontId="0" fillId="0" borderId="13" xfId="0" applyFont="1" applyFill="1" applyBorder="1"/>
    <xf numFmtId="0" fontId="0" fillId="0" borderId="14" xfId="0" applyFont="1" applyBorder="1" applyAlignment="1">
      <alignment horizontal="left"/>
    </xf>
    <xf numFmtId="0" fontId="24" fillId="0" borderId="1" xfId="0" applyFont="1" applyFill="1" applyBorder="1"/>
    <xf numFmtId="0" fontId="0" fillId="0" borderId="0" xfId="0" applyFont="1" applyFill="1" applyBorder="1"/>
    <xf numFmtId="0" fontId="0" fillId="0" borderId="0" xfId="0" applyFont="1" applyFill="1" applyBorder="1" applyAlignment="1">
      <alignment horizontal="left"/>
    </xf>
    <xf numFmtId="0" fontId="0" fillId="0" borderId="0" xfId="0" applyFont="1" applyBorder="1"/>
    <xf numFmtId="0" fontId="0" fillId="0" borderId="0" xfId="0" applyFill="1" applyBorder="1" applyAlignment="1">
      <alignment horizontal="left"/>
    </xf>
    <xf numFmtId="1" fontId="0" fillId="0" borderId="0" xfId="0" applyNumberFormat="1" applyFill="1" applyBorder="1"/>
    <xf numFmtId="0" fontId="0" fillId="0" borderId="0" xfId="0" applyFont="1" applyBorder="1" applyAlignment="1">
      <alignment horizontal="left"/>
    </xf>
    <xf numFmtId="0" fontId="0" fillId="0" borderId="13" xfId="0" applyFont="1" applyBorder="1" applyAlignment="1">
      <alignment horizontal="left" vertical="top"/>
    </xf>
    <xf numFmtId="0" fontId="2" fillId="0" borderId="0" xfId="0" applyFont="1" applyFill="1"/>
    <xf numFmtId="0" fontId="2" fillId="0" borderId="0" xfId="0" applyFont="1" applyFill="1" applyAlignment="1">
      <alignment horizontal="left"/>
    </xf>
    <xf numFmtId="0" fontId="24" fillId="0" borderId="0" xfId="0" applyFont="1" applyFill="1" applyBorder="1" applyAlignment="1" applyProtection="1">
      <alignment vertical="top"/>
    </xf>
    <xf numFmtId="2" fontId="0" fillId="2" borderId="1" xfId="0" applyNumberFormat="1" applyFont="1" applyFill="1" applyBorder="1"/>
    <xf numFmtId="0" fontId="0" fillId="0" borderId="13" xfId="0" applyFill="1" applyBorder="1" applyAlignment="1">
      <alignment horizontal="left"/>
    </xf>
    <xf numFmtId="0" fontId="0" fillId="0" borderId="1" xfId="0" applyFill="1" applyBorder="1" applyAlignment="1">
      <alignment horizontal="left"/>
    </xf>
    <xf numFmtId="0" fontId="25" fillId="0" borderId="0" xfId="0" applyFont="1" applyFill="1" applyBorder="1"/>
    <xf numFmtId="0" fontId="0" fillId="0" borderId="1" xfId="0" applyFill="1" applyBorder="1"/>
    <xf numFmtId="0" fontId="24" fillId="0" borderId="1" xfId="0" applyFont="1" applyBorder="1"/>
    <xf numFmtId="0" fontId="6" fillId="0" borderId="0" xfId="0" applyFont="1" applyFill="1"/>
    <xf numFmtId="0" fontId="0" fillId="0" borderId="14" xfId="0" applyFill="1" applyBorder="1" applyAlignment="1">
      <alignment horizontal="left"/>
    </xf>
    <xf numFmtId="164" fontId="0" fillId="2" borderId="14" xfId="0" applyNumberFormat="1" applyFill="1" applyBorder="1"/>
    <xf numFmtId="1" fontId="0" fillId="2" borderId="1" xfId="0" applyNumberFormat="1" applyFill="1" applyBorder="1"/>
    <xf numFmtId="1" fontId="0" fillId="2" borderId="1" xfId="0" applyNumberFormat="1" applyFont="1" applyFill="1" applyBorder="1"/>
    <xf numFmtId="2" fontId="24" fillId="2" borderId="1" xfId="0" applyNumberFormat="1" applyFont="1" applyFill="1" applyBorder="1"/>
    <xf numFmtId="0" fontId="6" fillId="0" borderId="0" xfId="0" applyFont="1" applyFill="1" applyBorder="1" applyAlignment="1" applyProtection="1">
      <alignment vertical="top"/>
    </xf>
    <xf numFmtId="0" fontId="2" fillId="0" borderId="16" xfId="0" applyFont="1" applyFill="1" applyBorder="1"/>
    <xf numFmtId="0" fontId="2" fillId="0" borderId="17" xfId="0" applyFont="1" applyFill="1" applyBorder="1"/>
    <xf numFmtId="0" fontId="2" fillId="0" borderId="18" xfId="0" applyFont="1" applyFill="1" applyBorder="1"/>
    <xf numFmtId="0" fontId="2" fillId="0" borderId="1" xfId="0" applyFont="1" applyBorder="1" applyAlignment="1">
      <alignment horizontal="left"/>
    </xf>
    <xf numFmtId="0" fontId="4" fillId="0" borderId="1" xfId="0" applyFont="1" applyBorder="1"/>
    <xf numFmtId="1" fontId="0" fillId="2" borderId="14" xfId="0" applyNumberFormat="1" applyFont="1" applyFill="1" applyBorder="1"/>
    <xf numFmtId="0" fontId="24" fillId="0" borderId="18" xfId="0" applyFont="1" applyFill="1" applyBorder="1"/>
    <xf numFmtId="1" fontId="0" fillId="2" borderId="18" xfId="0" applyNumberFormat="1" applyFill="1" applyBorder="1"/>
    <xf numFmtId="0" fontId="2" fillId="0" borderId="13" xfId="0" applyFont="1" applyFill="1" applyBorder="1"/>
    <xf numFmtId="0" fontId="0" fillId="0" borderId="13" xfId="0" applyFont="1" applyBorder="1"/>
    <xf numFmtId="0" fontId="0" fillId="0" borderId="18" xfId="0" applyFill="1" applyBorder="1" applyAlignment="1">
      <alignment horizontal="left"/>
    </xf>
    <xf numFmtId="1" fontId="0" fillId="0" borderId="13" xfId="0" applyNumberFormat="1" applyFill="1" applyBorder="1"/>
    <xf numFmtId="0" fontId="6" fillId="0" borderId="0" xfId="0" applyFont="1"/>
    <xf numFmtId="0" fontId="2" fillId="0" borderId="16" xfId="0" applyFont="1" applyBorder="1"/>
    <xf numFmtId="0" fontId="2" fillId="0" borderId="17" xfId="0" applyFont="1" applyBorder="1"/>
    <xf numFmtId="0" fontId="2" fillId="0" borderId="14" xfId="0" applyFont="1" applyFill="1" applyBorder="1"/>
    <xf numFmtId="0" fontId="24" fillId="0" borderId="0" xfId="0" applyFont="1" applyFill="1"/>
    <xf numFmtId="0" fontId="26" fillId="0" borderId="0" xfId="0" applyFont="1" applyFill="1" applyBorder="1" applyAlignment="1" applyProtection="1">
      <alignment vertical="top"/>
    </xf>
    <xf numFmtId="2" fontId="0" fillId="0" borderId="1" xfId="0" applyNumberFormat="1" applyFont="1" applyFill="1" applyBorder="1"/>
    <xf numFmtId="2" fontId="24" fillId="2" borderId="1" xfId="0" applyNumberFormat="1" applyFont="1" applyFill="1" applyBorder="1" applyAlignment="1" applyProtection="1">
      <alignment vertical="top"/>
      <protection locked="0"/>
    </xf>
    <xf numFmtId="1" fontId="0" fillId="0" borderId="0" xfId="0" applyNumberFormat="1" applyFont="1" applyFill="1" applyBorder="1"/>
    <xf numFmtId="0" fontId="4" fillId="0" borderId="13" xfId="0" applyFont="1" applyFill="1" applyBorder="1"/>
    <xf numFmtId="2" fontId="6" fillId="0" borderId="0" xfId="0" applyNumberFormat="1" applyFont="1" applyFill="1" applyBorder="1" applyAlignment="1" applyProtection="1">
      <alignment vertical="top"/>
      <protection locked="0"/>
    </xf>
    <xf numFmtId="0" fontId="2" fillId="0" borderId="2" xfId="0" applyFont="1" applyBorder="1" applyAlignment="1">
      <alignment vertical="center" wrapText="1"/>
    </xf>
    <xf numFmtId="0" fontId="2" fillId="0" borderId="1" xfId="0" applyFont="1" applyFill="1" applyBorder="1" applyAlignment="1">
      <alignment vertical="center" wrapText="1"/>
    </xf>
    <xf numFmtId="0" fontId="2" fillId="0" borderId="1" xfId="0" applyFont="1" applyFill="1" applyBorder="1" applyAlignment="1">
      <alignment vertical="center"/>
    </xf>
    <xf numFmtId="0" fontId="2" fillId="0" borderId="15" xfId="0" applyFont="1" applyFill="1" applyBorder="1" applyAlignment="1">
      <alignment vertical="top"/>
    </xf>
    <xf numFmtId="0" fontId="2" fillId="0" borderId="1" xfId="0" applyFont="1" applyFill="1" applyBorder="1"/>
    <xf numFmtId="0" fontId="2" fillId="0" borderId="19" xfId="0" applyFont="1" applyFill="1" applyBorder="1"/>
    <xf numFmtId="2" fontId="0" fillId="0" borderId="2" xfId="0" applyNumberFormat="1" applyBorder="1" applyAlignment="1">
      <alignment vertical="center" wrapText="1"/>
    </xf>
    <xf numFmtId="2" fontId="0" fillId="0" borderId="1" xfId="0" applyNumberFormat="1" applyBorder="1" applyAlignment="1">
      <alignment vertical="top" wrapText="1"/>
    </xf>
    <xf numFmtId="2" fontId="0" fillId="0" borderId="1" xfId="0" applyNumberFormat="1" applyBorder="1" applyAlignment="1">
      <alignment vertical="top"/>
    </xf>
    <xf numFmtId="0" fontId="24" fillId="0" borderId="15" xfId="0" applyFont="1" applyBorder="1"/>
    <xf numFmtId="2" fontId="24" fillId="0" borderId="15" xfId="0" applyNumberFormat="1" applyFont="1" applyBorder="1"/>
    <xf numFmtId="0" fontId="24" fillId="0" borderId="17" xfId="0" applyFont="1" applyBorder="1"/>
    <xf numFmtId="0" fontId="0" fillId="0" borderId="14" xfId="0" applyBorder="1" applyAlignment="1">
      <alignment horizontal="left"/>
    </xf>
    <xf numFmtId="0" fontId="0" fillId="0" borderId="18" xfId="0" applyFont="1" applyBorder="1" applyAlignment="1">
      <alignment horizontal="left"/>
    </xf>
    <xf numFmtId="0" fontId="0" fillId="0" borderId="18" xfId="0" applyFont="1" applyFill="1" applyBorder="1"/>
    <xf numFmtId="0" fontId="0" fillId="0" borderId="20" xfId="0" applyFont="1" applyBorder="1" applyAlignment="1">
      <alignment horizontal="left" vertical="top"/>
    </xf>
    <xf numFmtId="0" fontId="0" fillId="0" borderId="20" xfId="0" applyFont="1" applyFill="1" applyBorder="1"/>
    <xf numFmtId="2" fontId="2" fillId="2" borderId="1" xfId="0" applyNumberFormat="1" applyFont="1" applyFill="1" applyBorder="1"/>
    <xf numFmtId="0" fontId="0" fillId="0" borderId="0" xfId="0" applyFill="1" applyAlignment="1">
      <alignment horizontal="left"/>
    </xf>
    <xf numFmtId="0" fontId="0" fillId="0" borderId="14" xfId="0" applyFont="1" applyFill="1" applyBorder="1" applyAlignment="1">
      <alignment horizontal="left" vertical="top"/>
    </xf>
    <xf numFmtId="0" fontId="0" fillId="0" borderId="21" xfId="0" applyBorder="1" applyAlignment="1">
      <alignment vertical="center" wrapText="1"/>
    </xf>
    <xf numFmtId="2" fontId="0" fillId="0" borderId="21" xfId="0" applyNumberFormat="1" applyBorder="1" applyAlignment="1">
      <alignment vertical="center" wrapText="1"/>
    </xf>
    <xf numFmtId="0" fontId="0" fillId="0" borderId="1" xfId="0" applyBorder="1" applyAlignment="1">
      <alignment vertical="center" wrapText="1"/>
    </xf>
    <xf numFmtId="2" fontId="0" fillId="0" borderId="1" xfId="0" applyNumberFormat="1" applyBorder="1" applyAlignment="1">
      <alignment vertical="center" wrapText="1"/>
    </xf>
    <xf numFmtId="0" fontId="0" fillId="0" borderId="0" xfId="0" applyBorder="1" applyAlignment="1" applyProtection="1">
      <alignment vertical="top"/>
      <protection locked="0"/>
    </xf>
    <xf numFmtId="49" fontId="0" fillId="0" borderId="0" xfId="0" applyNumberFormat="1" applyFill="1" applyBorder="1" applyAlignment="1" applyProtection="1">
      <alignment vertical="top"/>
      <protection locked="0"/>
    </xf>
    <xf numFmtId="0" fontId="0" fillId="0" borderId="0" xfId="0" applyBorder="1" applyAlignment="1">
      <alignment vertical="top"/>
    </xf>
    <xf numFmtId="2" fontId="0" fillId="0" borderId="0" xfId="0" applyNumberFormat="1" applyBorder="1" applyAlignment="1">
      <alignment vertical="top"/>
    </xf>
    <xf numFmtId="0" fontId="24" fillId="0" borderId="1" xfId="0" applyFont="1" applyFill="1" applyBorder="1" applyAlignment="1" applyProtection="1">
      <alignment vertical="top"/>
    </xf>
    <xf numFmtId="0" fontId="27" fillId="0" borderId="0" xfId="0" applyFont="1" applyFill="1" applyBorder="1" applyAlignment="1" applyProtection="1">
      <alignment vertical="top"/>
    </xf>
    <xf numFmtId="2" fontId="2" fillId="0" borderId="0" xfId="0" applyNumberFormat="1" applyFont="1" applyFill="1" applyBorder="1" applyAlignment="1" applyProtection="1">
      <alignment vertical="top"/>
      <protection locked="0"/>
    </xf>
    <xf numFmtId="2" fontId="4" fillId="0" borderId="13" xfId="0" applyNumberFormat="1" applyFont="1" applyBorder="1"/>
    <xf numFmtId="2" fontId="2" fillId="2" borderId="1" xfId="0" applyNumberFormat="1" applyFont="1" applyFill="1" applyBorder="1" applyAlignment="1">
      <alignment vertical="top"/>
    </xf>
    <xf numFmtId="2" fontId="2" fillId="2" borderId="1" xfId="0" applyNumberFormat="1" applyFont="1" applyFill="1" applyBorder="1" applyAlignment="1" applyProtection="1">
      <alignment vertical="top"/>
      <protection locked="0"/>
    </xf>
    <xf numFmtId="2" fontId="0" fillId="0" borderId="0" xfId="0" applyNumberFormat="1"/>
    <xf numFmtId="2" fontId="2" fillId="0" borderId="15" xfId="0" applyNumberFormat="1" applyFont="1" applyFill="1" applyBorder="1" applyAlignment="1">
      <alignment vertical="top"/>
    </xf>
    <xf numFmtId="0" fontId="24" fillId="0" borderId="13" xfId="0" applyFont="1" applyBorder="1"/>
    <xf numFmtId="0" fontId="3" fillId="0" borderId="0" xfId="0" applyFont="1" applyBorder="1"/>
    <xf numFmtId="2" fontId="0" fillId="0" borderId="0" xfId="0" applyNumberFormat="1" applyFont="1"/>
    <xf numFmtId="0" fontId="2" fillId="0" borderId="0" xfId="0" applyFont="1" applyBorder="1"/>
    <xf numFmtId="0" fontId="2" fillId="0" borderId="1" xfId="0" applyFont="1" applyBorder="1"/>
    <xf numFmtId="0" fontId="2" fillId="0" borderId="13" xfId="0" applyFont="1" applyFill="1" applyBorder="1" applyAlignment="1">
      <alignment horizontal="left" vertical="top"/>
    </xf>
    <xf numFmtId="2" fontId="2" fillId="2" borderId="13" xfId="0" applyNumberFormat="1" applyFont="1" applyFill="1" applyBorder="1"/>
    <xf numFmtId="2" fontId="0" fillId="0" borderId="0" xfId="0" applyNumberFormat="1" applyAlignment="1">
      <alignment vertical="top"/>
    </xf>
    <xf numFmtId="2" fontId="2" fillId="0" borderId="1" xfId="0" applyNumberFormat="1" applyFont="1" applyBorder="1" applyAlignment="1">
      <alignment vertical="top"/>
    </xf>
    <xf numFmtId="2" fontId="2" fillId="0" borderId="2" xfId="0" applyNumberFormat="1" applyFont="1" applyBorder="1" applyAlignment="1">
      <alignment vertical="center" wrapText="1"/>
    </xf>
    <xf numFmtId="0" fontId="0" fillId="0" borderId="0" xfId="0" applyFont="1" applyBorder="1" applyAlignment="1">
      <alignment vertical="center" wrapText="1"/>
    </xf>
    <xf numFmtId="1" fontId="24" fillId="0" borderId="1" xfId="0" applyNumberFormat="1" applyFont="1" applyFill="1" applyBorder="1"/>
    <xf numFmtId="1" fontId="24" fillId="2" borderId="1" xfId="0" applyNumberFormat="1" applyFont="1" applyFill="1" applyBorder="1"/>
    <xf numFmtId="1" fontId="24" fillId="2" borderId="1" xfId="0" applyNumberFormat="1" applyFont="1" applyFill="1" applyBorder="1" applyAlignment="1" applyProtection="1">
      <alignment vertical="top"/>
      <protection locked="0"/>
    </xf>
    <xf numFmtId="1" fontId="0" fillId="0" borderId="14" xfId="0" applyNumberFormat="1" applyFont="1" applyFill="1" applyBorder="1"/>
    <xf numFmtId="1" fontId="0" fillId="2" borderId="13" xfId="0" applyNumberFormat="1" applyFont="1" applyFill="1" applyBorder="1"/>
    <xf numFmtId="1" fontId="0" fillId="2" borderId="20" xfId="0" applyNumberFormat="1" applyFont="1" applyFill="1" applyBorder="1"/>
    <xf numFmtId="1" fontId="0" fillId="2" borderId="18" xfId="0" applyNumberFormat="1" applyFont="1" applyFill="1" applyBorder="1"/>
    <xf numFmtId="1" fontId="0" fillId="2" borderId="1" xfId="0" applyNumberFormat="1" applyFont="1" applyFill="1" applyBorder="1" applyAlignment="1">
      <alignment vertical="top"/>
    </xf>
    <xf numFmtId="0" fontId="24" fillId="0" borderId="0" xfId="0" applyFont="1" applyFill="1" applyBorder="1" applyAlignment="1">
      <alignment vertical="top"/>
    </xf>
    <xf numFmtId="0" fontId="2" fillId="0" borderId="0" xfId="0" applyFont="1" applyFill="1" applyBorder="1"/>
    <xf numFmtId="0" fontId="27" fillId="0" borderId="0" xfId="0" applyFont="1" applyFill="1"/>
    <xf numFmtId="0" fontId="0" fillId="0" borderId="0" xfId="0" applyFont="1" applyAlignment="1">
      <alignment horizontal="left" vertical="top"/>
    </xf>
    <xf numFmtId="0" fontId="0" fillId="0" borderId="0" xfId="0" applyFill="1" applyBorder="1" applyAlignment="1"/>
    <xf numFmtId="0" fontId="24" fillId="0" borderId="0" xfId="44" applyFont="1" applyFill="1" applyAlignment="1">
      <alignment horizontal="left" vertical="top"/>
    </xf>
    <xf numFmtId="0" fontId="28" fillId="0" borderId="0" xfId="0" applyFont="1" applyFill="1"/>
    <xf numFmtId="0" fontId="29" fillId="34" borderId="0" xfId="0" applyFont="1" applyFill="1"/>
    <xf numFmtId="0" fontId="0" fillId="34" borderId="0" xfId="0" applyFill="1"/>
    <xf numFmtId="0" fontId="28" fillId="34" borderId="0" xfId="0" applyFont="1" applyFill="1"/>
    <xf numFmtId="0" fontId="27" fillId="34" borderId="0" xfId="0" applyFont="1" applyFill="1"/>
    <xf numFmtId="0" fontId="2" fillId="0" borderId="1" xfId="44" applyFont="1" applyFill="1" applyBorder="1" applyAlignment="1">
      <alignment vertical="top" wrapText="1"/>
    </xf>
    <xf numFmtId="0" fontId="2" fillId="0" borderId="0" xfId="0" applyFont="1" applyAlignment="1">
      <alignment horizontal="left" vertical="top"/>
    </xf>
    <xf numFmtId="0" fontId="0" fillId="0" borderId="1" xfId="0" applyFill="1" applyBorder="1" applyProtection="1">
      <protection locked="0"/>
    </xf>
    <xf numFmtId="0" fontId="0" fillId="0" borderId="15" xfId="0" applyFill="1" applyBorder="1" applyProtection="1">
      <protection locked="0"/>
    </xf>
    <xf numFmtId="4" fontId="0" fillId="35" borderId="1" xfId="0" applyNumberFormat="1" applyFill="1" applyBorder="1"/>
    <xf numFmtId="2" fontId="0" fillId="35" borderId="1" xfId="0" applyNumberFormat="1" applyFill="1" applyBorder="1"/>
    <xf numFmtId="0" fontId="0" fillId="0" borderId="0" xfId="0" applyFill="1" applyBorder="1" applyProtection="1">
      <protection locked="0"/>
    </xf>
    <xf numFmtId="4" fontId="0" fillId="0" borderId="0" xfId="0" applyNumberFormat="1" applyFill="1" applyBorder="1"/>
    <xf numFmtId="2" fontId="0" fillId="0" borderId="0" xfId="0" applyNumberFormat="1" applyFill="1" applyBorder="1" applyProtection="1">
      <protection locked="0"/>
    </xf>
    <xf numFmtId="0" fontId="0" fillId="0" borderId="0" xfId="0" quotePrefix="1"/>
    <xf numFmtId="0" fontId="24" fillId="0" borderId="0" xfId="0" applyFont="1" applyFill="1" applyAlignment="1">
      <alignment vertical="top"/>
    </xf>
    <xf numFmtId="0" fontId="27" fillId="0" borderId="0" xfId="0" applyFont="1" applyFill="1" applyAlignment="1">
      <alignment vertical="top"/>
    </xf>
    <xf numFmtId="0" fontId="1" fillId="0" borderId="1" xfId="44" applyFont="1" applyFill="1" applyBorder="1" applyAlignment="1">
      <alignment vertical="top" wrapText="1"/>
    </xf>
    <xf numFmtId="2" fontId="0" fillId="0" borderId="1" xfId="0" applyNumberFormat="1" applyBorder="1" applyAlignment="1" applyProtection="1">
      <alignment vertical="top"/>
      <protection locked="0"/>
    </xf>
    <xf numFmtId="0" fontId="0" fillId="0" borderId="0" xfId="0" quotePrefix="1" applyFont="1" applyFill="1" applyAlignment="1">
      <alignment horizontal="left" vertical="top"/>
    </xf>
    <xf numFmtId="0" fontId="2" fillId="0" borderId="0" xfId="0" applyFont="1" applyAlignment="1">
      <alignment horizontal="center" vertical="top"/>
    </xf>
    <xf numFmtId="0" fontId="28" fillId="0" borderId="1" xfId="44" applyFont="1" applyFill="1" applyBorder="1" applyAlignment="1">
      <alignment horizontal="right" vertical="top" wrapText="1"/>
    </xf>
    <xf numFmtId="0" fontId="31" fillId="0" borderId="1" xfId="45" applyFont="1" applyBorder="1" applyAlignment="1">
      <alignment horizontal="left" vertical="top"/>
    </xf>
    <xf numFmtId="0" fontId="31" fillId="0" borderId="1" xfId="45" applyFont="1" applyBorder="1" applyAlignment="1">
      <alignment horizontal="left" vertical="top" wrapText="1"/>
    </xf>
    <xf numFmtId="49" fontId="31" fillId="0" borderId="1" xfId="45" applyNumberFormat="1" applyFont="1" applyBorder="1" applyAlignment="1">
      <alignment horizontal="left" vertical="top" wrapText="1"/>
    </xf>
    <xf numFmtId="0" fontId="31" fillId="36" borderId="0" xfId="45" applyFont="1" applyFill="1" applyAlignment="1">
      <alignment horizontal="left" vertical="top"/>
    </xf>
    <xf numFmtId="49" fontId="31" fillId="0" borderId="1" xfId="45" applyNumberFormat="1" applyFont="1" applyBorder="1" applyAlignment="1">
      <alignment horizontal="left" vertical="top"/>
    </xf>
    <xf numFmtId="0" fontId="0" fillId="0" borderId="1" xfId="46" applyFont="1" applyBorder="1" applyAlignment="1">
      <alignment vertical="top"/>
    </xf>
    <xf numFmtId="14" fontId="1" fillId="0" borderId="1" xfId="46" applyNumberFormat="1" applyFont="1" applyBorder="1" applyAlignment="1">
      <alignment horizontal="left" vertical="top"/>
    </xf>
    <xf numFmtId="49" fontId="1" fillId="0" borderId="1" xfId="46" applyNumberFormat="1" applyFont="1" applyBorder="1" applyAlignment="1">
      <alignment vertical="top"/>
    </xf>
    <xf numFmtId="0" fontId="0" fillId="0" borderId="1" xfId="46" applyFont="1" applyBorder="1" applyAlignment="1">
      <alignment vertical="top" wrapText="1"/>
    </xf>
    <xf numFmtId="0" fontId="1" fillId="0" borderId="1" xfId="46" applyFont="1" applyBorder="1" applyAlignment="1">
      <alignment vertical="top"/>
    </xf>
    <xf numFmtId="49" fontId="0" fillId="0" borderId="1" xfId="46" applyNumberFormat="1" applyFont="1" applyBorder="1" applyAlignment="1">
      <alignment vertical="top"/>
    </xf>
    <xf numFmtId="0" fontId="4" fillId="0" borderId="1" xfId="0" applyFont="1" applyBorder="1" applyAlignment="1">
      <alignment horizontal="left" vertical="top" wrapText="1"/>
    </xf>
    <xf numFmtId="0" fontId="24" fillId="0" borderId="1" xfId="0" applyFont="1" applyBorder="1" applyAlignment="1">
      <alignment horizontal="left" vertical="top" wrapText="1"/>
    </xf>
    <xf numFmtId="0" fontId="33" fillId="0" borderId="0" xfId="0" applyFont="1" applyAlignment="1">
      <alignment horizontal="left" vertical="center" indent="2"/>
    </xf>
    <xf numFmtId="0" fontId="0" fillId="37" borderId="1" xfId="0" applyFill="1" applyBorder="1"/>
    <xf numFmtId="0" fontId="1" fillId="37" borderId="1" xfId="0" applyFont="1" applyFill="1" applyBorder="1" applyProtection="1">
      <protection locked="0"/>
    </xf>
    <xf numFmtId="0" fontId="24" fillId="0" borderId="1" xfId="0" applyFont="1" applyBorder="1" applyAlignment="1">
      <alignment vertical="top" wrapText="1"/>
    </xf>
    <xf numFmtId="0" fontId="3" fillId="0" borderId="0" xfId="0" applyFont="1" applyAlignment="1" applyProtection="1">
      <alignment vertical="top"/>
      <protection locked="0"/>
    </xf>
    <xf numFmtId="0" fontId="22" fillId="2" borderId="15" xfId="0" applyFont="1" applyFill="1" applyBorder="1"/>
    <xf numFmtId="0" fontId="0" fillId="2" borderId="16" xfId="0" applyFill="1" applyBorder="1"/>
    <xf numFmtId="0" fontId="0" fillId="2" borderId="17" xfId="0" applyFill="1" applyBorder="1"/>
    <xf numFmtId="0" fontId="2" fillId="39" borderId="18" xfId="0" applyFont="1" applyFill="1" applyBorder="1"/>
    <xf numFmtId="0" fontId="0" fillId="39" borderId="18" xfId="0" applyFill="1" applyBorder="1"/>
    <xf numFmtId="0" fontId="2" fillId="41" borderId="18" xfId="0" applyFont="1" applyFill="1" applyBorder="1"/>
    <xf numFmtId="0" fontId="0" fillId="41" borderId="18" xfId="0" applyFill="1" applyBorder="1"/>
    <xf numFmtId="0" fontId="2" fillId="2" borderId="1" xfId="0" applyFont="1" applyFill="1" applyBorder="1" applyAlignment="1">
      <alignment vertical="top" wrapText="1"/>
    </xf>
    <xf numFmtId="0" fontId="0" fillId="0" borderId="1" xfId="0" applyBorder="1" applyAlignment="1">
      <alignment horizontal="left" vertical="top"/>
    </xf>
    <xf numFmtId="0" fontId="0" fillId="0" borderId="1" xfId="0" applyBorder="1" applyProtection="1">
      <protection locked="0"/>
    </xf>
    <xf numFmtId="0" fontId="35" fillId="0" borderId="0" xfId="0" applyFont="1"/>
    <xf numFmtId="3" fontId="0" fillId="0" borderId="1" xfId="0" applyNumberFormat="1" applyBorder="1"/>
    <xf numFmtId="0" fontId="0" fillId="0" borderId="1" xfId="47" applyFont="1" applyBorder="1" applyAlignment="1">
      <alignment horizontal="left" vertical="top"/>
    </xf>
    <xf numFmtId="2" fontId="0" fillId="37" borderId="1" xfId="0" applyNumberFormat="1" applyFill="1" applyBorder="1"/>
    <xf numFmtId="1" fontId="0" fillId="2" borderId="1" xfId="0" applyNumberFormat="1" applyFill="1" applyBorder="1" applyAlignment="1">
      <alignment horizontal="right"/>
    </xf>
    <xf numFmtId="0" fontId="0" fillId="2" borderId="1" xfId="0" applyFill="1" applyBorder="1"/>
    <xf numFmtId="0" fontId="0" fillId="0" borderId="22" xfId="47" applyFont="1" applyBorder="1" applyAlignment="1">
      <alignment horizontal="left" vertical="top"/>
    </xf>
    <xf numFmtId="0" fontId="2" fillId="0" borderId="0" xfId="0" applyFont="1" applyFill="1" applyBorder="1" applyAlignment="1" applyProtection="1">
      <alignment horizontal="left"/>
      <protection locked="0"/>
    </xf>
    <xf numFmtId="0" fontId="24" fillId="0" borderId="1" xfId="0" applyFont="1" applyBorder="1" applyAlignment="1">
      <alignment horizontal="left" vertical="top"/>
    </xf>
    <xf numFmtId="0" fontId="24" fillId="0" borderId="1" xfId="47" applyFont="1" applyBorder="1" applyAlignment="1">
      <alignment vertical="top"/>
    </xf>
    <xf numFmtId="14" fontId="24" fillId="0" borderId="1" xfId="47" applyNumberFormat="1" applyFont="1" applyBorder="1" applyAlignment="1">
      <alignment vertical="top"/>
    </xf>
    <xf numFmtId="49" fontId="24" fillId="0" borderId="1" xfId="47" applyNumberFormat="1" applyFont="1" applyBorder="1" applyAlignment="1">
      <alignment vertical="top"/>
    </xf>
    <xf numFmtId="0" fontId="24" fillId="0" borderId="1" xfId="47" applyFont="1" applyBorder="1" applyAlignment="1">
      <alignment vertical="top" wrapText="1"/>
    </xf>
    <xf numFmtId="0" fontId="1" fillId="0" borderId="1" xfId="47" applyFont="1" applyBorder="1" applyAlignment="1">
      <alignment vertical="top"/>
    </xf>
    <xf numFmtId="14" fontId="24" fillId="0" borderId="1" xfId="47" applyNumberFormat="1" applyFont="1" applyBorder="1" applyAlignment="1">
      <alignment horizontal="left" vertical="top"/>
    </xf>
    <xf numFmtId="49" fontId="1" fillId="0" borderId="1" xfId="47" applyNumberFormat="1" applyFont="1" applyBorder="1" applyAlignment="1">
      <alignment vertical="top"/>
    </xf>
    <xf numFmtId="0" fontId="1" fillId="0" borderId="1" xfId="47" applyFont="1" applyBorder="1" applyAlignment="1">
      <alignment vertical="top" wrapText="1"/>
    </xf>
    <xf numFmtId="0" fontId="0" fillId="0" borderId="1" xfId="47" applyFont="1" applyBorder="1" applyAlignment="1">
      <alignment vertical="top" wrapText="1"/>
    </xf>
    <xf numFmtId="0" fontId="4" fillId="0" borderId="0" xfId="0" applyFont="1" applyAlignment="1">
      <alignment horizontal="left" vertical="top" wrapText="1"/>
    </xf>
    <xf numFmtId="0" fontId="2" fillId="38" borderId="18" xfId="0" applyFont="1" applyFill="1" applyBorder="1" applyAlignment="1">
      <alignment horizontal="center"/>
    </xf>
    <xf numFmtId="0" fontId="2" fillId="34" borderId="18" xfId="0" applyFont="1" applyFill="1" applyBorder="1" applyAlignment="1">
      <alignment horizontal="center"/>
    </xf>
    <xf numFmtId="0" fontId="34" fillId="40" borderId="18" xfId="0" applyFont="1" applyFill="1" applyBorder="1" applyAlignment="1">
      <alignment horizontal="center"/>
    </xf>
    <xf numFmtId="0" fontId="34" fillId="42" borderId="18" xfId="0" applyFont="1" applyFill="1" applyBorder="1" applyAlignment="1">
      <alignment horizontal="center"/>
    </xf>
  </cellXfs>
  <cellStyles count="48">
    <cellStyle name="20% - Accent1 2" xfId="21" xr:uid="{00000000-0005-0000-0000-000000000000}"/>
    <cellStyle name="20% - Accent2 2" xfId="25" xr:uid="{00000000-0005-0000-0000-000001000000}"/>
    <cellStyle name="20% - Accent3 2" xfId="29" xr:uid="{00000000-0005-0000-0000-000002000000}"/>
    <cellStyle name="20% - Accent4 2" xfId="33" xr:uid="{00000000-0005-0000-0000-000003000000}"/>
    <cellStyle name="20% - Accent5 2" xfId="37" xr:uid="{00000000-0005-0000-0000-000004000000}"/>
    <cellStyle name="20% - Accent6 2" xfId="41" xr:uid="{00000000-0005-0000-0000-000005000000}"/>
    <cellStyle name="40% - Accent1 2" xfId="22" xr:uid="{00000000-0005-0000-0000-000006000000}"/>
    <cellStyle name="40% - Accent2 2" xfId="26" xr:uid="{00000000-0005-0000-0000-000007000000}"/>
    <cellStyle name="40% - Accent3 2" xfId="30" xr:uid="{00000000-0005-0000-0000-000008000000}"/>
    <cellStyle name="40% - Accent4 2" xfId="34" xr:uid="{00000000-0005-0000-0000-000009000000}"/>
    <cellStyle name="40% - Accent5 2" xfId="38" xr:uid="{00000000-0005-0000-0000-00000A000000}"/>
    <cellStyle name="40% - Accent6 2" xfId="42" xr:uid="{00000000-0005-0000-0000-00000B000000}"/>
    <cellStyle name="60% - Accent1 2" xfId="23" xr:uid="{00000000-0005-0000-0000-00000C000000}"/>
    <cellStyle name="60% - Accent2 2" xfId="27" xr:uid="{00000000-0005-0000-0000-00000D000000}"/>
    <cellStyle name="60% - Accent3 2" xfId="31" xr:uid="{00000000-0005-0000-0000-00000E000000}"/>
    <cellStyle name="60% - Accent4 2" xfId="35" xr:uid="{00000000-0005-0000-0000-00000F000000}"/>
    <cellStyle name="60% - Accent5 2" xfId="39" xr:uid="{00000000-0005-0000-0000-000010000000}"/>
    <cellStyle name="60% - Accent6 2" xfId="43" xr:uid="{00000000-0005-0000-0000-000011000000}"/>
    <cellStyle name="Accent1 2" xfId="20" xr:uid="{00000000-0005-0000-0000-000012000000}"/>
    <cellStyle name="Accent2 2" xfId="24" xr:uid="{00000000-0005-0000-0000-000013000000}"/>
    <cellStyle name="Accent3 2" xfId="28" xr:uid="{00000000-0005-0000-0000-000014000000}"/>
    <cellStyle name="Accent4 2" xfId="32" xr:uid="{00000000-0005-0000-0000-000015000000}"/>
    <cellStyle name="Accent5 2" xfId="36" xr:uid="{00000000-0005-0000-0000-000016000000}"/>
    <cellStyle name="Accent6 2" xfId="40" xr:uid="{00000000-0005-0000-0000-000017000000}"/>
    <cellStyle name="Bad 2" xfId="9" xr:uid="{00000000-0005-0000-0000-000018000000}"/>
    <cellStyle name="Calculation 2" xfId="13" xr:uid="{00000000-0005-0000-0000-000019000000}"/>
    <cellStyle name="Check Cell 2" xfId="15" xr:uid="{00000000-0005-0000-0000-00001A000000}"/>
    <cellStyle name="Explanatory Text 2" xfId="18" xr:uid="{00000000-0005-0000-0000-00001B000000}"/>
    <cellStyle name="Good 2" xfId="8" xr:uid="{00000000-0005-0000-0000-00001C000000}"/>
    <cellStyle name="Input 2" xfId="11" xr:uid="{00000000-0005-0000-0000-000021000000}"/>
    <cellStyle name="Linked Cell 2" xfId="14" xr:uid="{00000000-0005-0000-0000-000022000000}"/>
    <cellStyle name="Neutral 2" xfId="10" xr:uid="{00000000-0005-0000-0000-000023000000}"/>
    <cellStyle name="Normal" xfId="0" builtinId="0"/>
    <cellStyle name="Normal 2" xfId="7" xr:uid="{00000000-0005-0000-0000-000025000000}"/>
    <cellStyle name="Normal 2 2" xfId="46" xr:uid="{00000000-0005-0000-0000-000026000000}"/>
    <cellStyle name="Normal 2 2 2" xfId="47" xr:uid="{DEE494BB-D4FA-4861-BB95-35AC58EA7746}"/>
    <cellStyle name="Normal 3" xfId="44" xr:uid="{00000000-0005-0000-0000-000027000000}"/>
    <cellStyle name="Normal 4" xfId="45" xr:uid="{00000000-0005-0000-0000-000028000000}"/>
    <cellStyle name="Note 2" xfId="17" xr:uid="{00000000-0005-0000-0000-000029000000}"/>
    <cellStyle name="Output 2" xfId="12" xr:uid="{00000000-0005-0000-0000-00002A000000}"/>
    <cellStyle name="Pourcentage" xfId="1" builtinId="5"/>
    <cellStyle name="Titre" xfId="2" builtinId="15" customBuiltin="1"/>
    <cellStyle name="Titre 1" xfId="3" builtinId="16" customBuiltin="1"/>
    <cellStyle name="Titre 2" xfId="4" builtinId="17" customBuiltin="1"/>
    <cellStyle name="Titre 3" xfId="5" builtinId="18" customBuiltin="1"/>
    <cellStyle name="Titre 4" xfId="6" builtinId="19" customBuiltin="1"/>
    <cellStyle name="Total 2" xfId="19" xr:uid="{00000000-0005-0000-0000-00002D000000}"/>
    <cellStyle name="Warning Text 2" xfId="16" xr:uid="{00000000-0005-0000-0000-00002E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493929016732532"/>
          <c:y val="7.1287908625443083E-2"/>
          <c:w val="0.79038792972366367"/>
          <c:h val="0.72547381310448023"/>
        </c:manualLayout>
      </c:layout>
      <c:barChart>
        <c:barDir val="col"/>
        <c:grouping val="clustered"/>
        <c:varyColors val="0"/>
        <c:ser>
          <c:idx val="1"/>
          <c:order val="0"/>
          <c:spPr>
            <a:solidFill>
              <a:schemeClr val="bg1">
                <a:lumMod val="85000"/>
              </a:schemeClr>
            </a:solidFill>
            <a:ln>
              <a:solidFill>
                <a:schemeClr val="bg1">
                  <a:lumMod val="50000"/>
                </a:schemeClr>
              </a:solidFill>
            </a:ln>
            <a:effectLst/>
          </c:spPr>
          <c:invertIfNegative val="0"/>
          <c:val>
            <c:numRef>
              <c:f>'Indicateur 1.6'!$H$7:$H$11</c:f>
              <c:numCache>
                <c:formatCode>0.00</c:formatCode>
                <c:ptCount val="5"/>
                <c:pt idx="0">
                  <c:v>0.93353076351832054</c:v>
                </c:pt>
                <c:pt idx="1">
                  <c:v>0</c:v>
                </c:pt>
                <c:pt idx="2">
                  <c:v>3.2691393747070405</c:v>
                </c:pt>
                <c:pt idx="3">
                  <c:v>20.510014724275536</c:v>
                </c:pt>
                <c:pt idx="4">
                  <c:v>75.287315137499107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749-4C4B-A00C-E01CDB703A3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6"/>
        <c:overlap val="-27"/>
        <c:axId val="527342520"/>
        <c:axId val="527342192"/>
      </c:barChart>
      <c:catAx>
        <c:axId val="527342520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100" b="0" i="1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de-CH" sz="1100" i="1">
                    <a:solidFill>
                      <a:sysClr val="windowText" lastClr="000000"/>
                    </a:solidFill>
                  </a:rPr>
                  <a:t>Capacité à la mobilisation (type de substrat)</a:t>
                </a:r>
              </a:p>
            </c:rich>
          </c:tx>
          <c:layout>
            <c:manualLayout>
              <c:xMode val="edge"/>
              <c:yMode val="edge"/>
              <c:x val="0.4962188156360412"/>
              <c:y val="0.8983083778335216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100" b="0" i="1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bg1">
                <a:lumMod val="50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7342192"/>
        <c:crosses val="autoZero"/>
        <c:auto val="1"/>
        <c:lblAlgn val="ctr"/>
        <c:lblOffset val="100"/>
        <c:noMultiLvlLbl val="0"/>
      </c:catAx>
      <c:valAx>
        <c:axId val="527342192"/>
        <c:scaling>
          <c:orientation val="minMax"/>
          <c:max val="100"/>
        </c:scaling>
        <c:delete val="0"/>
        <c:axPos val="l"/>
        <c:majorGridlines>
          <c:spPr>
            <a:ln w="9525" cap="flat" cmpd="sng" algn="ctr">
              <a:solidFill>
                <a:schemeClr val="tx1"/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1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100" i="1">
                    <a:solidFill>
                      <a:sysClr val="windowText" lastClr="000000"/>
                    </a:solidFill>
                  </a:rPr>
                  <a:t>Proportion des surfaces p [%]</a:t>
                </a:r>
              </a:p>
            </c:rich>
          </c:tx>
          <c:layout>
            <c:manualLayout>
              <c:xMode val="edge"/>
              <c:yMode val="edge"/>
              <c:x val="2.5230451614966246E-2"/>
              <c:y val="0.1973266751864037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1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fr-F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527342520"/>
        <c:crosses val="autoZero"/>
        <c:crossBetween val="between"/>
        <c:majorUnit val="20"/>
      </c:valAx>
      <c:spPr>
        <a:noFill/>
        <a:ln>
          <a:solidFill>
            <a:schemeClr val="tx1"/>
          </a:solidFill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8740157499999996" l="0.7" r="0.7" t="0.78740157499999996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/Relationships>
</file>

<file path=xl/drawings/_rels/drawing3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emf"/><Relationship Id="rId2" Type="http://schemas.openxmlformats.org/officeDocument/2006/relationships/image" Target="../media/image6.emf"/><Relationship Id="rId1" Type="http://schemas.openxmlformats.org/officeDocument/2006/relationships/image" Target="../media/image5.emf"/><Relationship Id="rId4" Type="http://schemas.openxmlformats.org/officeDocument/2006/relationships/image" Target="../media/image8.emf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0.png"/><Relationship Id="rId1" Type="http://schemas.openxmlformats.org/officeDocument/2006/relationships/image" Target="../media/image9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11.png"/><Relationship Id="rId1" Type="http://schemas.openxmlformats.org/officeDocument/2006/relationships/chart" Target="../charts/chart1.xml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13.png"/><Relationship Id="rId1" Type="http://schemas.openxmlformats.org/officeDocument/2006/relationships/image" Target="../media/image12.png"/></Relationships>
</file>

<file path=xl/drawings/_rels/drawing7.xml.rels><?xml version="1.0" encoding="UTF-8" standalone="yes"?>
<Relationships xmlns="http://schemas.openxmlformats.org/package/2006/relationships"><Relationship Id="rId3" Type="http://schemas.openxmlformats.org/officeDocument/2006/relationships/image" Target="../media/image16.emf"/><Relationship Id="rId2" Type="http://schemas.openxmlformats.org/officeDocument/2006/relationships/image" Target="../media/image15.emf"/><Relationship Id="rId1" Type="http://schemas.openxmlformats.org/officeDocument/2006/relationships/image" Target="../media/image14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31750</xdr:colOff>
      <xdr:row>35</xdr:row>
      <xdr:rowOff>119530</xdr:rowOff>
    </xdr:from>
    <xdr:to>
      <xdr:col>9</xdr:col>
      <xdr:colOff>5064125</xdr:colOff>
      <xdr:row>53</xdr:row>
      <xdr:rowOff>119530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700809" y="6828118"/>
          <a:ext cx="5435787" cy="3361765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831274</xdr:colOff>
      <xdr:row>59</xdr:row>
      <xdr:rowOff>115455</xdr:rowOff>
    </xdr:from>
    <xdr:to>
      <xdr:col>8</xdr:col>
      <xdr:colOff>2770909</xdr:colOff>
      <xdr:row>70</xdr:row>
      <xdr:rowOff>143321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00000000-0008-0000-01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74365" y="11199091"/>
          <a:ext cx="3544453" cy="2059866"/>
        </a:xfrm>
        <a:prstGeom prst="rect">
          <a:avLst/>
        </a:prstGeom>
      </xdr:spPr>
    </xdr:pic>
    <xdr:clientData/>
  </xdr:twoCellAnchor>
  <xdr:twoCellAnchor editAs="oneCell">
    <xdr:from>
      <xdr:col>7</xdr:col>
      <xdr:colOff>15876</xdr:colOff>
      <xdr:row>47</xdr:row>
      <xdr:rowOff>46181</xdr:rowOff>
    </xdr:from>
    <xdr:to>
      <xdr:col>8</xdr:col>
      <xdr:colOff>6627092</xdr:colOff>
      <xdr:row>50</xdr:row>
      <xdr:rowOff>174796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8536421" y="8901545"/>
          <a:ext cx="7338580" cy="682796"/>
        </a:xfrm>
        <a:prstGeom prst="rect">
          <a:avLst/>
        </a:prstGeom>
        <a:ln w="12700">
          <a:solidFill>
            <a:sysClr val="windowText" lastClr="000000"/>
          </a:solidFill>
        </a:ln>
      </xdr:spPr>
    </xdr:pic>
    <xdr:clientData/>
  </xdr:twoCellAnchor>
  <xdr:twoCellAnchor editAs="oneCell">
    <xdr:from>
      <xdr:col>7</xdr:col>
      <xdr:colOff>0</xdr:colOff>
      <xdr:row>71</xdr:row>
      <xdr:rowOff>0</xdr:rowOff>
    </xdr:from>
    <xdr:to>
      <xdr:col>8</xdr:col>
      <xdr:colOff>2545235</xdr:colOff>
      <xdr:row>88</xdr:row>
      <xdr:rowOff>143828</xdr:rowOff>
    </xdr:to>
    <xdr:pic>
      <xdr:nvPicPr>
        <xdr:cNvPr id="10" name="Image 3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8115300" y="13696950"/>
          <a:ext cx="3240560" cy="3382328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12</xdr:col>
      <xdr:colOff>0</xdr:colOff>
      <xdr:row>11</xdr:row>
      <xdr:rowOff>0</xdr:rowOff>
    </xdr:from>
    <xdr:to>
      <xdr:col>14</xdr:col>
      <xdr:colOff>598779</xdr:colOff>
      <xdr:row>16</xdr:row>
      <xdr:rowOff>6841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2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2209800"/>
          <a:ext cx="4456404" cy="959341"/>
        </a:xfrm>
        <a:prstGeom prst="rect">
          <a:avLst/>
        </a:prstGeom>
        <a:noFill/>
        <a:ln w="3175"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12</xdr:col>
      <xdr:colOff>0</xdr:colOff>
      <xdr:row>17</xdr:row>
      <xdr:rowOff>0</xdr:rowOff>
    </xdr:from>
    <xdr:to>
      <xdr:col>14</xdr:col>
      <xdr:colOff>598779</xdr:colOff>
      <xdr:row>36</xdr:row>
      <xdr:rowOff>6074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00000000-0008-0000-02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973175" y="3352800"/>
          <a:ext cx="4456404" cy="3625574"/>
        </a:xfrm>
        <a:prstGeom prst="rect">
          <a:avLst/>
        </a:prstGeom>
        <a:noFill/>
        <a:ln w="3175"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11</xdr:row>
      <xdr:rowOff>0</xdr:rowOff>
    </xdr:from>
    <xdr:to>
      <xdr:col>18</xdr:col>
      <xdr:colOff>582450</xdr:colOff>
      <xdr:row>16</xdr:row>
      <xdr:rowOff>9299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00000000-0008-0000-02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78650" y="2209800"/>
          <a:ext cx="4449600" cy="961799"/>
        </a:xfrm>
        <a:prstGeom prst="rect">
          <a:avLst/>
        </a:prstGeom>
        <a:noFill/>
        <a:ln w="3175">
          <a:solidFill>
            <a:schemeClr val="tx1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16</xdr:col>
      <xdr:colOff>0</xdr:colOff>
      <xdr:row>17</xdr:row>
      <xdr:rowOff>0</xdr:rowOff>
    </xdr:from>
    <xdr:to>
      <xdr:col>18</xdr:col>
      <xdr:colOff>582450</xdr:colOff>
      <xdr:row>37</xdr:row>
      <xdr:rowOff>69185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00000000-0008-0000-02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9678650" y="3352800"/>
          <a:ext cx="4449600" cy="3879185"/>
        </a:xfrm>
        <a:prstGeom prst="rect">
          <a:avLst/>
        </a:prstGeom>
        <a:noFill/>
        <a:ln w="3175">
          <a:solidFill>
            <a:sysClr val="windowText" lastClr="000000"/>
          </a:solidFill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1297214</xdr:colOff>
      <xdr:row>23</xdr:row>
      <xdr:rowOff>172359</xdr:rowOff>
    </xdr:from>
    <xdr:to>
      <xdr:col>8</xdr:col>
      <xdr:colOff>27214</xdr:colOff>
      <xdr:row>31</xdr:row>
      <xdr:rowOff>87526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3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94500" y="4490359"/>
          <a:ext cx="6440714" cy="1366596"/>
        </a:xfrm>
        <a:prstGeom prst="rect">
          <a:avLst/>
        </a:prstGeom>
        <a:ln w="12700">
          <a:solidFill>
            <a:sysClr val="windowText" lastClr="000000"/>
          </a:solidFill>
        </a:ln>
      </xdr:spPr>
    </xdr:pic>
    <xdr:clientData/>
  </xdr:twoCellAnchor>
  <xdr:twoCellAnchor editAs="oneCell">
    <xdr:from>
      <xdr:col>5</xdr:col>
      <xdr:colOff>1315357</xdr:colOff>
      <xdr:row>19</xdr:row>
      <xdr:rowOff>9071</xdr:rowOff>
    </xdr:from>
    <xdr:to>
      <xdr:col>7</xdr:col>
      <xdr:colOff>5660572</xdr:colOff>
      <xdr:row>23</xdr:row>
      <xdr:rowOff>42796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6812643" y="3601357"/>
          <a:ext cx="6368143" cy="759439"/>
        </a:xfrm>
        <a:prstGeom prst="rect">
          <a:avLst/>
        </a:prstGeom>
        <a:ln w="12700">
          <a:solidFill>
            <a:sysClr val="windowText" lastClr="000000"/>
          </a:solidFill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13</xdr:row>
      <xdr:rowOff>0</xdr:rowOff>
    </xdr:from>
    <xdr:to>
      <xdr:col>5</xdr:col>
      <xdr:colOff>1196790</xdr:colOff>
      <xdr:row>26</xdr:row>
      <xdr:rowOff>179294</xdr:rowOff>
    </xdr:to>
    <xdr:graphicFrame macro="">
      <xdr:nvGraphicFramePr>
        <xdr:cNvPr id="4" name="Diagramm 1">
          <a:extLst>
            <a:ext uri="{FF2B5EF4-FFF2-40B4-BE49-F238E27FC236}">
              <a16:creationId xmlns:a16="http://schemas.microsoft.com/office/drawing/2014/main" id="{00000000-0008-0000-04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9</xdr:col>
      <xdr:colOff>173181</xdr:colOff>
      <xdr:row>8</xdr:row>
      <xdr:rowOff>161636</xdr:rowOff>
    </xdr:from>
    <xdr:to>
      <xdr:col>11</xdr:col>
      <xdr:colOff>670334</xdr:colOff>
      <xdr:row>49</xdr:row>
      <xdr:rowOff>-1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3808363" y="1789545"/>
          <a:ext cx="4699698" cy="7423727"/>
        </a:xfrm>
        <a:prstGeom prst="rect">
          <a:avLst/>
        </a:prstGeom>
        <a:ln>
          <a:solidFill>
            <a:sysClr val="windowText" lastClr="000000"/>
          </a:solidFill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28575</xdr:colOff>
      <xdr:row>15</xdr:row>
      <xdr:rowOff>38100</xdr:rowOff>
    </xdr:from>
    <xdr:to>
      <xdr:col>13</xdr:col>
      <xdr:colOff>291646</xdr:colOff>
      <xdr:row>28</xdr:row>
      <xdr:rowOff>169136</xdr:rowOff>
    </xdr:to>
    <xdr:pic>
      <xdr:nvPicPr>
        <xdr:cNvPr id="2" name="Imag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6957675" y="2946400"/>
          <a:ext cx="2733221" cy="2747236"/>
        </a:xfrm>
        <a:prstGeom prst="rect">
          <a:avLst/>
        </a:prstGeom>
        <a:solidFill>
          <a:schemeClr val="bg1"/>
        </a:solidFill>
        <a:ln w="19050">
          <a:solidFill>
            <a:sysClr val="windowText" lastClr="000000"/>
          </a:solidFill>
        </a:ln>
      </xdr:spPr>
    </xdr:pic>
    <xdr:clientData/>
  </xdr:twoCellAnchor>
  <xdr:twoCellAnchor editAs="oneCell">
    <xdr:from>
      <xdr:col>10</xdr:col>
      <xdr:colOff>19050</xdr:colOff>
      <xdr:row>30</xdr:row>
      <xdr:rowOff>57150</xdr:rowOff>
    </xdr:from>
    <xdr:to>
      <xdr:col>13</xdr:col>
      <xdr:colOff>326572</xdr:colOff>
      <xdr:row>43</xdr:row>
      <xdr:rowOff>160186</xdr:rowOff>
    </xdr:to>
    <xdr:pic>
      <xdr:nvPicPr>
        <xdr:cNvPr id="3" name="Image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6948150" y="5949950"/>
          <a:ext cx="2777672" cy="2738286"/>
        </a:xfrm>
        <a:prstGeom prst="rect">
          <a:avLst/>
        </a:prstGeom>
        <a:solidFill>
          <a:schemeClr val="bg1"/>
        </a:solidFill>
        <a:ln w="19050">
          <a:solidFill>
            <a:sysClr val="windowText" lastClr="000000"/>
          </a:solidFill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0</xdr:colOff>
      <xdr:row>15</xdr:row>
      <xdr:rowOff>59202</xdr:rowOff>
    </xdr:from>
    <xdr:to>
      <xdr:col>7</xdr:col>
      <xdr:colOff>133349</xdr:colOff>
      <xdr:row>24</xdr:row>
      <xdr:rowOff>0</xdr:rowOff>
    </xdr:to>
    <xdr:pic>
      <xdr:nvPicPr>
        <xdr:cNvPr id="6" name="Image 5">
          <a:extLst>
            <a:ext uri="{FF2B5EF4-FFF2-40B4-BE49-F238E27FC236}">
              <a16:creationId xmlns:a16="http://schemas.microsoft.com/office/drawing/2014/main" id="{00000000-0008-0000-07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124700" y="3440577"/>
          <a:ext cx="4190999" cy="1655298"/>
        </a:xfrm>
        <a:prstGeom prst="rect">
          <a:avLst/>
        </a:prstGeom>
        <a:ln w="12700">
          <a:solidFill>
            <a:sysClr val="windowText" lastClr="000000"/>
          </a:solidFill>
        </a:ln>
      </xdr:spPr>
    </xdr:pic>
    <xdr:clientData/>
  </xdr:twoCellAnchor>
  <xdr:twoCellAnchor>
    <xdr:from>
      <xdr:col>5</xdr:col>
      <xdr:colOff>0</xdr:colOff>
      <xdr:row>27</xdr:row>
      <xdr:rowOff>57150</xdr:rowOff>
    </xdr:from>
    <xdr:to>
      <xdr:col>6</xdr:col>
      <xdr:colOff>2056950</xdr:colOff>
      <xdr:row>41</xdr:row>
      <xdr:rowOff>93436</xdr:rowOff>
    </xdr:to>
    <xdr:pic>
      <xdr:nvPicPr>
        <xdr:cNvPr id="5" name="Image 4" descr="fr_SB_Abb_8_7_V1_03">
          <a:extLst>
            <a:ext uri="{FF2B5EF4-FFF2-40B4-BE49-F238E27FC236}">
              <a16:creationId xmlns:a16="http://schemas.microsoft.com/office/drawing/2014/main" id="{00000000-0008-0000-07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124700" y="5724525"/>
          <a:ext cx="2818950" cy="2703286"/>
        </a:xfrm>
        <a:prstGeom prst="rect">
          <a:avLst/>
        </a:prstGeom>
        <a:solidFill>
          <a:schemeClr val="bg1"/>
        </a:solidFill>
        <a:ln w="12700">
          <a:solidFill>
            <a:srgbClr val="000000"/>
          </a:solidFill>
          <a:miter lim="800000"/>
          <a:headEnd/>
          <a:tailEnd/>
        </a:ln>
      </xdr:spPr>
    </xdr:pic>
    <xdr:clientData/>
  </xdr:twoCellAnchor>
  <xdr:twoCellAnchor>
    <xdr:from>
      <xdr:col>10</xdr:col>
      <xdr:colOff>9072</xdr:colOff>
      <xdr:row>11</xdr:row>
      <xdr:rowOff>84818</xdr:rowOff>
    </xdr:from>
    <xdr:to>
      <xdr:col>12</xdr:col>
      <xdr:colOff>743857</xdr:colOff>
      <xdr:row>24</xdr:row>
      <xdr:rowOff>109765</xdr:rowOff>
    </xdr:to>
    <xdr:pic>
      <xdr:nvPicPr>
        <xdr:cNvPr id="7" name="Image 6" descr="fr_SB_Abb_8_8_V1_03">
          <a:extLst>
            <a:ext uri="{FF2B5EF4-FFF2-40B4-BE49-F238E27FC236}">
              <a16:creationId xmlns:a16="http://schemas.microsoft.com/office/drawing/2014/main" id="{00000000-0008-0000-07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477422" y="2513693"/>
          <a:ext cx="4506685" cy="2501447"/>
        </a:xfrm>
        <a:prstGeom prst="rect">
          <a:avLst/>
        </a:prstGeom>
        <a:solidFill>
          <a:schemeClr val="bg1"/>
        </a:solidFill>
        <a:ln w="12700">
          <a:solidFill>
            <a:srgbClr val="000000"/>
          </a:solidFill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47"/>
  <sheetViews>
    <sheetView zoomScaleNormal="100" workbookViewId="0"/>
  </sheetViews>
  <sheetFormatPr baseColWidth="10" defaultColWidth="11.453125" defaultRowHeight="14.5" x14ac:dyDescent="0.35"/>
  <cols>
    <col min="1" max="1" width="13.1796875" style="4" customWidth="1"/>
    <col min="2" max="2" width="12.26953125" style="73" bestFit="1" customWidth="1"/>
    <col min="3" max="3" width="27.7265625" style="4" bestFit="1" customWidth="1"/>
    <col min="4" max="4" width="17.1796875" style="6" customWidth="1"/>
    <col min="5" max="5" width="9.54296875" style="6" customWidth="1"/>
    <col min="6" max="6" width="45.1796875" style="6" bestFit="1" customWidth="1"/>
    <col min="7" max="7" width="17.1796875" style="6" customWidth="1"/>
    <col min="8" max="8" width="24.81640625" customWidth="1"/>
    <col min="9" max="9" width="5.7265625" style="76" bestFit="1" customWidth="1"/>
    <col min="10" max="10" width="92.7265625" style="75" bestFit="1" customWidth="1"/>
    <col min="11" max="14" width="11.26953125" style="75" bestFit="1" customWidth="1"/>
    <col min="15" max="15" width="11.453125" style="75"/>
    <col min="17" max="17" width="10.54296875" customWidth="1"/>
    <col min="18" max="18" width="91.54296875" bestFit="1" customWidth="1"/>
    <col min="21" max="21" width="44.81640625" customWidth="1"/>
  </cols>
  <sheetData>
    <row r="1" spans="1:22" ht="26" x14ac:dyDescent="0.6">
      <c r="A1" s="1" t="s">
        <v>44</v>
      </c>
      <c r="B1" s="170"/>
      <c r="C1" s="71"/>
      <c r="I1" s="1" t="s">
        <v>55</v>
      </c>
    </row>
    <row r="2" spans="1:22" x14ac:dyDescent="0.35">
      <c r="A2" s="129" t="s">
        <v>285</v>
      </c>
      <c r="B2" s="170"/>
      <c r="C2" s="71"/>
    </row>
    <row r="3" spans="1:22" x14ac:dyDescent="0.35">
      <c r="A3" s="65"/>
      <c r="B3" s="170"/>
      <c r="C3" s="71"/>
    </row>
    <row r="4" spans="1:22" x14ac:dyDescent="0.35">
      <c r="A4" s="2" t="s">
        <v>45</v>
      </c>
      <c r="B4" s="170"/>
      <c r="C4" s="71"/>
      <c r="E4" s="13" t="s">
        <v>49</v>
      </c>
      <c r="I4" s="13" t="s">
        <v>56</v>
      </c>
      <c r="J4" s="13"/>
      <c r="Q4" s="13" t="s">
        <v>81</v>
      </c>
    </row>
    <row r="5" spans="1:22" x14ac:dyDescent="0.35">
      <c r="A5" s="90" t="s">
        <v>46</v>
      </c>
      <c r="B5" s="170"/>
      <c r="C5" s="92"/>
    </row>
    <row r="6" spans="1:22" x14ac:dyDescent="0.35">
      <c r="A6"/>
      <c r="B6" s="170"/>
      <c r="C6" s="71"/>
    </row>
    <row r="7" spans="1:22" x14ac:dyDescent="0.35">
      <c r="A7" s="5" t="s">
        <v>41</v>
      </c>
      <c r="B7" s="171" t="s">
        <v>47</v>
      </c>
      <c r="C7" s="140" t="s">
        <v>48</v>
      </c>
      <c r="E7" s="104"/>
      <c r="F7" s="63" t="s">
        <v>50</v>
      </c>
      <c r="G7" s="184">
        <f>SUM(B:B)</f>
        <v>1265.1169400000001</v>
      </c>
      <c r="H7" s="65"/>
      <c r="I7" s="76" t="s">
        <v>35</v>
      </c>
      <c r="K7" s="140" t="s">
        <v>85</v>
      </c>
      <c r="L7" s="113"/>
      <c r="M7" s="113"/>
      <c r="N7" s="113"/>
      <c r="O7" s="114"/>
      <c r="P7" s="65"/>
      <c r="Q7" s="74" t="s">
        <v>23</v>
      </c>
      <c r="R7" s="164" t="s">
        <v>82</v>
      </c>
      <c r="S7" s="183">
        <v>34</v>
      </c>
      <c r="T7" s="65"/>
      <c r="U7" s="112"/>
      <c r="V7" s="22"/>
    </row>
    <row r="8" spans="1:22" x14ac:dyDescent="0.35">
      <c r="A8" s="105">
        <v>7</v>
      </c>
      <c r="B8" s="146">
        <v>3.9576699999999998</v>
      </c>
      <c r="C8" s="105">
        <v>1</v>
      </c>
      <c r="E8" s="104"/>
      <c r="F8" s="104" t="s">
        <v>51</v>
      </c>
      <c r="G8" s="89">
        <v>251</v>
      </c>
      <c r="K8" s="115">
        <v>1</v>
      </c>
      <c r="L8" s="115">
        <v>2</v>
      </c>
      <c r="M8" s="115">
        <v>3</v>
      </c>
      <c r="N8" s="115">
        <v>4</v>
      </c>
      <c r="O8" s="115">
        <v>5</v>
      </c>
      <c r="Q8" s="74" t="s">
        <v>24</v>
      </c>
      <c r="R8" s="164" t="s">
        <v>53</v>
      </c>
      <c r="S8" s="185">
        <f>G10</f>
        <v>60.483678406374509</v>
      </c>
      <c r="U8" s="77"/>
      <c r="V8" s="22"/>
    </row>
    <row r="9" spans="1:22" x14ac:dyDescent="0.35">
      <c r="A9" s="105">
        <v>5</v>
      </c>
      <c r="B9" s="146">
        <v>11.4223</v>
      </c>
      <c r="C9" s="105">
        <v>1</v>
      </c>
      <c r="E9" s="104"/>
      <c r="F9" s="104" t="s">
        <v>52</v>
      </c>
      <c r="G9" s="184">
        <f>G7/G8</f>
        <v>5.0403065338645421</v>
      </c>
      <c r="I9" s="72"/>
      <c r="J9" s="79" t="s">
        <v>57</v>
      </c>
      <c r="K9" s="131">
        <v>1</v>
      </c>
      <c r="L9" s="131">
        <v>1</v>
      </c>
      <c r="M9" s="131">
        <v>1</v>
      </c>
      <c r="N9" s="131">
        <v>1</v>
      </c>
      <c r="O9" s="131">
        <v>0.15</v>
      </c>
      <c r="Q9" s="74" t="s">
        <v>25</v>
      </c>
      <c r="R9" s="164" t="s">
        <v>83</v>
      </c>
      <c r="S9" s="132">
        <f>SUMPRODUCT(K9:O9,K24:O24)/G11</f>
        <v>9.3978623818669558</v>
      </c>
      <c r="T9" s="65"/>
      <c r="U9" s="112"/>
      <c r="V9" s="22"/>
    </row>
    <row r="10" spans="1:22" x14ac:dyDescent="0.35">
      <c r="A10" s="105">
        <v>6</v>
      </c>
      <c r="B10" s="146">
        <v>2.43709</v>
      </c>
      <c r="C10" s="105">
        <v>1</v>
      </c>
      <c r="E10" s="104" t="s">
        <v>24</v>
      </c>
      <c r="F10" s="74" t="s">
        <v>53</v>
      </c>
      <c r="G10" s="184">
        <f>12*G9</f>
        <v>60.483678406374509</v>
      </c>
      <c r="I10" s="72"/>
      <c r="J10" s="79" t="s">
        <v>58</v>
      </c>
      <c r="K10" s="110">
        <f>$G$10*K$9</f>
        <v>60.483678406374509</v>
      </c>
      <c r="L10" s="110">
        <f t="shared" ref="L10:O10" si="0">$G$10*L$9</f>
        <v>60.483678406374509</v>
      </c>
      <c r="M10" s="110">
        <f t="shared" si="0"/>
        <v>60.483678406374509</v>
      </c>
      <c r="N10" s="110">
        <f t="shared" si="0"/>
        <v>60.483678406374509</v>
      </c>
      <c r="O10" s="110">
        <f t="shared" si="0"/>
        <v>9.0725517609561752</v>
      </c>
      <c r="Q10" s="74" t="s">
        <v>26</v>
      </c>
      <c r="R10" s="164" t="s">
        <v>84</v>
      </c>
      <c r="S10" s="169">
        <f>SUMPRODUCT(K9:O9,K33:O33)/G11</f>
        <v>0.3102499440167617</v>
      </c>
      <c r="T10" s="65"/>
      <c r="U10" s="125"/>
    </row>
    <row r="11" spans="1:22" x14ac:dyDescent="0.35">
      <c r="A11" s="105">
        <v>7</v>
      </c>
      <c r="B11" s="146">
        <v>2.1054599999999999</v>
      </c>
      <c r="C11" s="105">
        <v>1</v>
      </c>
      <c r="E11" s="104"/>
      <c r="F11" s="104" t="s">
        <v>54</v>
      </c>
      <c r="G11" s="111">
        <f>G8/G10</f>
        <v>4.1498798785615287</v>
      </c>
      <c r="I11" s="116" t="s">
        <v>36</v>
      </c>
      <c r="J11" s="117" t="s">
        <v>59</v>
      </c>
      <c r="K11" s="63"/>
      <c r="L11" s="63"/>
      <c r="M11" s="63"/>
      <c r="N11" s="63"/>
      <c r="O11" s="63"/>
      <c r="P11" s="65"/>
      <c r="Q11" s="77"/>
      <c r="R11" s="165"/>
      <c r="S11" s="166"/>
    </row>
    <row r="12" spans="1:22" x14ac:dyDescent="0.35">
      <c r="A12" s="105">
        <v>6</v>
      </c>
      <c r="B12" s="146">
        <v>3.5579100000000001</v>
      </c>
      <c r="C12" s="105">
        <v>1</v>
      </c>
      <c r="I12" s="78">
        <v>1</v>
      </c>
      <c r="J12" s="79" t="s">
        <v>60</v>
      </c>
      <c r="K12" s="110" t="str">
        <f t="shared" ref="K12:O20" si="1">IF(COUNTIFS($A:$A,$I12,$C:$C,K$8)=0,"",(COUNTIFS($A:$A,$I12,$C:$C,K$8)))</f>
        <v/>
      </c>
      <c r="L12" s="110" t="str">
        <f t="shared" si="1"/>
        <v/>
      </c>
      <c r="M12" s="110" t="str">
        <f t="shared" si="1"/>
        <v/>
      </c>
      <c r="N12" s="110" t="str">
        <f t="shared" si="1"/>
        <v/>
      </c>
      <c r="O12" s="110" t="str">
        <f t="shared" si="1"/>
        <v/>
      </c>
    </row>
    <row r="13" spans="1:22" x14ac:dyDescent="0.35">
      <c r="A13" s="105">
        <v>7</v>
      </c>
      <c r="B13" s="146">
        <v>1.45408</v>
      </c>
      <c r="C13" s="105">
        <v>1</v>
      </c>
      <c r="F13" s="103"/>
      <c r="H13" s="10"/>
      <c r="I13" s="78">
        <v>2</v>
      </c>
      <c r="J13" s="79" t="s">
        <v>61</v>
      </c>
      <c r="K13" s="110" t="str">
        <f t="shared" si="1"/>
        <v/>
      </c>
      <c r="L13" s="110">
        <f t="shared" si="1"/>
        <v>2</v>
      </c>
      <c r="M13" s="110" t="str">
        <f t="shared" si="1"/>
        <v/>
      </c>
      <c r="N13" s="110" t="str">
        <f t="shared" si="1"/>
        <v/>
      </c>
      <c r="O13" s="110">
        <f t="shared" si="1"/>
        <v>1</v>
      </c>
      <c r="R13" s="130"/>
    </row>
    <row r="14" spans="1:22" x14ac:dyDescent="0.35">
      <c r="A14" s="105">
        <v>7</v>
      </c>
      <c r="B14" s="146">
        <v>1.3606499999999999</v>
      </c>
      <c r="C14" s="105">
        <v>1</v>
      </c>
      <c r="H14" s="65"/>
      <c r="I14" s="78">
        <v>3</v>
      </c>
      <c r="J14" s="79" t="s">
        <v>62</v>
      </c>
      <c r="K14" s="110">
        <f t="shared" si="1"/>
        <v>1</v>
      </c>
      <c r="L14" s="110">
        <f t="shared" si="1"/>
        <v>1</v>
      </c>
      <c r="M14" s="110">
        <f t="shared" si="1"/>
        <v>1</v>
      </c>
      <c r="N14" s="110">
        <f t="shared" si="1"/>
        <v>3</v>
      </c>
      <c r="O14" s="110">
        <f t="shared" si="1"/>
        <v>1</v>
      </c>
      <c r="P14" s="10"/>
    </row>
    <row r="15" spans="1:22" x14ac:dyDescent="0.35">
      <c r="A15" s="105">
        <v>3</v>
      </c>
      <c r="B15" s="146">
        <v>229.887</v>
      </c>
      <c r="C15" s="105">
        <v>1</v>
      </c>
      <c r="I15" s="78">
        <v>4</v>
      </c>
      <c r="J15" s="79" t="s">
        <v>63</v>
      </c>
      <c r="K15" s="110" t="str">
        <f t="shared" si="1"/>
        <v/>
      </c>
      <c r="L15" s="110" t="str">
        <f t="shared" si="1"/>
        <v/>
      </c>
      <c r="M15" s="110" t="str">
        <f t="shared" si="1"/>
        <v/>
      </c>
      <c r="N15" s="110">
        <f t="shared" si="1"/>
        <v>4</v>
      </c>
      <c r="O15" s="110" t="str">
        <f t="shared" si="1"/>
        <v/>
      </c>
      <c r="Q15" s="133"/>
    </row>
    <row r="16" spans="1:22" x14ac:dyDescent="0.35">
      <c r="A16" s="105">
        <v>6</v>
      </c>
      <c r="B16" s="146">
        <v>3.1747399999999999</v>
      </c>
      <c r="C16" s="105">
        <v>2</v>
      </c>
      <c r="I16" s="78">
        <v>5</v>
      </c>
      <c r="J16" s="79" t="s">
        <v>64</v>
      </c>
      <c r="K16" s="110">
        <f t="shared" si="1"/>
        <v>1</v>
      </c>
      <c r="L16" s="110" t="str">
        <f t="shared" si="1"/>
        <v/>
      </c>
      <c r="M16" s="110" t="str">
        <f t="shared" si="1"/>
        <v/>
      </c>
      <c r="N16" s="110">
        <f t="shared" si="1"/>
        <v>1</v>
      </c>
      <c r="O16" s="110" t="str">
        <f t="shared" si="1"/>
        <v/>
      </c>
    </row>
    <row r="17" spans="1:18" x14ac:dyDescent="0.35">
      <c r="A17" s="105">
        <v>2</v>
      </c>
      <c r="B17" s="146">
        <v>1.78091</v>
      </c>
      <c r="C17" s="105">
        <v>2</v>
      </c>
      <c r="I17" s="78">
        <v>6</v>
      </c>
      <c r="J17" s="79" t="s">
        <v>65</v>
      </c>
      <c r="K17" s="110">
        <f t="shared" si="1"/>
        <v>2</v>
      </c>
      <c r="L17" s="110">
        <f t="shared" si="1"/>
        <v>2</v>
      </c>
      <c r="M17" s="110">
        <f t="shared" si="1"/>
        <v>4</v>
      </c>
      <c r="N17" s="110">
        <f t="shared" si="1"/>
        <v>4</v>
      </c>
      <c r="O17" s="110">
        <f t="shared" si="1"/>
        <v>1</v>
      </c>
    </row>
    <row r="18" spans="1:18" x14ac:dyDescent="0.35">
      <c r="A18" s="105">
        <v>6</v>
      </c>
      <c r="B18" s="146">
        <v>2.1596099999999998</v>
      </c>
      <c r="C18" s="105">
        <v>2</v>
      </c>
      <c r="I18" s="78">
        <v>7</v>
      </c>
      <c r="J18" s="79" t="s">
        <v>66</v>
      </c>
      <c r="K18" s="110">
        <f t="shared" si="1"/>
        <v>4</v>
      </c>
      <c r="L18" s="110">
        <f t="shared" si="1"/>
        <v>2</v>
      </c>
      <c r="M18" s="110">
        <f t="shared" si="1"/>
        <v>2</v>
      </c>
      <c r="N18" s="110">
        <f t="shared" si="1"/>
        <v>2</v>
      </c>
      <c r="O18" s="110" t="str">
        <f t="shared" si="1"/>
        <v/>
      </c>
      <c r="R18" s="135"/>
    </row>
    <row r="19" spans="1:18" x14ac:dyDescent="0.35">
      <c r="A19" s="105">
        <v>2</v>
      </c>
      <c r="B19" s="146">
        <v>1.53135</v>
      </c>
      <c r="C19" s="105">
        <v>2</v>
      </c>
      <c r="I19" s="78">
        <v>8</v>
      </c>
      <c r="J19" s="79" t="s">
        <v>67</v>
      </c>
      <c r="K19" s="110" t="str">
        <f t="shared" si="1"/>
        <v/>
      </c>
      <c r="L19" s="110" t="str">
        <f t="shared" si="1"/>
        <v/>
      </c>
      <c r="M19" s="110" t="str">
        <f t="shared" si="1"/>
        <v/>
      </c>
      <c r="N19" s="110" t="str">
        <f t="shared" si="1"/>
        <v/>
      </c>
      <c r="O19" s="110" t="str">
        <f t="shared" si="1"/>
        <v/>
      </c>
    </row>
    <row r="20" spans="1:18" ht="15" thickBot="1" x14ac:dyDescent="0.4">
      <c r="A20" s="105">
        <v>7</v>
      </c>
      <c r="B20" s="146">
        <v>6.1568999999999999E-2</v>
      </c>
      <c r="C20" s="105">
        <v>2</v>
      </c>
      <c r="I20" s="88">
        <v>9</v>
      </c>
      <c r="J20" s="83" t="s">
        <v>68</v>
      </c>
      <c r="K20" s="118" t="str">
        <f t="shared" si="1"/>
        <v/>
      </c>
      <c r="L20" s="118" t="str">
        <f t="shared" si="1"/>
        <v/>
      </c>
      <c r="M20" s="118" t="str">
        <f t="shared" si="1"/>
        <v/>
      </c>
      <c r="N20" s="118" t="str">
        <f t="shared" si="1"/>
        <v/>
      </c>
      <c r="O20" s="118" t="str">
        <f t="shared" si="1"/>
        <v/>
      </c>
    </row>
    <row r="21" spans="1:18" x14ac:dyDescent="0.35">
      <c r="A21" s="105">
        <v>7</v>
      </c>
      <c r="B21" s="146">
        <v>38.074800000000003</v>
      </c>
      <c r="C21" s="105">
        <v>2</v>
      </c>
      <c r="I21" s="101"/>
      <c r="J21" s="121" t="s">
        <v>69</v>
      </c>
      <c r="K21" s="122"/>
      <c r="L21" s="122"/>
      <c r="M21" s="122"/>
      <c r="N21" s="122"/>
      <c r="O21" s="122"/>
    </row>
    <row r="22" spans="1:18" x14ac:dyDescent="0.35">
      <c r="A22" s="105">
        <v>3</v>
      </c>
      <c r="B22" s="146">
        <v>244.09899999999999</v>
      </c>
      <c r="C22" s="105">
        <v>2</v>
      </c>
      <c r="I22" s="102"/>
      <c r="J22" s="63" t="s">
        <v>70</v>
      </c>
      <c r="K22" s="109">
        <f>COUNTIF(K12:K20,"&gt;0")</f>
        <v>4</v>
      </c>
      <c r="L22" s="109">
        <f>COUNTIF(L12:L20,"&gt;0")</f>
        <v>4</v>
      </c>
      <c r="M22" s="109">
        <f>COUNTIF(M12:M20,"&gt;0")</f>
        <v>3</v>
      </c>
      <c r="N22" s="109">
        <f>COUNTIF(N12:N20,"&gt;0")</f>
        <v>5</v>
      </c>
      <c r="O22" s="109">
        <f>COUNTIF(O12:O20,"&gt;0")</f>
        <v>3</v>
      </c>
    </row>
    <row r="23" spans="1:18" x14ac:dyDescent="0.35">
      <c r="A23" s="105">
        <v>7</v>
      </c>
      <c r="B23" s="146">
        <v>8.9619599999999995</v>
      </c>
      <c r="C23" s="105">
        <v>3</v>
      </c>
      <c r="I23" s="102"/>
      <c r="J23" s="119" t="s">
        <v>71</v>
      </c>
      <c r="K23" s="120">
        <f>SUM(K12:K20)</f>
        <v>8</v>
      </c>
      <c r="L23" s="120">
        <f>SUM(L12:L20)</f>
        <v>7</v>
      </c>
      <c r="M23" s="120">
        <f>SUM(M12:M20)</f>
        <v>7</v>
      </c>
      <c r="N23" s="120">
        <f>SUM(N12:N20)</f>
        <v>14</v>
      </c>
      <c r="O23" s="120">
        <f>SUM(O12:O20)</f>
        <v>3</v>
      </c>
    </row>
    <row r="24" spans="1:18" ht="15" thickBot="1" x14ac:dyDescent="0.4">
      <c r="A24" s="105">
        <v>7</v>
      </c>
      <c r="B24" s="146">
        <v>8.5370799999999996</v>
      </c>
      <c r="C24" s="105">
        <v>3</v>
      </c>
      <c r="I24" s="102"/>
      <c r="J24" s="105" t="s">
        <v>72</v>
      </c>
      <c r="K24" s="80">
        <f>K23/K$9</f>
        <v>8</v>
      </c>
      <c r="L24" s="80">
        <f>L23/L$9</f>
        <v>7</v>
      </c>
      <c r="M24" s="80">
        <f>M23/M$9</f>
        <v>7</v>
      </c>
      <c r="N24" s="80">
        <f>N23/N$9</f>
        <v>14</v>
      </c>
      <c r="O24" s="80">
        <f>O23/O$9</f>
        <v>20</v>
      </c>
    </row>
    <row r="25" spans="1:18" x14ac:dyDescent="0.35">
      <c r="A25" s="105">
        <v>6</v>
      </c>
      <c r="B25" s="146">
        <v>2.7551199999999998</v>
      </c>
      <c r="C25" s="105">
        <v>3</v>
      </c>
      <c r="I25" s="101"/>
      <c r="J25" s="134" t="s">
        <v>73</v>
      </c>
      <c r="K25" s="124"/>
      <c r="L25" s="124"/>
      <c r="M25" s="124"/>
      <c r="N25" s="124"/>
      <c r="O25" s="124"/>
    </row>
    <row r="26" spans="1:18" x14ac:dyDescent="0.35">
      <c r="A26" s="105">
        <v>6</v>
      </c>
      <c r="B26" s="146">
        <v>4.4700100000000003</v>
      </c>
      <c r="C26" s="105">
        <v>3</v>
      </c>
      <c r="I26" s="123"/>
      <c r="J26" s="63" t="s">
        <v>74</v>
      </c>
      <c r="K26" s="81">
        <f>COUNTIF(K14:K16,"&gt;0")</f>
        <v>2</v>
      </c>
      <c r="L26" s="81">
        <f>COUNTIF(L14:L16,"&gt;0")</f>
        <v>1</v>
      </c>
      <c r="M26" s="81">
        <f>COUNTIF(M14:M16,"&gt;0")</f>
        <v>1</v>
      </c>
      <c r="N26" s="81">
        <f>COUNTIF(N14:N16,"&gt;0")</f>
        <v>3</v>
      </c>
      <c r="O26" s="81">
        <f>COUNTIF(O14:O16,"&gt;0")</f>
        <v>1</v>
      </c>
    </row>
    <row r="27" spans="1:18" x14ac:dyDescent="0.35">
      <c r="A27" s="105">
        <v>6</v>
      </c>
      <c r="B27" s="146">
        <v>2.2885300000000002</v>
      </c>
      <c r="C27" s="105">
        <v>3</v>
      </c>
      <c r="I27" s="102"/>
      <c r="J27" s="119" t="s">
        <v>75</v>
      </c>
      <c r="K27" s="110">
        <f>SUM(K14:K16)</f>
        <v>2</v>
      </c>
      <c r="L27" s="110">
        <f>SUM(L14:L16)</f>
        <v>1</v>
      </c>
      <c r="M27" s="110">
        <f>SUM(M14:M16)</f>
        <v>1</v>
      </c>
      <c r="N27" s="110">
        <f>SUM(N14:N16)</f>
        <v>8</v>
      </c>
      <c r="O27" s="110">
        <f>SUM(O14:O16)</f>
        <v>1</v>
      </c>
    </row>
    <row r="28" spans="1:18" ht="15" thickBot="1" x14ac:dyDescent="0.4">
      <c r="A28" s="105">
        <v>6</v>
      </c>
      <c r="B28" s="146">
        <v>3.15204</v>
      </c>
      <c r="C28" s="105">
        <v>3</v>
      </c>
      <c r="I28" s="107"/>
      <c r="J28" s="105" t="s">
        <v>76</v>
      </c>
      <c r="K28" s="108">
        <f>K27/K$9</f>
        <v>2</v>
      </c>
      <c r="L28" s="108">
        <f>L27/L$9</f>
        <v>1</v>
      </c>
      <c r="M28" s="108">
        <f>M27/M$9</f>
        <v>1</v>
      </c>
      <c r="N28" s="108">
        <f>N27/N$9</f>
        <v>8</v>
      </c>
      <c r="O28" s="108">
        <f>O27/O$9</f>
        <v>6.666666666666667</v>
      </c>
    </row>
    <row r="29" spans="1:18" x14ac:dyDescent="0.35">
      <c r="A29" s="105">
        <v>3</v>
      </c>
      <c r="B29" s="146">
        <v>263.048</v>
      </c>
      <c r="C29" s="105">
        <v>3</v>
      </c>
      <c r="I29" s="101"/>
      <c r="J29" s="121" t="s">
        <v>281</v>
      </c>
      <c r="K29" s="122"/>
      <c r="L29" s="122"/>
      <c r="M29" s="122"/>
      <c r="N29" s="122"/>
      <c r="O29" s="122"/>
    </row>
    <row r="30" spans="1:18" x14ac:dyDescent="0.35">
      <c r="A30" s="105">
        <v>4</v>
      </c>
      <c r="B30" s="146">
        <v>18.095400000000001</v>
      </c>
      <c r="C30" s="105">
        <v>4</v>
      </c>
      <c r="I30" s="102"/>
      <c r="J30" s="63" t="s">
        <v>77</v>
      </c>
      <c r="K30" s="110">
        <f>COUNTIF(K19:K20,"&gt;0")</f>
        <v>0</v>
      </c>
      <c r="L30" s="110">
        <f>COUNTIF(L19:L20,"&gt;0")</f>
        <v>0</v>
      </c>
      <c r="M30" s="110">
        <f>COUNTIF(M19:M20,"&gt;0")</f>
        <v>0</v>
      </c>
      <c r="N30" s="110">
        <f>COUNTIF(N19:N20,"&gt;0")</f>
        <v>0</v>
      </c>
      <c r="O30" s="110">
        <f>COUNTIF(O19:O20,"&gt;0")</f>
        <v>0</v>
      </c>
    </row>
    <row r="31" spans="1:18" x14ac:dyDescent="0.35">
      <c r="A31" s="105">
        <v>4</v>
      </c>
      <c r="B31" s="146">
        <v>11.496700000000001</v>
      </c>
      <c r="C31" s="105">
        <v>4</v>
      </c>
      <c r="I31" s="102"/>
      <c r="J31" s="119" t="s">
        <v>78</v>
      </c>
      <c r="K31" s="80">
        <f>SUM(K19:K20)</f>
        <v>0</v>
      </c>
      <c r="L31" s="80">
        <f>SUM(L19:L20)</f>
        <v>0</v>
      </c>
      <c r="M31" s="80">
        <f>SUM(M19:M20)</f>
        <v>0</v>
      </c>
      <c r="N31" s="80">
        <f>SUM(N19:N20)</f>
        <v>0</v>
      </c>
      <c r="O31" s="80">
        <f>SUM(O19:O20)</f>
        <v>0</v>
      </c>
    </row>
    <row r="32" spans="1:18" ht="15" thickBot="1" x14ac:dyDescent="0.4">
      <c r="A32" s="105">
        <v>6</v>
      </c>
      <c r="B32" s="146">
        <v>0.87228000000000006</v>
      </c>
      <c r="C32" s="105">
        <v>4</v>
      </c>
      <c r="I32" s="102"/>
      <c r="J32" s="105" t="s">
        <v>79</v>
      </c>
      <c r="K32" s="80">
        <f>K31/K$9</f>
        <v>0</v>
      </c>
      <c r="L32" s="80">
        <f>L31/L$9</f>
        <v>0</v>
      </c>
      <c r="M32" s="80">
        <f>M31/M$9</f>
        <v>0</v>
      </c>
      <c r="N32" s="80">
        <f>N31/N$9</f>
        <v>0</v>
      </c>
      <c r="O32" s="80">
        <f>O31/O$9</f>
        <v>0</v>
      </c>
    </row>
    <row r="33" spans="1:15" x14ac:dyDescent="0.35">
      <c r="A33" s="105">
        <v>6</v>
      </c>
      <c r="B33" s="146">
        <v>2.7735500000000002</v>
      </c>
      <c r="C33" s="105">
        <v>4</v>
      </c>
      <c r="I33" s="101"/>
      <c r="J33" s="172" t="s">
        <v>80</v>
      </c>
      <c r="K33" s="167">
        <v>0.25</v>
      </c>
      <c r="L33" s="167">
        <v>0.25</v>
      </c>
      <c r="M33" s="167">
        <v>0.25</v>
      </c>
      <c r="N33" s="167">
        <v>0.5</v>
      </c>
      <c r="O33" s="167">
        <v>0.25</v>
      </c>
    </row>
    <row r="34" spans="1:15" x14ac:dyDescent="0.35">
      <c r="A34" s="105">
        <v>6</v>
      </c>
      <c r="B34" s="146">
        <v>0.106572</v>
      </c>
      <c r="C34" s="105">
        <v>4</v>
      </c>
      <c r="H34" s="65"/>
      <c r="I34" s="82"/>
      <c r="K34" s="10"/>
      <c r="L34" s="10"/>
      <c r="M34" s="10"/>
      <c r="N34" s="10"/>
      <c r="O34" s="10"/>
    </row>
    <row r="35" spans="1:15" x14ac:dyDescent="0.35">
      <c r="A35" s="105">
        <v>3</v>
      </c>
      <c r="B35" s="146">
        <v>215.596</v>
      </c>
      <c r="C35" s="105">
        <v>4</v>
      </c>
      <c r="H35" s="65"/>
      <c r="I35" s="232" t="s">
        <v>282</v>
      </c>
    </row>
    <row r="36" spans="1:15" x14ac:dyDescent="0.35">
      <c r="A36" s="105">
        <v>6</v>
      </c>
      <c r="B36" s="146">
        <v>7.9842300000000002</v>
      </c>
      <c r="C36" s="105">
        <v>4</v>
      </c>
      <c r="H36" s="65"/>
    </row>
    <row r="37" spans="1:15" x14ac:dyDescent="0.35">
      <c r="A37" s="105">
        <v>7</v>
      </c>
      <c r="B37" s="146">
        <v>16.463200000000001</v>
      </c>
      <c r="C37" s="105">
        <v>4</v>
      </c>
    </row>
    <row r="38" spans="1:15" x14ac:dyDescent="0.35">
      <c r="A38" s="105">
        <v>5</v>
      </c>
      <c r="B38" s="146">
        <v>47.781999999999996</v>
      </c>
      <c r="C38" s="105">
        <v>4</v>
      </c>
      <c r="L38" s="10"/>
      <c r="M38" s="10"/>
    </row>
    <row r="39" spans="1:15" x14ac:dyDescent="0.35">
      <c r="A39" s="105">
        <v>4</v>
      </c>
      <c r="B39" s="146">
        <v>15.993600000000001</v>
      </c>
      <c r="C39" s="105">
        <v>4</v>
      </c>
      <c r="L39" s="10"/>
      <c r="M39" s="10"/>
    </row>
    <row r="40" spans="1:15" x14ac:dyDescent="0.35">
      <c r="A40" s="105">
        <v>4</v>
      </c>
      <c r="B40" s="146">
        <v>8.4367000000000001</v>
      </c>
      <c r="C40" s="105">
        <v>4</v>
      </c>
      <c r="L40" s="10"/>
      <c r="M40" s="10"/>
    </row>
    <row r="41" spans="1:15" x14ac:dyDescent="0.35">
      <c r="A41" s="105">
        <v>3</v>
      </c>
      <c r="B41" s="146">
        <v>8.6615300000000008</v>
      </c>
      <c r="C41" s="105">
        <v>4</v>
      </c>
      <c r="L41" s="90"/>
      <c r="M41" s="10"/>
    </row>
    <row r="42" spans="1:15" x14ac:dyDescent="0.35">
      <c r="A42" s="105">
        <v>7</v>
      </c>
      <c r="B42" s="146">
        <v>29.435400000000001</v>
      </c>
      <c r="C42" s="105">
        <v>4</v>
      </c>
      <c r="L42" s="10"/>
      <c r="M42" s="10"/>
    </row>
    <row r="43" spans="1:15" x14ac:dyDescent="0.35">
      <c r="A43" s="105">
        <v>3</v>
      </c>
      <c r="B43" s="146">
        <v>2.63191</v>
      </c>
      <c r="C43" s="105">
        <v>4</v>
      </c>
      <c r="L43" s="10"/>
      <c r="M43" s="10"/>
    </row>
    <row r="44" spans="1:15" x14ac:dyDescent="0.35">
      <c r="A44" s="105">
        <v>2</v>
      </c>
      <c r="B44" s="146">
        <v>18.775700000000001</v>
      </c>
      <c r="C44" s="105">
        <v>5</v>
      </c>
      <c r="L44" s="10"/>
      <c r="M44" s="10"/>
    </row>
    <row r="45" spans="1:15" x14ac:dyDescent="0.35">
      <c r="A45" s="105">
        <v>6</v>
      </c>
      <c r="B45" s="146">
        <v>0.77554100000000004</v>
      </c>
      <c r="C45" s="105">
        <v>5</v>
      </c>
      <c r="L45" s="10"/>
      <c r="M45" s="10"/>
    </row>
    <row r="46" spans="1:15" x14ac:dyDescent="0.35">
      <c r="A46" s="105">
        <v>3</v>
      </c>
      <c r="B46" s="146">
        <v>18.325500000000002</v>
      </c>
      <c r="C46" s="105">
        <v>5</v>
      </c>
    </row>
    <row r="47" spans="1:15" x14ac:dyDescent="0.35">
      <c r="A47" s="105">
        <v>0</v>
      </c>
      <c r="B47" s="146">
        <v>0.63424800000000003</v>
      </c>
      <c r="C47" s="105">
        <v>5</v>
      </c>
    </row>
  </sheetData>
  <dataValidations count="5">
    <dataValidation type="decimal" operator="greaterThanOrEqual" allowBlank="1" showInputMessage="1" showErrorMessage="1" errorTitle="Achtung Eingabebereich" error="≥1 [Dezimalzahl]" sqref="V9" xr:uid="{00000000-0002-0000-0000-000000000000}">
      <formula1>1</formula1>
    </dataValidation>
    <dataValidation type="whole" operator="greaterThanOrEqual" allowBlank="1" showInputMessage="1" showErrorMessage="1" errorTitle="Achtung Eingabebereich" error="≥1 [Ganzzahl]" sqref="V7" xr:uid="{00000000-0002-0000-0000-000001000000}">
      <formula1>1</formula1>
    </dataValidation>
    <dataValidation type="decimal" operator="greaterThan" allowBlank="1" showInputMessage="1" showErrorMessage="1" errorTitle="Achtung Eingabebereich" error="&gt;0 [Dezimalzahl]" sqref="V8 S8" xr:uid="{00000000-0002-0000-0000-000002000000}">
      <formula1>0</formula1>
    </dataValidation>
    <dataValidation operator="greaterThanOrEqual" allowBlank="1" showInputMessage="1" showErrorMessage="1" errorTitle="Achtung Eingabebereich" error="≥1 [Ganzzahl]" sqref="R18" xr:uid="{00000000-0002-0000-0000-000003000000}"/>
    <dataValidation operator="greaterThanOrEqual" allowBlank="1" showInputMessage="1" showErrorMessage="1" errorTitle="Achtung Eingabebereich" error="≥1 [Dezimalzahl]" sqref="S9" xr:uid="{00000000-0002-0000-0000-000004000000}"/>
  </dataValidations>
  <pageMargins left="0.7" right="0.7" top="0.75" bottom="0.75" header="0.3" footer="0.3"/>
  <pageSetup paperSize="9" orientation="portrait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E8"/>
  <sheetViews>
    <sheetView workbookViewId="0">
      <selection activeCell="D8" sqref="D8"/>
    </sheetView>
  </sheetViews>
  <sheetFormatPr baseColWidth="10" defaultColWidth="8.7265625" defaultRowHeight="13" x14ac:dyDescent="0.35"/>
  <cols>
    <col min="1" max="1" width="21.453125" style="219" customWidth="1"/>
    <col min="2" max="2" width="14.1796875" style="219" customWidth="1"/>
    <col min="3" max="3" width="9.54296875" style="223" customWidth="1"/>
    <col min="4" max="4" width="53.54296875" style="219" customWidth="1"/>
    <col min="5" max="5" width="24.6328125" style="219" bestFit="1" customWidth="1"/>
    <col min="6" max="16384" width="8.7265625" style="222"/>
  </cols>
  <sheetData>
    <row r="1" spans="1:5" x14ac:dyDescent="0.35">
      <c r="A1" s="219" t="s">
        <v>228</v>
      </c>
      <c r="B1" s="220" t="s">
        <v>229</v>
      </c>
      <c r="C1" s="221" t="s">
        <v>230</v>
      </c>
      <c r="D1" s="220" t="s">
        <v>231</v>
      </c>
      <c r="E1" s="220" t="s">
        <v>232</v>
      </c>
    </row>
    <row r="2" spans="1:5" ht="72.5" x14ac:dyDescent="0.35">
      <c r="A2" s="224" t="s">
        <v>235</v>
      </c>
      <c r="B2" s="225">
        <v>44957</v>
      </c>
      <c r="C2" s="229" t="s">
        <v>233</v>
      </c>
      <c r="D2" s="227" t="s">
        <v>237</v>
      </c>
      <c r="E2" s="228" t="s">
        <v>234</v>
      </c>
    </row>
    <row r="3" spans="1:5" ht="14.5" x14ac:dyDescent="0.35">
      <c r="A3" s="224" t="s">
        <v>334</v>
      </c>
      <c r="B3" s="225">
        <v>44967</v>
      </c>
      <c r="C3" s="229" t="s">
        <v>233</v>
      </c>
      <c r="D3" s="227" t="s">
        <v>283</v>
      </c>
      <c r="E3" s="224" t="s">
        <v>234</v>
      </c>
    </row>
    <row r="4" spans="1:5" ht="29" x14ac:dyDescent="0.35">
      <c r="A4" s="224" t="s">
        <v>335</v>
      </c>
      <c r="B4" s="225">
        <v>44967</v>
      </c>
      <c r="C4" s="229" t="s">
        <v>233</v>
      </c>
      <c r="D4" s="227" t="s">
        <v>284</v>
      </c>
      <c r="E4" s="224" t="s">
        <v>234</v>
      </c>
    </row>
    <row r="5" spans="1:5" ht="29" x14ac:dyDescent="0.35">
      <c r="A5" s="224" t="s">
        <v>236</v>
      </c>
      <c r="B5" s="225">
        <v>44957</v>
      </c>
      <c r="C5" s="226" t="s">
        <v>233</v>
      </c>
      <c r="D5" s="227" t="s">
        <v>238</v>
      </c>
      <c r="E5" s="228" t="s">
        <v>234</v>
      </c>
    </row>
    <row r="6" spans="1:5" ht="29" x14ac:dyDescent="0.35">
      <c r="A6" s="256" t="s">
        <v>336</v>
      </c>
      <c r="B6" s="257" t="s">
        <v>331</v>
      </c>
      <c r="C6" s="258" t="s">
        <v>332</v>
      </c>
      <c r="D6" s="259" t="s">
        <v>339</v>
      </c>
      <c r="E6" s="256" t="s">
        <v>234</v>
      </c>
    </row>
    <row r="7" spans="1:5" ht="29" x14ac:dyDescent="0.35">
      <c r="A7" s="260" t="s">
        <v>337</v>
      </c>
      <c r="B7" s="261">
        <v>45646</v>
      </c>
      <c r="C7" s="262" t="s">
        <v>332</v>
      </c>
      <c r="D7" s="263" t="s">
        <v>340</v>
      </c>
      <c r="E7" s="260" t="s">
        <v>234</v>
      </c>
    </row>
    <row r="8" spans="1:5" ht="29" x14ac:dyDescent="0.35">
      <c r="A8" s="256" t="s">
        <v>338</v>
      </c>
      <c r="B8" s="261">
        <v>45646</v>
      </c>
      <c r="C8" s="262" t="s">
        <v>332</v>
      </c>
      <c r="D8" s="264" t="s">
        <v>341</v>
      </c>
      <c r="E8" s="260" t="s">
        <v>333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V74"/>
  <sheetViews>
    <sheetView zoomScaleNormal="100" workbookViewId="0"/>
  </sheetViews>
  <sheetFormatPr baseColWidth="10" defaultColWidth="11.453125" defaultRowHeight="14.5" x14ac:dyDescent="0.35"/>
  <cols>
    <col min="1" max="1" width="14.7265625" style="4" customWidth="1"/>
    <col min="2" max="2" width="16" style="85" bestFit="1" customWidth="1"/>
    <col min="3" max="3" width="15.453125" style="73" bestFit="1" customWidth="1"/>
    <col min="4" max="4" width="16.453125" style="73" bestFit="1" customWidth="1"/>
    <col min="5" max="5" width="16" style="73" bestFit="1" customWidth="1"/>
    <col min="6" max="6" width="30.54296875" style="4" bestFit="1" customWidth="1"/>
    <col min="7" max="7" width="12.54296875" customWidth="1"/>
    <col min="8" max="8" width="10.453125" style="76" customWidth="1"/>
    <col min="9" max="9" width="103.54296875" style="75" bestFit="1" customWidth="1"/>
    <col min="10" max="13" width="11.26953125" style="75" bestFit="1" customWidth="1"/>
    <col min="14" max="14" width="11.26953125" style="75" customWidth="1"/>
    <col min="15" max="15" width="11.453125" style="75"/>
    <col min="17" max="17" width="10.54296875" customWidth="1"/>
    <col min="18" max="18" width="80.1796875" bestFit="1" customWidth="1"/>
    <col min="21" max="21" width="4.7265625" bestFit="1" customWidth="1"/>
  </cols>
  <sheetData>
    <row r="1" spans="1:22" ht="26" x14ac:dyDescent="0.6">
      <c r="A1" s="173" t="s">
        <v>86</v>
      </c>
      <c r="B1" s="71"/>
      <c r="C1"/>
      <c r="D1"/>
      <c r="E1" s="170"/>
      <c r="F1" s="71"/>
      <c r="H1" s="173" t="s">
        <v>91</v>
      </c>
    </row>
    <row r="2" spans="1:22" s="75" customFormat="1" x14ac:dyDescent="0.35">
      <c r="A2" s="129" t="s">
        <v>285</v>
      </c>
      <c r="B2" s="92"/>
      <c r="E2" s="174"/>
      <c r="F2" s="92"/>
      <c r="H2" s="2"/>
    </row>
    <row r="3" spans="1:22" x14ac:dyDescent="0.35">
      <c r="A3" s="71"/>
      <c r="B3" s="71"/>
      <c r="C3"/>
      <c r="D3"/>
      <c r="E3" s="170"/>
      <c r="F3" s="71"/>
    </row>
    <row r="4" spans="1:22" x14ac:dyDescent="0.35">
      <c r="A4" s="175" t="s">
        <v>45</v>
      </c>
      <c r="B4" s="71"/>
      <c r="C4"/>
      <c r="D4"/>
      <c r="E4" s="170"/>
      <c r="F4" s="71"/>
      <c r="H4" s="13" t="s">
        <v>92</v>
      </c>
      <c r="Q4" s="13" t="s">
        <v>133</v>
      </c>
    </row>
    <row r="5" spans="1:22" x14ac:dyDescent="0.35">
      <c r="A5" s="90" t="s">
        <v>46</v>
      </c>
      <c r="B5" s="71"/>
      <c r="C5"/>
      <c r="D5"/>
      <c r="E5" s="170"/>
      <c r="F5" s="71"/>
      <c r="H5" s="98" t="s">
        <v>93</v>
      </c>
    </row>
    <row r="6" spans="1:22" x14ac:dyDescent="0.35">
      <c r="A6" s="71"/>
      <c r="B6" s="71"/>
      <c r="C6"/>
      <c r="D6"/>
      <c r="E6" s="170"/>
      <c r="F6" s="6"/>
    </row>
    <row r="7" spans="1:22" x14ac:dyDescent="0.35">
      <c r="A7" s="176" t="s">
        <v>87</v>
      </c>
      <c r="B7" s="5" t="s">
        <v>88</v>
      </c>
      <c r="C7" s="139" t="s">
        <v>89</v>
      </c>
      <c r="D7" s="139" t="s">
        <v>43</v>
      </c>
      <c r="E7" s="171" t="s">
        <v>90</v>
      </c>
      <c r="F7" s="140" t="s">
        <v>48</v>
      </c>
      <c r="G7" s="65"/>
      <c r="H7" s="95" t="s">
        <v>35</v>
      </c>
      <c r="J7" s="140" t="s">
        <v>85</v>
      </c>
      <c r="K7" s="126"/>
      <c r="L7" s="126"/>
      <c r="M7" s="126"/>
      <c r="N7" s="127"/>
      <c r="O7" s="10"/>
      <c r="P7" s="65" t="s">
        <v>35</v>
      </c>
      <c r="Q7" s="74" t="s">
        <v>27</v>
      </c>
      <c r="R7" s="74" t="s">
        <v>134</v>
      </c>
      <c r="S7" s="110">
        <f>SUM(J43:N43)</f>
        <v>8.0208451354000001</v>
      </c>
    </row>
    <row r="8" spans="1:22" x14ac:dyDescent="0.35">
      <c r="A8" s="105">
        <v>1</v>
      </c>
      <c r="B8" s="147">
        <v>3</v>
      </c>
      <c r="C8" s="145">
        <v>2</v>
      </c>
      <c r="D8" s="145">
        <v>132</v>
      </c>
      <c r="E8" s="146">
        <v>14.036844435200001</v>
      </c>
      <c r="F8" s="105">
        <v>1</v>
      </c>
      <c r="H8" s="95"/>
      <c r="J8" s="128">
        <v>1</v>
      </c>
      <c r="K8" s="128">
        <v>2</v>
      </c>
      <c r="L8" s="128">
        <v>3</v>
      </c>
      <c r="M8" s="128">
        <v>4</v>
      </c>
      <c r="N8" s="128">
        <v>5</v>
      </c>
      <c r="O8" s="10"/>
      <c r="P8" s="65"/>
      <c r="Q8" s="74" t="s">
        <v>28</v>
      </c>
      <c r="R8" s="74" t="s">
        <v>135</v>
      </c>
      <c r="S8" s="110">
        <f>SUM(J42:N42)</f>
        <v>2.9137406612099999</v>
      </c>
    </row>
    <row r="9" spans="1:22" x14ac:dyDescent="0.35">
      <c r="A9" s="105">
        <v>1</v>
      </c>
      <c r="B9" s="147">
        <v>3</v>
      </c>
      <c r="C9" s="145">
        <v>2</v>
      </c>
      <c r="D9" s="145">
        <v>132</v>
      </c>
      <c r="E9" s="146">
        <v>32.172034037099998</v>
      </c>
      <c r="F9" s="105">
        <v>1</v>
      </c>
      <c r="H9" s="72"/>
      <c r="I9" s="63" t="s">
        <v>94</v>
      </c>
      <c r="J9" s="100">
        <f>'Indicateur 1.1'!K9</f>
        <v>1</v>
      </c>
      <c r="K9" s="100">
        <f>'Indicateur 1.1'!L9</f>
        <v>1</v>
      </c>
      <c r="L9" s="100">
        <f>'Indicateur 1.1'!M9</f>
        <v>1</v>
      </c>
      <c r="M9" s="100">
        <f>'Indicateur 1.1'!N9</f>
        <v>1</v>
      </c>
      <c r="N9" s="100">
        <f>'Indicateur 1.1'!O9</f>
        <v>0.15</v>
      </c>
      <c r="O9" s="106"/>
      <c r="P9" s="65"/>
      <c r="Q9" s="74" t="s">
        <v>29</v>
      </c>
      <c r="R9" s="164" t="s">
        <v>136</v>
      </c>
      <c r="S9" s="100">
        <f>SUMPRODUCT(J9:N9,J45:N45)/'Indicateur 1.1'!G11</f>
        <v>0.49390103010951658</v>
      </c>
      <c r="T9" s="112"/>
      <c r="U9" s="106"/>
      <c r="V9" s="99"/>
    </row>
    <row r="10" spans="1:22" x14ac:dyDescent="0.35">
      <c r="A10" s="105">
        <v>3</v>
      </c>
      <c r="B10" s="147">
        <v>3</v>
      </c>
      <c r="C10" s="145">
        <v>2</v>
      </c>
      <c r="D10" s="145">
        <v>332</v>
      </c>
      <c r="E10" s="146">
        <v>7.8076025482500002</v>
      </c>
      <c r="F10" s="105">
        <v>1</v>
      </c>
      <c r="H10" s="148"/>
      <c r="I10" s="63" t="s">
        <v>95</v>
      </c>
      <c r="J10" s="118">
        <f>'Indicateur 1.1'!K10</f>
        <v>60.483678406374509</v>
      </c>
      <c r="K10" s="118">
        <f>'Indicateur 1.1'!L10</f>
        <v>60.483678406374509</v>
      </c>
      <c r="L10" s="118">
        <f>'Indicateur 1.1'!M10</f>
        <v>60.483678406374509</v>
      </c>
      <c r="M10" s="118">
        <f>'Indicateur 1.1'!N10</f>
        <v>60.483678406374509</v>
      </c>
      <c r="N10" s="118">
        <f>'Indicateur 1.1'!O10</f>
        <v>9.0725517609561752</v>
      </c>
      <c r="O10" s="10"/>
      <c r="P10" s="65" t="s">
        <v>35</v>
      </c>
      <c r="Q10" s="74" t="s">
        <v>30</v>
      </c>
      <c r="R10" s="164" t="s">
        <v>137</v>
      </c>
      <c r="S10" s="100">
        <f>SUMPRODUCT(J9:N9,J58:N58)/'Indicateur 1.1'!G11</f>
        <v>4.4459118191139826</v>
      </c>
      <c r="T10" s="112"/>
      <c r="U10" s="106"/>
      <c r="V10" s="65"/>
    </row>
    <row r="11" spans="1:22" x14ac:dyDescent="0.35">
      <c r="A11" s="105">
        <v>2</v>
      </c>
      <c r="B11" s="147">
        <v>1</v>
      </c>
      <c r="C11" s="145">
        <v>2</v>
      </c>
      <c r="D11" s="145">
        <v>212</v>
      </c>
      <c r="E11" s="146">
        <v>2.4116119492500001</v>
      </c>
      <c r="F11" s="105">
        <v>1</v>
      </c>
      <c r="H11" s="116" t="s">
        <v>36</v>
      </c>
      <c r="I11" s="117" t="s">
        <v>96</v>
      </c>
      <c r="J11" s="186"/>
      <c r="K11" s="186"/>
      <c r="L11" s="186"/>
      <c r="M11" s="186"/>
      <c r="N11" s="186"/>
      <c r="O11" s="129"/>
      <c r="P11" t="s">
        <v>35</v>
      </c>
      <c r="Q11" s="74" t="s">
        <v>31</v>
      </c>
      <c r="R11" s="164" t="s">
        <v>138</v>
      </c>
      <c r="S11" s="100">
        <f>SUMPRODUCT(J9:N9,J59:N59)/'Indicateur 1.1'!G11</f>
        <v>0.20382116063237091</v>
      </c>
      <c r="T11" s="112"/>
      <c r="U11" s="106"/>
      <c r="V11" s="65"/>
    </row>
    <row r="12" spans="1:22" x14ac:dyDescent="0.35">
      <c r="A12" s="105">
        <v>3</v>
      </c>
      <c r="B12" s="147">
        <v>3</v>
      </c>
      <c r="C12" s="145">
        <v>2</v>
      </c>
      <c r="D12" s="145">
        <v>332</v>
      </c>
      <c r="E12" s="146">
        <v>2.8637418971800002</v>
      </c>
      <c r="F12" s="105">
        <v>1</v>
      </c>
      <c r="H12" s="72">
        <v>111</v>
      </c>
      <c r="I12" s="86" t="s">
        <v>97</v>
      </c>
      <c r="J12" s="118" t="str">
        <f>IF(SUMIFS($E:$E,$D:$D,$H12,$F:$F,J$8)=0,"",SUMIFS($E:$E,$D:$D,$H12,$F:$F,J$8))</f>
        <v/>
      </c>
      <c r="K12" s="118" t="str">
        <f>IF(SUMIFS($E:$E,$D:$D,$H12,$F:$F,K$8)=0,"",SUMIFS($E:$E,$D:$D,$H12,$F:$F,K$8))</f>
        <v/>
      </c>
      <c r="L12" s="118" t="str">
        <f t="shared" ref="J12:N41" si="0">IF(SUMIFS($E:$E,$D:$D,$H12,$F:$F,L$8)=0,"",SUMIFS($E:$E,$D:$D,$H12,$F:$F,L$8))</f>
        <v/>
      </c>
      <c r="M12" s="118" t="str">
        <f>IF(SUMIFS($E:$E,$D:$D,$H12,$F:$F,M$8)=0,"",SUMIFS($E:$E,$D:$D,$H12,$F:$F,M$8))</f>
        <v/>
      </c>
      <c r="N12" s="118" t="str">
        <f>IF(SUMIFS($E:$E,$D:$D,$H12,$F:$F,N$8)=0,"",SUMIFS($E:$E,$D:$D,$H12,$F:$F,N$8))</f>
        <v/>
      </c>
      <c r="O12" s="129"/>
      <c r="P12" s="106" t="s">
        <v>35</v>
      </c>
      <c r="Q12" s="74" t="s">
        <v>32</v>
      </c>
      <c r="R12" s="74" t="s">
        <v>139</v>
      </c>
      <c r="S12" s="110">
        <f>SUM(J44:N44)</f>
        <v>589.48484913134894</v>
      </c>
    </row>
    <row r="13" spans="1:22" x14ac:dyDescent="0.35">
      <c r="A13" s="105">
        <v>2</v>
      </c>
      <c r="B13" s="147">
        <v>1</v>
      </c>
      <c r="C13" s="145">
        <v>2</v>
      </c>
      <c r="D13" s="145">
        <v>212</v>
      </c>
      <c r="E13" s="146">
        <v>2.3976634888500001</v>
      </c>
      <c r="F13" s="105">
        <v>1</v>
      </c>
      <c r="H13" s="72">
        <v>112</v>
      </c>
      <c r="I13" s="86" t="s">
        <v>98</v>
      </c>
      <c r="J13" s="118" t="str">
        <f t="shared" si="0"/>
        <v/>
      </c>
      <c r="K13" s="118" t="str">
        <f t="shared" si="0"/>
        <v/>
      </c>
      <c r="L13" s="118" t="str">
        <f t="shared" si="0"/>
        <v/>
      </c>
      <c r="M13" s="118">
        <f t="shared" si="0"/>
        <v>2.9137406612099999</v>
      </c>
      <c r="N13" s="118" t="str">
        <f t="shared" si="0"/>
        <v/>
      </c>
      <c r="O13" s="10"/>
      <c r="P13" s="106" t="s">
        <v>35</v>
      </c>
      <c r="Q13" s="74" t="s">
        <v>33</v>
      </c>
      <c r="R13" s="74" t="s">
        <v>140</v>
      </c>
      <c r="S13" s="169">
        <f>SUM(S9,S11)</f>
        <v>0.69772219074188746</v>
      </c>
    </row>
    <row r="14" spans="1:22" x14ac:dyDescent="0.35">
      <c r="A14" s="105">
        <v>1</v>
      </c>
      <c r="B14" s="147">
        <v>3</v>
      </c>
      <c r="C14" s="145">
        <v>2</v>
      </c>
      <c r="D14" s="145">
        <v>132</v>
      </c>
      <c r="E14" s="146">
        <v>33.9458463677</v>
      </c>
      <c r="F14" s="105">
        <v>1</v>
      </c>
      <c r="H14" s="72">
        <v>121</v>
      </c>
      <c r="I14" s="86" t="s">
        <v>99</v>
      </c>
      <c r="J14" s="118" t="str">
        <f t="shared" si="0"/>
        <v/>
      </c>
      <c r="K14" s="118" t="str">
        <f t="shared" si="0"/>
        <v/>
      </c>
      <c r="L14" s="118" t="str">
        <f t="shared" si="0"/>
        <v/>
      </c>
      <c r="M14" s="118" t="str">
        <f t="shared" si="0"/>
        <v/>
      </c>
      <c r="N14" s="118" t="str">
        <f t="shared" si="0"/>
        <v/>
      </c>
      <c r="O14" s="10"/>
      <c r="P14" s="106" t="s">
        <v>35</v>
      </c>
    </row>
    <row r="15" spans="1:22" x14ac:dyDescent="0.35">
      <c r="A15" s="105">
        <v>3</v>
      </c>
      <c r="B15" s="147">
        <v>3</v>
      </c>
      <c r="C15" s="145">
        <v>2</v>
      </c>
      <c r="D15" s="145">
        <v>332</v>
      </c>
      <c r="E15" s="146">
        <v>2.5377480655500002</v>
      </c>
      <c r="F15" s="105">
        <v>1</v>
      </c>
      <c r="H15" s="72">
        <v>122</v>
      </c>
      <c r="I15" s="86" t="s">
        <v>100</v>
      </c>
      <c r="J15" s="118" t="str">
        <f t="shared" si="0"/>
        <v/>
      </c>
      <c r="K15" s="118" t="str">
        <f t="shared" si="0"/>
        <v/>
      </c>
      <c r="L15" s="118" t="str">
        <f t="shared" si="0"/>
        <v/>
      </c>
      <c r="M15" s="118">
        <f t="shared" si="0"/>
        <v>8.0208451354000001</v>
      </c>
      <c r="N15" s="118" t="str">
        <f t="shared" si="0"/>
        <v/>
      </c>
      <c r="P15" s="106" t="s">
        <v>35</v>
      </c>
    </row>
    <row r="16" spans="1:22" x14ac:dyDescent="0.35">
      <c r="A16" s="105">
        <v>1</v>
      </c>
      <c r="B16" s="147">
        <v>3</v>
      </c>
      <c r="C16" s="145">
        <v>2</v>
      </c>
      <c r="D16" s="145">
        <v>132</v>
      </c>
      <c r="E16" s="146">
        <v>4.0296292387700001</v>
      </c>
      <c r="F16" s="105">
        <v>1</v>
      </c>
      <c r="H16" s="72">
        <v>131</v>
      </c>
      <c r="I16" s="86" t="s">
        <v>101</v>
      </c>
      <c r="J16" s="118" t="str">
        <f t="shared" si="0"/>
        <v/>
      </c>
      <c r="K16" s="118" t="str">
        <f t="shared" si="0"/>
        <v/>
      </c>
      <c r="L16" s="118">
        <f t="shared" si="0"/>
        <v>4.7539206251100001</v>
      </c>
      <c r="M16" s="118">
        <f t="shared" si="0"/>
        <v>22.297527708360001</v>
      </c>
      <c r="N16" s="118" t="str">
        <f t="shared" si="0"/>
        <v/>
      </c>
    </row>
    <row r="17" spans="1:16" x14ac:dyDescent="0.35">
      <c r="A17" s="105">
        <v>3</v>
      </c>
      <c r="B17" s="147">
        <v>3</v>
      </c>
      <c r="C17" s="145">
        <v>2</v>
      </c>
      <c r="D17" s="145">
        <v>332</v>
      </c>
      <c r="E17" s="146">
        <v>5.1189286515100001</v>
      </c>
      <c r="F17" s="105">
        <v>1</v>
      </c>
      <c r="H17" s="72">
        <v>132</v>
      </c>
      <c r="I17" s="86" t="s">
        <v>102</v>
      </c>
      <c r="J17" s="118">
        <f t="shared" si="0"/>
        <v>99.929900938239996</v>
      </c>
      <c r="K17" s="118">
        <f t="shared" si="0"/>
        <v>90.618004563079992</v>
      </c>
      <c r="L17" s="118">
        <f t="shared" si="0"/>
        <v>98.595006103079996</v>
      </c>
      <c r="M17" s="118">
        <f>IF(SUMIFS($E:$E,$D:$D,$H17,$F:$F,M$8)=0,"",SUMIFS($E:$E,$D:$D,$H17,$F:$F,M$8))</f>
        <v>120.92770963759999</v>
      </c>
      <c r="N17" s="118">
        <f t="shared" si="0"/>
        <v>8.9143522471699992</v>
      </c>
    </row>
    <row r="18" spans="1:16" x14ac:dyDescent="0.35">
      <c r="A18" s="105">
        <v>3</v>
      </c>
      <c r="B18" s="147">
        <v>3</v>
      </c>
      <c r="C18" s="145">
        <v>2</v>
      </c>
      <c r="D18" s="145">
        <v>332</v>
      </c>
      <c r="E18" s="146">
        <v>2.2789904970000001</v>
      </c>
      <c r="F18" s="105">
        <v>1</v>
      </c>
      <c r="H18" s="72">
        <v>141</v>
      </c>
      <c r="I18" s="86" t="s">
        <v>103</v>
      </c>
      <c r="J18" s="118" t="str">
        <f t="shared" si="0"/>
        <v/>
      </c>
      <c r="K18" s="118" t="str">
        <f t="shared" si="0"/>
        <v/>
      </c>
      <c r="L18" s="118" t="str">
        <f t="shared" si="0"/>
        <v/>
      </c>
      <c r="M18" s="118" t="str">
        <f t="shared" si="0"/>
        <v/>
      </c>
      <c r="N18" s="118" t="str">
        <f t="shared" si="0"/>
        <v/>
      </c>
    </row>
    <row r="19" spans="1:16" x14ac:dyDescent="0.35">
      <c r="A19" s="105">
        <v>1</v>
      </c>
      <c r="B19" s="147">
        <v>3</v>
      </c>
      <c r="C19" s="145">
        <v>2</v>
      </c>
      <c r="D19" s="145">
        <v>132</v>
      </c>
      <c r="E19" s="146">
        <v>1.15133417137</v>
      </c>
      <c r="F19" s="105">
        <v>1</v>
      </c>
      <c r="H19" s="72">
        <v>142</v>
      </c>
      <c r="I19" s="86" t="s">
        <v>104</v>
      </c>
      <c r="J19" s="118" t="str">
        <f t="shared" si="0"/>
        <v/>
      </c>
      <c r="K19" s="118" t="str">
        <f t="shared" si="0"/>
        <v/>
      </c>
      <c r="L19" s="118" t="str">
        <f t="shared" si="0"/>
        <v/>
      </c>
      <c r="M19" s="118" t="str">
        <f t="shared" si="0"/>
        <v/>
      </c>
      <c r="N19" s="118" t="str">
        <f t="shared" si="0"/>
        <v/>
      </c>
    </row>
    <row r="20" spans="1:16" x14ac:dyDescent="0.35">
      <c r="A20" s="105">
        <v>3</v>
      </c>
      <c r="B20" s="147">
        <v>3</v>
      </c>
      <c r="C20" s="145">
        <v>2</v>
      </c>
      <c r="D20" s="145">
        <v>332</v>
      </c>
      <c r="E20" s="146">
        <v>3.0801814194300001</v>
      </c>
      <c r="F20" s="105">
        <v>1</v>
      </c>
      <c r="H20" s="72">
        <v>151</v>
      </c>
      <c r="I20" s="86" t="s">
        <v>105</v>
      </c>
      <c r="J20" s="118" t="str">
        <f t="shared" si="0"/>
        <v/>
      </c>
      <c r="K20" s="118" t="str">
        <f t="shared" si="0"/>
        <v/>
      </c>
      <c r="L20" s="118" t="str">
        <f t="shared" si="0"/>
        <v/>
      </c>
      <c r="M20" s="118" t="str">
        <f t="shared" si="0"/>
        <v/>
      </c>
      <c r="N20" s="118" t="str">
        <f t="shared" si="0"/>
        <v/>
      </c>
    </row>
    <row r="21" spans="1:16" x14ac:dyDescent="0.35">
      <c r="A21" s="105">
        <v>1</v>
      </c>
      <c r="B21" s="147">
        <v>3</v>
      </c>
      <c r="C21" s="145">
        <v>2</v>
      </c>
      <c r="D21" s="145">
        <v>132</v>
      </c>
      <c r="E21" s="146">
        <v>14.594212688100001</v>
      </c>
      <c r="F21" s="105">
        <v>1</v>
      </c>
      <c r="H21" s="72">
        <v>152</v>
      </c>
      <c r="I21" s="86" t="s">
        <v>106</v>
      </c>
      <c r="J21" s="118" t="str">
        <f t="shared" si="0"/>
        <v/>
      </c>
      <c r="K21" s="118" t="str">
        <f t="shared" si="0"/>
        <v/>
      </c>
      <c r="L21" s="118" t="str">
        <f t="shared" si="0"/>
        <v/>
      </c>
      <c r="M21" s="118" t="str">
        <f t="shared" si="0"/>
        <v/>
      </c>
      <c r="N21" s="118" t="str">
        <f t="shared" si="0"/>
        <v/>
      </c>
    </row>
    <row r="22" spans="1:16" x14ac:dyDescent="0.35">
      <c r="A22" s="105">
        <v>1</v>
      </c>
      <c r="B22" s="147">
        <v>3</v>
      </c>
      <c r="C22" s="145">
        <v>2</v>
      </c>
      <c r="D22" s="145">
        <v>132</v>
      </c>
      <c r="E22" s="146">
        <v>26.289009785000001</v>
      </c>
      <c r="F22" s="105">
        <v>2</v>
      </c>
      <c r="H22" s="72">
        <v>211</v>
      </c>
      <c r="I22" s="86" t="s">
        <v>107</v>
      </c>
      <c r="J22" s="118" t="str">
        <f t="shared" si="0"/>
        <v/>
      </c>
      <c r="K22" s="118" t="str">
        <f t="shared" si="0"/>
        <v/>
      </c>
      <c r="L22" s="118" t="str">
        <f t="shared" si="0"/>
        <v/>
      </c>
      <c r="M22" s="118" t="str">
        <f t="shared" si="0"/>
        <v/>
      </c>
      <c r="N22" s="118" t="str">
        <f t="shared" si="0"/>
        <v/>
      </c>
    </row>
    <row r="23" spans="1:16" x14ac:dyDescent="0.35">
      <c r="A23" s="105">
        <v>2</v>
      </c>
      <c r="B23" s="147">
        <v>1</v>
      </c>
      <c r="C23" s="145">
        <v>2</v>
      </c>
      <c r="D23" s="145">
        <v>212</v>
      </c>
      <c r="E23" s="146">
        <v>2.83489872053</v>
      </c>
      <c r="F23" s="105">
        <v>2</v>
      </c>
      <c r="H23" s="72">
        <v>212</v>
      </c>
      <c r="I23" s="86" t="s">
        <v>108</v>
      </c>
      <c r="J23" s="118">
        <f t="shared" si="0"/>
        <v>4.8092754381000002</v>
      </c>
      <c r="K23" s="118">
        <f t="shared" si="0"/>
        <v>6.7563960657200006</v>
      </c>
      <c r="L23" s="118">
        <f t="shared" si="0"/>
        <v>7.5862823147100009</v>
      </c>
      <c r="M23" s="118" t="str">
        <f t="shared" si="0"/>
        <v/>
      </c>
      <c r="N23" s="118" t="str">
        <f t="shared" si="0"/>
        <v/>
      </c>
      <c r="P23" s="6"/>
    </row>
    <row r="24" spans="1:16" x14ac:dyDescent="0.35">
      <c r="A24" s="105">
        <v>3</v>
      </c>
      <c r="B24" s="147">
        <v>3</v>
      </c>
      <c r="C24" s="145">
        <v>2</v>
      </c>
      <c r="D24" s="145">
        <v>332</v>
      </c>
      <c r="E24" s="146">
        <v>4.2868115610200004</v>
      </c>
      <c r="F24" s="105">
        <v>2</v>
      </c>
      <c r="H24" s="72">
        <v>221</v>
      </c>
      <c r="I24" s="86" t="s">
        <v>109</v>
      </c>
      <c r="J24" s="118" t="str">
        <f t="shared" si="0"/>
        <v/>
      </c>
      <c r="K24" s="118" t="str">
        <f t="shared" si="0"/>
        <v/>
      </c>
      <c r="L24" s="118" t="str">
        <f t="shared" si="0"/>
        <v/>
      </c>
      <c r="M24" s="118" t="str">
        <f t="shared" si="0"/>
        <v/>
      </c>
      <c r="N24" s="118" t="str">
        <f t="shared" si="0"/>
        <v/>
      </c>
      <c r="P24" s="6"/>
    </row>
    <row r="25" spans="1:16" x14ac:dyDescent="0.35">
      <c r="A25" s="105">
        <v>1</v>
      </c>
      <c r="B25" s="147">
        <v>3</v>
      </c>
      <c r="C25" s="145">
        <v>2</v>
      </c>
      <c r="D25" s="145">
        <v>132</v>
      </c>
      <c r="E25" s="146">
        <v>4.8811822606100002</v>
      </c>
      <c r="F25" s="105">
        <v>2</v>
      </c>
      <c r="H25" s="72">
        <v>222</v>
      </c>
      <c r="I25" s="86" t="s">
        <v>110</v>
      </c>
      <c r="J25" s="118" t="str">
        <f t="shared" si="0"/>
        <v/>
      </c>
      <c r="K25" s="118" t="str">
        <f t="shared" si="0"/>
        <v/>
      </c>
      <c r="L25" s="118" t="str">
        <f t="shared" si="0"/>
        <v/>
      </c>
      <c r="M25" s="118" t="str">
        <f t="shared" si="0"/>
        <v/>
      </c>
      <c r="N25" s="118" t="str">
        <f t="shared" si="0"/>
        <v/>
      </c>
    </row>
    <row r="26" spans="1:16" x14ac:dyDescent="0.35">
      <c r="A26" s="105">
        <v>3</v>
      </c>
      <c r="B26" s="147">
        <v>3</v>
      </c>
      <c r="C26" s="145">
        <v>2</v>
      </c>
      <c r="D26" s="145">
        <v>332</v>
      </c>
      <c r="E26" s="146">
        <v>5.4283190078099999</v>
      </c>
      <c r="F26" s="105">
        <v>2</v>
      </c>
      <c r="H26" s="72">
        <v>231</v>
      </c>
      <c r="I26" s="86" t="s">
        <v>111</v>
      </c>
      <c r="J26" s="118" t="str">
        <f t="shared" si="0"/>
        <v/>
      </c>
      <c r="K26" s="118" t="str">
        <f t="shared" si="0"/>
        <v/>
      </c>
      <c r="L26" s="118" t="str">
        <f t="shared" si="0"/>
        <v/>
      </c>
      <c r="M26" s="118" t="str">
        <f t="shared" si="0"/>
        <v/>
      </c>
      <c r="N26" s="118" t="str">
        <f t="shared" si="0"/>
        <v/>
      </c>
      <c r="P26" s="6"/>
    </row>
    <row r="27" spans="1:16" x14ac:dyDescent="0.35">
      <c r="A27" s="105">
        <v>2</v>
      </c>
      <c r="B27" s="147">
        <v>4</v>
      </c>
      <c r="C27" s="145">
        <v>2</v>
      </c>
      <c r="D27" s="145">
        <v>242</v>
      </c>
      <c r="E27" s="146">
        <v>5.6333809334599998</v>
      </c>
      <c r="F27" s="105">
        <v>2</v>
      </c>
      <c r="H27" s="72">
        <v>232</v>
      </c>
      <c r="I27" s="86" t="s">
        <v>112</v>
      </c>
      <c r="J27" s="118" t="str">
        <f t="shared" si="0"/>
        <v/>
      </c>
      <c r="K27" s="118" t="str">
        <f t="shared" si="0"/>
        <v/>
      </c>
      <c r="L27" s="118">
        <f t="shared" si="0"/>
        <v>2.3383051040599998</v>
      </c>
      <c r="M27" s="118">
        <f t="shared" si="0"/>
        <v>5.1513767680600004</v>
      </c>
      <c r="N27" s="118">
        <f t="shared" si="0"/>
        <v>6.7031170752799998</v>
      </c>
      <c r="P27" s="6"/>
    </row>
    <row r="28" spans="1:16" x14ac:dyDescent="0.35">
      <c r="A28" s="105">
        <v>1</v>
      </c>
      <c r="B28" s="147">
        <v>3</v>
      </c>
      <c r="C28" s="145">
        <v>2</v>
      </c>
      <c r="D28" s="145">
        <v>132</v>
      </c>
      <c r="E28" s="146">
        <v>3.9508637152000001</v>
      </c>
      <c r="F28" s="105">
        <v>2</v>
      </c>
      <c r="H28" s="72">
        <v>241</v>
      </c>
      <c r="I28" s="86" t="s">
        <v>113</v>
      </c>
      <c r="J28" s="118" t="str">
        <f t="shared" si="0"/>
        <v/>
      </c>
      <c r="K28" s="118" t="str">
        <f t="shared" si="0"/>
        <v/>
      </c>
      <c r="L28" s="118" t="str">
        <f t="shared" si="0"/>
        <v/>
      </c>
      <c r="M28" s="118" t="str">
        <f t="shared" si="0"/>
        <v/>
      </c>
      <c r="N28" s="118" t="str">
        <f t="shared" si="0"/>
        <v/>
      </c>
      <c r="P28" s="6"/>
    </row>
    <row r="29" spans="1:16" x14ac:dyDescent="0.35">
      <c r="A29" s="105">
        <v>2</v>
      </c>
      <c r="B29" s="147">
        <v>1</v>
      </c>
      <c r="C29" s="145">
        <v>2</v>
      </c>
      <c r="D29" s="145">
        <v>212</v>
      </c>
      <c r="E29" s="146">
        <v>3.9214973451900001</v>
      </c>
      <c r="F29" s="105">
        <v>2</v>
      </c>
      <c r="H29" s="72">
        <v>242</v>
      </c>
      <c r="I29" s="86" t="s">
        <v>114</v>
      </c>
      <c r="J29" s="118" t="str">
        <f t="shared" si="0"/>
        <v/>
      </c>
      <c r="K29" s="118">
        <f t="shared" si="0"/>
        <v>5.6333809334599998</v>
      </c>
      <c r="L29" s="118" t="str">
        <f t="shared" si="0"/>
        <v/>
      </c>
      <c r="M29" s="118" t="str">
        <f t="shared" si="0"/>
        <v/>
      </c>
      <c r="N29" s="118" t="str">
        <f t="shared" si="0"/>
        <v/>
      </c>
      <c r="P29" s="6"/>
    </row>
    <row r="30" spans="1:16" x14ac:dyDescent="0.35">
      <c r="A30" s="105">
        <v>1</v>
      </c>
      <c r="B30" s="147">
        <v>3</v>
      </c>
      <c r="C30" s="145">
        <v>2</v>
      </c>
      <c r="D30" s="145">
        <v>132</v>
      </c>
      <c r="E30" s="146">
        <v>33.354781070999998</v>
      </c>
      <c r="F30" s="105">
        <v>2</v>
      </c>
      <c r="H30" s="72">
        <v>251</v>
      </c>
      <c r="I30" s="86" t="s">
        <v>115</v>
      </c>
      <c r="J30" s="118" t="str">
        <f t="shared" si="0"/>
        <v/>
      </c>
      <c r="K30" s="118" t="str">
        <f t="shared" si="0"/>
        <v/>
      </c>
      <c r="L30" s="118" t="str">
        <f t="shared" si="0"/>
        <v/>
      </c>
      <c r="M30" s="118" t="str">
        <f t="shared" si="0"/>
        <v/>
      </c>
      <c r="N30" s="118" t="str">
        <f t="shared" si="0"/>
        <v/>
      </c>
    </row>
    <row r="31" spans="1:16" x14ac:dyDescent="0.35">
      <c r="A31" s="105">
        <v>3</v>
      </c>
      <c r="B31" s="147">
        <v>1</v>
      </c>
      <c r="C31" s="145">
        <v>2</v>
      </c>
      <c r="D31" s="145">
        <v>312</v>
      </c>
      <c r="E31" s="146">
        <v>4.2192839825200004</v>
      </c>
      <c r="F31" s="105">
        <v>2</v>
      </c>
      <c r="H31" s="72">
        <v>252</v>
      </c>
      <c r="I31" s="86" t="s">
        <v>116</v>
      </c>
      <c r="J31" s="118" t="str">
        <f t="shared" si="0"/>
        <v/>
      </c>
      <c r="K31" s="118" t="str">
        <f t="shared" si="0"/>
        <v/>
      </c>
      <c r="L31" s="118" t="str">
        <f t="shared" si="0"/>
        <v/>
      </c>
      <c r="M31" s="118" t="str">
        <f t="shared" si="0"/>
        <v/>
      </c>
      <c r="N31" s="118" t="str">
        <f t="shared" si="0"/>
        <v/>
      </c>
    </row>
    <row r="32" spans="1:16" x14ac:dyDescent="0.35">
      <c r="A32" s="105">
        <v>1</v>
      </c>
      <c r="B32" s="147">
        <v>3</v>
      </c>
      <c r="C32" s="145">
        <v>2</v>
      </c>
      <c r="D32" s="145">
        <v>132</v>
      </c>
      <c r="E32" s="146">
        <v>16.955444009299999</v>
      </c>
      <c r="F32" s="105">
        <v>2</v>
      </c>
      <c r="H32" s="72">
        <v>311</v>
      </c>
      <c r="I32" s="86" t="s">
        <v>117</v>
      </c>
      <c r="J32" s="118" t="str">
        <f t="shared" si="0"/>
        <v/>
      </c>
      <c r="K32" s="118" t="str">
        <f t="shared" si="0"/>
        <v/>
      </c>
      <c r="L32" s="118" t="str">
        <f t="shared" si="0"/>
        <v/>
      </c>
      <c r="M32" s="118" t="str">
        <f t="shared" si="0"/>
        <v/>
      </c>
      <c r="N32" s="118" t="str">
        <f t="shared" si="0"/>
        <v/>
      </c>
    </row>
    <row r="33" spans="1:14" x14ac:dyDescent="0.35">
      <c r="A33" s="105">
        <v>3</v>
      </c>
      <c r="B33" s="147">
        <v>3</v>
      </c>
      <c r="C33" s="145">
        <v>2</v>
      </c>
      <c r="D33" s="145">
        <v>332</v>
      </c>
      <c r="E33" s="146">
        <v>2.05531705299</v>
      </c>
      <c r="F33" s="105">
        <v>2</v>
      </c>
      <c r="H33" s="72">
        <v>312</v>
      </c>
      <c r="I33" s="86" t="s">
        <v>118</v>
      </c>
      <c r="J33" s="118" t="str">
        <f t="shared" si="0"/>
        <v/>
      </c>
      <c r="K33" s="118">
        <f t="shared" si="0"/>
        <v>4.2192839825200004</v>
      </c>
      <c r="L33" s="118" t="str">
        <f t="shared" si="0"/>
        <v/>
      </c>
      <c r="M33" s="118" t="str">
        <f t="shared" si="0"/>
        <v/>
      </c>
      <c r="N33" s="118" t="str">
        <f t="shared" si="0"/>
        <v/>
      </c>
    </row>
    <row r="34" spans="1:14" x14ac:dyDescent="0.35">
      <c r="A34" s="105">
        <v>3</v>
      </c>
      <c r="B34" s="147">
        <v>3</v>
      </c>
      <c r="C34" s="145">
        <v>2</v>
      </c>
      <c r="D34" s="145">
        <v>332</v>
      </c>
      <c r="E34" s="146">
        <v>7.2163184345399998</v>
      </c>
      <c r="F34" s="105">
        <v>2</v>
      </c>
      <c r="H34" s="72">
        <v>321</v>
      </c>
      <c r="I34" s="86" t="s">
        <v>119</v>
      </c>
      <c r="J34" s="118" t="str">
        <f t="shared" si="0"/>
        <v/>
      </c>
      <c r="K34" s="118" t="str">
        <f t="shared" si="0"/>
        <v/>
      </c>
      <c r="L34" s="118" t="str">
        <f t="shared" si="0"/>
        <v/>
      </c>
      <c r="M34" s="118" t="str">
        <f t="shared" si="0"/>
        <v/>
      </c>
      <c r="N34" s="118" t="str">
        <f t="shared" si="0"/>
        <v/>
      </c>
    </row>
    <row r="35" spans="1:14" x14ac:dyDescent="0.35">
      <c r="A35" s="105">
        <v>1</v>
      </c>
      <c r="B35" s="147">
        <v>3</v>
      </c>
      <c r="C35" s="145">
        <v>2</v>
      </c>
      <c r="D35" s="145">
        <v>132</v>
      </c>
      <c r="E35" s="146">
        <v>4.1451755305000004</v>
      </c>
      <c r="F35" s="105">
        <v>2</v>
      </c>
      <c r="H35" s="72">
        <v>322</v>
      </c>
      <c r="I35" s="86" t="s">
        <v>120</v>
      </c>
      <c r="J35" s="118" t="str">
        <f t="shared" si="0"/>
        <v/>
      </c>
      <c r="K35" s="118" t="str">
        <f t="shared" si="0"/>
        <v/>
      </c>
      <c r="L35" s="118" t="str">
        <f t="shared" si="0"/>
        <v/>
      </c>
      <c r="M35" s="118" t="str">
        <f t="shared" si="0"/>
        <v/>
      </c>
      <c r="N35" s="118" t="str">
        <f t="shared" si="0"/>
        <v/>
      </c>
    </row>
    <row r="36" spans="1:14" x14ac:dyDescent="0.35">
      <c r="A36" s="105">
        <v>1</v>
      </c>
      <c r="B36" s="147">
        <v>3</v>
      </c>
      <c r="C36" s="145">
        <v>2</v>
      </c>
      <c r="D36" s="145">
        <v>132</v>
      </c>
      <c r="E36" s="146">
        <v>1.04154819147</v>
      </c>
      <c r="F36" s="105">
        <v>2</v>
      </c>
      <c r="H36" s="72">
        <v>331</v>
      </c>
      <c r="I36" s="86" t="s">
        <v>121</v>
      </c>
      <c r="J36" s="118" t="str">
        <f t="shared" si="0"/>
        <v/>
      </c>
      <c r="K36" s="118" t="str">
        <f t="shared" si="0"/>
        <v/>
      </c>
      <c r="L36" s="118" t="str">
        <f t="shared" si="0"/>
        <v/>
      </c>
      <c r="M36" s="118">
        <f t="shared" si="0"/>
        <v>0.67589366268899997</v>
      </c>
      <c r="N36" s="118">
        <f t="shared" si="0"/>
        <v>1.91728110956</v>
      </c>
    </row>
    <row r="37" spans="1:14" x14ac:dyDescent="0.35">
      <c r="A37" s="105">
        <v>2</v>
      </c>
      <c r="B37" s="147">
        <v>1</v>
      </c>
      <c r="C37" s="145">
        <v>2</v>
      </c>
      <c r="D37" s="145">
        <v>212</v>
      </c>
      <c r="E37" s="146">
        <v>5.4440008842100003</v>
      </c>
      <c r="F37" s="105">
        <v>3</v>
      </c>
      <c r="H37" s="72">
        <v>332</v>
      </c>
      <c r="I37" s="86" t="s">
        <v>122</v>
      </c>
      <c r="J37" s="118">
        <f t="shared" si="0"/>
        <v>23.68719307892</v>
      </c>
      <c r="K37" s="118">
        <f t="shared" si="0"/>
        <v>18.98676605636</v>
      </c>
      <c r="L37" s="118">
        <f t="shared" si="0"/>
        <v>17.246954817500001</v>
      </c>
      <c r="M37" s="118">
        <f t="shared" si="0"/>
        <v>26.802335105159997</v>
      </c>
      <c r="N37" s="118" t="str">
        <f t="shared" si="0"/>
        <v/>
      </c>
    </row>
    <row r="38" spans="1:14" x14ac:dyDescent="0.35">
      <c r="A38" s="105">
        <v>1</v>
      </c>
      <c r="B38" s="147">
        <v>3</v>
      </c>
      <c r="C38" s="145">
        <v>2</v>
      </c>
      <c r="D38" s="145">
        <v>132</v>
      </c>
      <c r="E38" s="146">
        <v>29.6931676974</v>
      </c>
      <c r="F38" s="105">
        <v>3</v>
      </c>
      <c r="H38" s="72">
        <v>341</v>
      </c>
      <c r="I38" s="86" t="s">
        <v>123</v>
      </c>
      <c r="J38" s="118" t="str">
        <f t="shared" si="0"/>
        <v/>
      </c>
      <c r="K38" s="118" t="str">
        <f t="shared" si="0"/>
        <v/>
      </c>
      <c r="L38" s="118" t="str">
        <f t="shared" si="0"/>
        <v/>
      </c>
      <c r="M38" s="118" t="str">
        <f t="shared" si="0"/>
        <v/>
      </c>
      <c r="N38" s="118" t="str">
        <f>IF(SUMIFS($E:$E,$D:$D,$H38,$F:$F,N$8)=0,"",SUMIFS($E:$E,$D:$D,$H38,$F:$F,N$8))</f>
        <v/>
      </c>
    </row>
    <row r="39" spans="1:14" x14ac:dyDescent="0.35">
      <c r="A39" s="105">
        <v>1</v>
      </c>
      <c r="B39" s="147">
        <v>3</v>
      </c>
      <c r="C39" s="145">
        <v>1</v>
      </c>
      <c r="D39" s="145">
        <v>131</v>
      </c>
      <c r="E39" s="146">
        <v>4.7539206251100001</v>
      </c>
      <c r="F39" s="105">
        <v>3</v>
      </c>
      <c r="H39" s="72">
        <v>342</v>
      </c>
      <c r="I39" s="86" t="s">
        <v>124</v>
      </c>
      <c r="J39" s="118" t="str">
        <f t="shared" si="0"/>
        <v/>
      </c>
      <c r="K39" s="118" t="str">
        <f t="shared" si="0"/>
        <v/>
      </c>
      <c r="L39" s="118" t="str">
        <f t="shared" si="0"/>
        <v/>
      </c>
      <c r="M39" s="118" t="str">
        <f t="shared" si="0"/>
        <v/>
      </c>
      <c r="N39" s="118" t="str">
        <f t="shared" si="0"/>
        <v/>
      </c>
    </row>
    <row r="40" spans="1:14" x14ac:dyDescent="0.35">
      <c r="A40" s="105">
        <v>1</v>
      </c>
      <c r="B40" s="147">
        <v>3</v>
      </c>
      <c r="C40" s="145">
        <v>2</v>
      </c>
      <c r="D40" s="145">
        <v>132</v>
      </c>
      <c r="E40" s="146">
        <v>1.5709156023699999</v>
      </c>
      <c r="F40" s="105">
        <v>3</v>
      </c>
      <c r="H40" s="72">
        <v>351</v>
      </c>
      <c r="I40" s="86" t="s">
        <v>125</v>
      </c>
      <c r="J40" s="118" t="str">
        <f t="shared" si="0"/>
        <v/>
      </c>
      <c r="K40" s="118" t="str">
        <f t="shared" si="0"/>
        <v/>
      </c>
      <c r="L40" s="118" t="str">
        <f t="shared" si="0"/>
        <v/>
      </c>
      <c r="M40" s="118" t="str">
        <f t="shared" si="0"/>
        <v/>
      </c>
      <c r="N40" s="118" t="str">
        <f t="shared" si="0"/>
        <v/>
      </c>
    </row>
    <row r="41" spans="1:14" ht="15" thickBot="1" x14ac:dyDescent="0.4">
      <c r="A41" s="105">
        <v>2</v>
      </c>
      <c r="B41" s="147">
        <v>3</v>
      </c>
      <c r="C41" s="145">
        <v>2</v>
      </c>
      <c r="D41" s="145">
        <v>232</v>
      </c>
      <c r="E41" s="146">
        <v>2.3383051040599998</v>
      </c>
      <c r="F41" s="105">
        <v>3</v>
      </c>
      <c r="H41" s="148">
        <v>352</v>
      </c>
      <c r="I41" s="86" t="s">
        <v>126</v>
      </c>
      <c r="J41" s="118" t="str">
        <f t="shared" si="0"/>
        <v/>
      </c>
      <c r="K41" s="118" t="str">
        <f t="shared" si="0"/>
        <v/>
      </c>
      <c r="L41" s="118" t="str">
        <f t="shared" si="0"/>
        <v/>
      </c>
      <c r="M41" s="118" t="str">
        <f t="shared" si="0"/>
        <v/>
      </c>
      <c r="N41" s="118" t="str">
        <f t="shared" si="0"/>
        <v/>
      </c>
    </row>
    <row r="42" spans="1:14" x14ac:dyDescent="0.35">
      <c r="A42" s="105">
        <v>1</v>
      </c>
      <c r="B42" s="147">
        <v>3</v>
      </c>
      <c r="C42" s="145">
        <v>2</v>
      </c>
      <c r="D42" s="145">
        <v>132</v>
      </c>
      <c r="E42" s="146">
        <v>1.2286728196500001</v>
      </c>
      <c r="F42" s="105">
        <v>3</v>
      </c>
      <c r="H42" s="96" t="s">
        <v>40</v>
      </c>
      <c r="I42" s="87" t="s">
        <v>127</v>
      </c>
      <c r="J42" s="187">
        <f>SUM(J12:J13)</f>
        <v>0</v>
      </c>
      <c r="K42" s="187">
        <f>SUM(K12:K13)</f>
        <v>0</v>
      </c>
      <c r="L42" s="187">
        <f>SUM(L12:L13)</f>
        <v>0</v>
      </c>
      <c r="M42" s="187">
        <f t="shared" ref="M42:N42" si="1">SUM(M12:M13)</f>
        <v>2.9137406612099999</v>
      </c>
      <c r="N42" s="187">
        <f t="shared" si="1"/>
        <v>0</v>
      </c>
    </row>
    <row r="43" spans="1:14" ht="15" thickBot="1" x14ac:dyDescent="0.4">
      <c r="A43" s="105">
        <v>3</v>
      </c>
      <c r="B43" s="147">
        <v>3</v>
      </c>
      <c r="C43" s="145">
        <v>2</v>
      </c>
      <c r="D43" s="145">
        <v>332</v>
      </c>
      <c r="E43" s="146">
        <v>3.14311069726</v>
      </c>
      <c r="F43" s="105">
        <v>3</v>
      </c>
      <c r="H43" s="151" t="s">
        <v>39</v>
      </c>
      <c r="I43" s="152" t="s">
        <v>128</v>
      </c>
      <c r="J43" s="188">
        <f>SUM(J14:J15)</f>
        <v>0</v>
      </c>
      <c r="K43" s="188">
        <f>SUM(K14:K15)</f>
        <v>0</v>
      </c>
      <c r="L43" s="188">
        <f>SUM(L14:L15)</f>
        <v>0</v>
      </c>
      <c r="M43" s="188">
        <f t="shared" ref="M43:N43" si="2">SUM(M14:M15)</f>
        <v>8.0208451354000001</v>
      </c>
      <c r="N43" s="188">
        <f t="shared" si="2"/>
        <v>0</v>
      </c>
    </row>
    <row r="44" spans="1:14" x14ac:dyDescent="0.35">
      <c r="A44" s="105">
        <v>1</v>
      </c>
      <c r="B44" s="147">
        <v>3</v>
      </c>
      <c r="C44" s="145">
        <v>2</v>
      </c>
      <c r="D44" s="145">
        <v>132</v>
      </c>
      <c r="E44" s="146">
        <v>3.03029026933</v>
      </c>
      <c r="F44" s="105">
        <v>3</v>
      </c>
      <c r="H44" s="149"/>
      <c r="I44" s="150" t="s">
        <v>129</v>
      </c>
      <c r="J44" s="189">
        <f>SUM(J12:J41)</f>
        <v>128.42636945525999</v>
      </c>
      <c r="K44" s="189">
        <f>SUM(K12:K41)</f>
        <v>126.21383160113999</v>
      </c>
      <c r="L44" s="189">
        <f>SUM(L12:L41)</f>
        <v>130.52046896446001</v>
      </c>
      <c r="M44" s="189">
        <f t="shared" ref="M44:N44" si="3">SUM(M12:M41)</f>
        <v>186.789428678479</v>
      </c>
      <c r="N44" s="189">
        <f t="shared" si="3"/>
        <v>17.53475043201</v>
      </c>
    </row>
    <row r="45" spans="1:14" x14ac:dyDescent="0.35">
      <c r="A45" s="105">
        <v>3</v>
      </c>
      <c r="B45" s="147">
        <v>3</v>
      </c>
      <c r="C45" s="145">
        <v>2</v>
      </c>
      <c r="D45" s="145">
        <v>332</v>
      </c>
      <c r="E45" s="146">
        <v>5.3908901009900001</v>
      </c>
      <c r="F45" s="105">
        <v>3</v>
      </c>
      <c r="H45" s="51"/>
      <c r="I45" s="140" t="s">
        <v>130</v>
      </c>
      <c r="J45" s="153">
        <f>0.5*(1-(J43+0.5*J42)/J44)</f>
        <v>0.5</v>
      </c>
      <c r="K45" s="153">
        <f>0.5*(1-(K43+0.5*K42)/K44)</f>
        <v>0.5</v>
      </c>
      <c r="L45" s="153">
        <f>0.5*(1-(L43+0.5*L42)/L44)</f>
        <v>0.5</v>
      </c>
      <c r="M45" s="153">
        <f t="shared" ref="M45:N45" si="4">0.5*(1-(M43+0.5*M42)/M44)</f>
        <v>0.47462994685229482</v>
      </c>
      <c r="N45" s="153">
        <f t="shared" si="4"/>
        <v>0.5</v>
      </c>
    </row>
    <row r="46" spans="1:14" x14ac:dyDescent="0.35">
      <c r="A46" s="105">
        <v>3</v>
      </c>
      <c r="B46" s="147">
        <v>3</v>
      </c>
      <c r="C46" s="145">
        <v>2</v>
      </c>
      <c r="D46" s="145">
        <v>332</v>
      </c>
      <c r="E46" s="146">
        <v>8.7129540192500006</v>
      </c>
      <c r="F46" s="105">
        <v>3</v>
      </c>
      <c r="H46" s="91"/>
      <c r="I46" s="90"/>
      <c r="J46" s="90"/>
      <c r="K46" s="90"/>
      <c r="L46" s="90"/>
      <c r="M46" s="90"/>
      <c r="N46" s="90"/>
    </row>
    <row r="47" spans="1:14" x14ac:dyDescent="0.35">
      <c r="A47" s="105">
        <v>1</v>
      </c>
      <c r="B47" s="147">
        <v>3</v>
      </c>
      <c r="C47" s="145">
        <v>2</v>
      </c>
      <c r="D47" s="145">
        <v>132</v>
      </c>
      <c r="E47" s="146">
        <v>43.902769593899997</v>
      </c>
      <c r="F47" s="105">
        <v>3</v>
      </c>
      <c r="H47" s="91"/>
      <c r="I47" s="90"/>
      <c r="J47" s="90"/>
      <c r="K47" s="90"/>
      <c r="L47" s="90"/>
      <c r="M47" s="90"/>
      <c r="N47" s="90"/>
    </row>
    <row r="48" spans="1:14" x14ac:dyDescent="0.35">
      <c r="A48" s="105">
        <v>2</v>
      </c>
      <c r="B48" s="147">
        <v>1</v>
      </c>
      <c r="C48" s="145">
        <v>2</v>
      </c>
      <c r="D48" s="145">
        <v>212</v>
      </c>
      <c r="E48" s="146">
        <v>2.1422814305000002</v>
      </c>
      <c r="F48" s="105">
        <v>3</v>
      </c>
      <c r="H48" s="91"/>
      <c r="I48" s="90"/>
      <c r="J48" s="90"/>
      <c r="K48" s="90"/>
      <c r="L48" s="90"/>
      <c r="M48" s="90"/>
      <c r="N48" s="90"/>
    </row>
    <row r="49" spans="1:15" x14ac:dyDescent="0.35">
      <c r="A49" s="105">
        <v>1</v>
      </c>
      <c r="B49" s="147">
        <v>3</v>
      </c>
      <c r="C49" s="145">
        <v>2</v>
      </c>
      <c r="D49" s="145">
        <v>132</v>
      </c>
      <c r="E49" s="146">
        <v>5.0269337202299997</v>
      </c>
      <c r="F49" s="105">
        <v>3</v>
      </c>
      <c r="H49" s="91"/>
      <c r="I49" s="90"/>
      <c r="J49" s="90"/>
      <c r="K49" s="90"/>
      <c r="L49" s="90"/>
      <c r="M49" s="90"/>
      <c r="N49" s="90"/>
    </row>
    <row r="50" spans="1:15" x14ac:dyDescent="0.35">
      <c r="A50" s="105">
        <v>1</v>
      </c>
      <c r="B50" s="147">
        <v>3</v>
      </c>
      <c r="C50" s="145">
        <v>2</v>
      </c>
      <c r="D50" s="145">
        <v>132</v>
      </c>
      <c r="E50" s="146">
        <v>14.142256400200001</v>
      </c>
      <c r="F50" s="105">
        <v>3</v>
      </c>
      <c r="H50" s="91"/>
      <c r="I50" s="90"/>
      <c r="J50" s="90"/>
      <c r="K50" s="90"/>
      <c r="L50" s="90"/>
      <c r="M50" s="90"/>
      <c r="N50" s="90"/>
    </row>
    <row r="51" spans="1:15" x14ac:dyDescent="0.35">
      <c r="A51" s="105">
        <v>1</v>
      </c>
      <c r="B51" s="147">
        <v>3</v>
      </c>
      <c r="C51" s="145">
        <v>2</v>
      </c>
      <c r="D51" s="145">
        <v>132</v>
      </c>
      <c r="E51" s="146">
        <v>7.0705310031900002</v>
      </c>
      <c r="F51" s="105">
        <v>4</v>
      </c>
      <c r="H51" s="91"/>
      <c r="I51" s="90"/>
      <c r="J51" s="90"/>
      <c r="K51" s="90"/>
      <c r="L51" s="90"/>
      <c r="M51" s="90"/>
      <c r="N51" s="90"/>
    </row>
    <row r="52" spans="1:15" x14ac:dyDescent="0.35">
      <c r="A52" s="105">
        <v>1</v>
      </c>
      <c r="B52" s="147">
        <v>2</v>
      </c>
      <c r="C52" s="145">
        <v>2</v>
      </c>
      <c r="D52" s="145">
        <v>122</v>
      </c>
      <c r="E52" s="146">
        <v>8.0208451354000001</v>
      </c>
      <c r="F52" s="105">
        <v>4</v>
      </c>
      <c r="H52" s="91"/>
      <c r="I52" s="90"/>
      <c r="J52" s="90"/>
      <c r="K52" s="90"/>
      <c r="L52" s="90"/>
      <c r="M52" s="90"/>
      <c r="N52" s="90"/>
    </row>
    <row r="53" spans="1:15" x14ac:dyDescent="0.35">
      <c r="A53" s="105">
        <v>1</v>
      </c>
      <c r="B53" s="147">
        <v>1</v>
      </c>
      <c r="C53" s="145">
        <v>2</v>
      </c>
      <c r="D53" s="145">
        <v>112</v>
      </c>
      <c r="E53" s="146">
        <v>2.9137406612099999</v>
      </c>
      <c r="F53" s="105">
        <v>4</v>
      </c>
      <c r="H53" s="93"/>
      <c r="I53" s="90"/>
      <c r="J53" s="94"/>
      <c r="K53" s="94"/>
      <c r="L53" s="94"/>
      <c r="M53" s="94"/>
      <c r="N53" s="94"/>
      <c r="O53" s="10"/>
    </row>
    <row r="54" spans="1:15" x14ac:dyDescent="0.35">
      <c r="A54" s="105">
        <v>1</v>
      </c>
      <c r="B54" s="147">
        <v>3</v>
      </c>
      <c r="C54" s="145">
        <v>2</v>
      </c>
      <c r="D54" s="145">
        <v>132</v>
      </c>
      <c r="E54" s="146">
        <v>16.413539045899999</v>
      </c>
      <c r="F54" s="105">
        <v>4</v>
      </c>
      <c r="H54" s="98" t="s">
        <v>141</v>
      </c>
      <c r="I54" s="10"/>
      <c r="O54" s="10"/>
    </row>
    <row r="55" spans="1:15" x14ac:dyDescent="0.35">
      <c r="A55" s="105">
        <v>2</v>
      </c>
      <c r="B55" s="147">
        <v>3</v>
      </c>
      <c r="C55" s="145">
        <v>2</v>
      </c>
      <c r="D55" s="145">
        <v>232</v>
      </c>
      <c r="E55" s="146">
        <v>3.0537124495799999</v>
      </c>
      <c r="F55" s="105">
        <v>4</v>
      </c>
      <c r="H55" s="93"/>
      <c r="I55" s="90"/>
      <c r="O55" s="90"/>
    </row>
    <row r="56" spans="1:15" x14ac:dyDescent="0.35">
      <c r="A56" s="105">
        <v>1</v>
      </c>
      <c r="B56" s="147">
        <v>3</v>
      </c>
      <c r="C56" s="145">
        <v>2</v>
      </c>
      <c r="D56" s="145">
        <v>132</v>
      </c>
      <c r="E56" s="146">
        <v>22.3644529213</v>
      </c>
      <c r="F56" s="105">
        <v>4</v>
      </c>
      <c r="H56" s="154"/>
      <c r="I56" s="10"/>
      <c r="J56" s="140" t="s">
        <v>85</v>
      </c>
      <c r="K56" s="126"/>
      <c r="L56" s="126"/>
      <c r="M56" s="126"/>
      <c r="N56" s="127"/>
    </row>
    <row r="57" spans="1:15" x14ac:dyDescent="0.35">
      <c r="A57" s="105">
        <v>3</v>
      </c>
      <c r="B57" s="147">
        <v>3</v>
      </c>
      <c r="C57" s="145">
        <v>1</v>
      </c>
      <c r="D57" s="145">
        <v>331</v>
      </c>
      <c r="E57" s="146">
        <v>0.67589366268899997</v>
      </c>
      <c r="F57" s="105">
        <v>4</v>
      </c>
      <c r="H57" s="154"/>
      <c r="I57" s="10"/>
      <c r="J57" s="115">
        <v>1</v>
      </c>
      <c r="K57" s="115">
        <v>2</v>
      </c>
      <c r="L57" s="115">
        <v>3</v>
      </c>
      <c r="M57" s="115">
        <v>4</v>
      </c>
      <c r="N57" s="141">
        <v>5</v>
      </c>
    </row>
    <row r="58" spans="1:15" ht="15" thickBot="1" x14ac:dyDescent="0.4">
      <c r="A58" s="105">
        <v>1</v>
      </c>
      <c r="B58" s="147">
        <v>3</v>
      </c>
      <c r="C58" s="145">
        <v>1</v>
      </c>
      <c r="D58" s="145">
        <v>131</v>
      </c>
      <c r="E58" s="146">
        <v>6.0526739059399999</v>
      </c>
      <c r="F58" s="105">
        <v>4</v>
      </c>
      <c r="H58" s="155" t="s">
        <v>37</v>
      </c>
      <c r="I58" s="86" t="s">
        <v>131</v>
      </c>
      <c r="J58" s="84">
        <f>COUNTIF(J16:J41,"&gt;0")</f>
        <v>3</v>
      </c>
      <c r="K58" s="84">
        <f t="shared" ref="K58:N58" si="5">COUNTIF(K16:K41,"&gt;0")</f>
        <v>5</v>
      </c>
      <c r="L58" s="84">
        <f t="shared" si="5"/>
        <v>5</v>
      </c>
      <c r="M58" s="84">
        <f t="shared" si="5"/>
        <v>5</v>
      </c>
      <c r="N58" s="84">
        <f t="shared" si="5"/>
        <v>3</v>
      </c>
      <c r="O58" s="6"/>
    </row>
    <row r="59" spans="1:15" x14ac:dyDescent="0.35">
      <c r="A59" s="105">
        <v>1</v>
      </c>
      <c r="B59" s="147">
        <v>3</v>
      </c>
      <c r="C59" s="145">
        <v>2</v>
      </c>
      <c r="D59" s="145">
        <v>132</v>
      </c>
      <c r="E59" s="146">
        <v>6.9968263778199997</v>
      </c>
      <c r="F59" s="105">
        <v>4</v>
      </c>
      <c r="H59" s="177"/>
      <c r="I59" s="121" t="s">
        <v>132</v>
      </c>
      <c r="J59" s="178">
        <f t="shared" ref="J59:L59" si="6">IF(J58&lt;2,0,IF(J58&gt;8,0.5,(J58-2)/12))</f>
        <v>8.3333333333333329E-2</v>
      </c>
      <c r="K59" s="178">
        <f t="shared" si="6"/>
        <v>0.25</v>
      </c>
      <c r="L59" s="178">
        <f t="shared" si="6"/>
        <v>0.25</v>
      </c>
      <c r="M59" s="178">
        <f>IF(M58&lt;2,0,IF(M58&gt;8,0.5,(M58-2)/12))</f>
        <v>0.25</v>
      </c>
      <c r="N59" s="178">
        <f>IF(N58&lt;2,0,IF(N58&gt;8,0.5,(N58-2)/12))</f>
        <v>8.3333333333333329E-2</v>
      </c>
      <c r="O59" s="90"/>
    </row>
    <row r="60" spans="1:15" x14ac:dyDescent="0.35">
      <c r="A60" s="105">
        <v>1</v>
      </c>
      <c r="B60" s="147">
        <v>3</v>
      </c>
      <c r="C60" s="145">
        <v>2</v>
      </c>
      <c r="D60" s="145">
        <v>132</v>
      </c>
      <c r="E60" s="146">
        <v>1.77620813092</v>
      </c>
      <c r="F60" s="105">
        <v>4</v>
      </c>
      <c r="H60" s="93"/>
      <c r="I60" s="90"/>
      <c r="J60" s="90"/>
      <c r="K60" s="90"/>
      <c r="L60" s="90"/>
      <c r="M60" s="90"/>
      <c r="N60" s="90"/>
      <c r="O60" s="90"/>
    </row>
    <row r="61" spans="1:15" x14ac:dyDescent="0.35">
      <c r="A61" s="105">
        <v>3</v>
      </c>
      <c r="B61" s="147">
        <v>3</v>
      </c>
      <c r="C61" s="145">
        <v>2</v>
      </c>
      <c r="D61" s="145">
        <v>332</v>
      </c>
      <c r="E61" s="146">
        <v>3.8422061324299999</v>
      </c>
      <c r="F61" s="105">
        <v>4</v>
      </c>
    </row>
    <row r="62" spans="1:15" x14ac:dyDescent="0.35">
      <c r="A62" s="105">
        <v>3</v>
      </c>
      <c r="B62" s="147">
        <v>3</v>
      </c>
      <c r="C62" s="145">
        <v>2</v>
      </c>
      <c r="D62" s="145">
        <v>332</v>
      </c>
      <c r="E62" s="146">
        <v>2.16402075841</v>
      </c>
      <c r="F62" s="105">
        <v>4</v>
      </c>
    </row>
    <row r="63" spans="1:15" x14ac:dyDescent="0.35">
      <c r="A63" s="105">
        <v>1</v>
      </c>
      <c r="B63" s="147">
        <v>3</v>
      </c>
      <c r="C63" s="145">
        <v>2</v>
      </c>
      <c r="D63" s="145">
        <v>132</v>
      </c>
      <c r="E63" s="146">
        <v>8.2922785004400001</v>
      </c>
      <c r="F63" s="105">
        <v>4</v>
      </c>
      <c r="K63" s="10"/>
    </row>
    <row r="64" spans="1:15" x14ac:dyDescent="0.35">
      <c r="A64" s="105">
        <v>1</v>
      </c>
      <c r="B64" s="147">
        <v>3</v>
      </c>
      <c r="C64" s="145">
        <v>2</v>
      </c>
      <c r="D64" s="145">
        <v>132</v>
      </c>
      <c r="E64" s="146">
        <v>17.613139554100002</v>
      </c>
      <c r="F64" s="105">
        <v>4</v>
      </c>
    </row>
    <row r="65" spans="1:6" x14ac:dyDescent="0.35">
      <c r="A65" s="105">
        <v>1</v>
      </c>
      <c r="B65" s="147">
        <v>3</v>
      </c>
      <c r="C65" s="145">
        <v>1</v>
      </c>
      <c r="D65" s="145">
        <v>131</v>
      </c>
      <c r="E65" s="146">
        <v>5.4900975470200004</v>
      </c>
      <c r="F65" s="105">
        <v>4</v>
      </c>
    </row>
    <row r="66" spans="1:6" x14ac:dyDescent="0.35">
      <c r="A66" s="105">
        <v>1</v>
      </c>
      <c r="B66" s="147">
        <v>3</v>
      </c>
      <c r="C66" s="145">
        <v>2</v>
      </c>
      <c r="D66" s="145">
        <v>132</v>
      </c>
      <c r="E66" s="146">
        <v>3.38380219623</v>
      </c>
      <c r="F66" s="105">
        <v>4</v>
      </c>
    </row>
    <row r="67" spans="1:6" x14ac:dyDescent="0.35">
      <c r="A67" s="105">
        <v>3</v>
      </c>
      <c r="B67" s="147">
        <v>3</v>
      </c>
      <c r="C67" s="145">
        <v>2</v>
      </c>
      <c r="D67" s="145">
        <v>332</v>
      </c>
      <c r="E67" s="146">
        <v>9.9732821069199993</v>
      </c>
      <c r="F67" s="105">
        <v>4</v>
      </c>
    </row>
    <row r="68" spans="1:6" x14ac:dyDescent="0.35">
      <c r="A68" s="105">
        <v>2</v>
      </c>
      <c r="B68" s="147">
        <v>3</v>
      </c>
      <c r="C68" s="145">
        <v>2</v>
      </c>
      <c r="D68" s="145">
        <v>232</v>
      </c>
      <c r="E68" s="146">
        <v>2.0976643184800001</v>
      </c>
      <c r="F68" s="105">
        <v>4</v>
      </c>
    </row>
    <row r="69" spans="1:6" x14ac:dyDescent="0.35">
      <c r="A69" s="105">
        <v>1</v>
      </c>
      <c r="B69" s="147">
        <v>3</v>
      </c>
      <c r="C69" s="145">
        <v>1</v>
      </c>
      <c r="D69" s="145">
        <v>131</v>
      </c>
      <c r="E69" s="146">
        <v>10.7547562554</v>
      </c>
      <c r="F69" s="105">
        <v>4</v>
      </c>
    </row>
    <row r="70" spans="1:6" x14ac:dyDescent="0.35">
      <c r="A70" s="105">
        <v>1</v>
      </c>
      <c r="B70" s="147">
        <v>3</v>
      </c>
      <c r="C70" s="145">
        <v>2</v>
      </c>
      <c r="D70" s="145">
        <v>132</v>
      </c>
      <c r="E70" s="146">
        <v>37.016931907699998</v>
      </c>
      <c r="F70" s="105">
        <v>4</v>
      </c>
    </row>
    <row r="71" spans="1:6" x14ac:dyDescent="0.35">
      <c r="A71" s="105">
        <v>3</v>
      </c>
      <c r="B71" s="147">
        <v>3</v>
      </c>
      <c r="C71" s="145">
        <v>2</v>
      </c>
      <c r="D71" s="145">
        <v>332</v>
      </c>
      <c r="E71" s="146">
        <v>10.822826107399999</v>
      </c>
      <c r="F71" s="105">
        <v>4</v>
      </c>
    </row>
    <row r="72" spans="1:6" x14ac:dyDescent="0.35">
      <c r="A72" s="105">
        <v>1</v>
      </c>
      <c r="B72" s="147">
        <v>3</v>
      </c>
      <c r="C72" s="145">
        <v>2</v>
      </c>
      <c r="D72" s="145">
        <v>132</v>
      </c>
      <c r="E72" s="146">
        <v>8.9143522471699992</v>
      </c>
      <c r="F72" s="105">
        <v>5</v>
      </c>
    </row>
    <row r="73" spans="1:6" x14ac:dyDescent="0.35">
      <c r="A73" s="105">
        <v>2</v>
      </c>
      <c r="B73" s="147">
        <v>3</v>
      </c>
      <c r="C73" s="145">
        <v>2</v>
      </c>
      <c r="D73" s="145">
        <v>232</v>
      </c>
      <c r="E73" s="146">
        <v>6.7031170752799998</v>
      </c>
      <c r="F73" s="105">
        <v>5</v>
      </c>
    </row>
    <row r="74" spans="1:6" x14ac:dyDescent="0.35">
      <c r="A74" s="105">
        <v>3</v>
      </c>
      <c r="B74" s="147">
        <v>3</v>
      </c>
      <c r="C74" s="145">
        <v>1</v>
      </c>
      <c r="D74" s="145">
        <v>331</v>
      </c>
      <c r="E74" s="146">
        <v>1.91728110956</v>
      </c>
      <c r="F74" s="105">
        <v>5</v>
      </c>
    </row>
  </sheetData>
  <pageMargins left="0.7" right="0.7" top="0.75" bottom="0.75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U242"/>
  <sheetViews>
    <sheetView topLeftCell="J1" zoomScaleNormal="100" workbookViewId="0"/>
  </sheetViews>
  <sheetFormatPr baseColWidth="10" defaultColWidth="9.1796875" defaultRowHeight="14.5" x14ac:dyDescent="0.35"/>
  <cols>
    <col min="1" max="1" width="19.81640625" style="22" customWidth="1"/>
    <col min="2" max="2" width="9.81640625" style="22" bestFit="1" customWidth="1"/>
    <col min="3" max="3" width="9.1796875" style="28" bestFit="1" customWidth="1"/>
    <col min="4" max="4" width="10.81640625" style="22" bestFit="1" customWidth="1"/>
    <col min="5" max="5" width="17.81640625" style="22" bestFit="1" customWidth="1"/>
    <col min="6" max="6" width="11.1796875" style="24" bestFit="1" customWidth="1"/>
    <col min="7" max="7" width="27.1796875" style="24" bestFit="1" customWidth="1"/>
    <col min="8" max="8" width="7.7265625" style="24" customWidth="1"/>
    <col min="9" max="9" width="9.1796875" style="24" bestFit="1" customWidth="1"/>
    <col min="10" max="10" width="22.81640625" style="24" bestFit="1" customWidth="1"/>
    <col min="11" max="11" width="21.7265625" style="24" bestFit="1" customWidth="1"/>
    <col min="12" max="12" width="13.453125" style="24" customWidth="1"/>
    <col min="13" max="13" width="9" style="24" customWidth="1"/>
    <col min="14" max="14" width="48.81640625" style="24" customWidth="1"/>
    <col min="15" max="15" width="9.1796875" style="24"/>
    <col min="16" max="16" width="18.54296875" style="24" customWidth="1"/>
    <col min="17" max="17" width="9.1796875" style="24"/>
    <col min="18" max="18" width="48.81640625" style="24" customWidth="1"/>
    <col min="19" max="16384" width="9.1796875" style="24"/>
  </cols>
  <sheetData>
    <row r="1" spans="1:21" ht="26" x14ac:dyDescent="0.35">
      <c r="A1" s="21" t="s">
        <v>142</v>
      </c>
      <c r="F1" s="22"/>
      <c r="G1" s="22"/>
      <c r="H1" s="22"/>
      <c r="I1" s="23"/>
      <c r="M1" s="26" t="s">
        <v>154</v>
      </c>
      <c r="Q1" s="26" t="s">
        <v>160</v>
      </c>
    </row>
    <row r="2" spans="1:21" s="38" customFormat="1" x14ac:dyDescent="0.35">
      <c r="A2" s="129" t="s">
        <v>285</v>
      </c>
      <c r="B2" s="22"/>
      <c r="C2" s="28"/>
      <c r="D2" s="22"/>
      <c r="E2" s="22"/>
      <c r="F2" s="22"/>
      <c r="G2" s="22"/>
      <c r="H2" s="36"/>
      <c r="I2" s="13"/>
      <c r="M2" s="13"/>
      <c r="N2" s="24"/>
      <c r="Q2" s="13"/>
      <c r="R2" s="24"/>
    </row>
    <row r="3" spans="1:21" s="38" customFormat="1" ht="14.25" customHeight="1" x14ac:dyDescent="0.35">
      <c r="A3" s="35"/>
      <c r="B3" s="36"/>
      <c r="C3" s="37"/>
      <c r="D3" s="36"/>
      <c r="E3" s="36"/>
      <c r="F3" s="36"/>
      <c r="G3" s="36"/>
      <c r="H3" s="36"/>
      <c r="I3" s="13"/>
      <c r="M3" s="13"/>
      <c r="Q3" s="13"/>
    </row>
    <row r="4" spans="1:21" s="38" customFormat="1" ht="14.25" customHeight="1" x14ac:dyDescent="0.35">
      <c r="A4" s="35" t="s">
        <v>143</v>
      </c>
      <c r="B4" s="36"/>
      <c r="C4" s="37"/>
      <c r="D4" s="36"/>
      <c r="E4" s="36"/>
      <c r="F4" s="36"/>
      <c r="G4" s="36"/>
      <c r="H4" s="36"/>
      <c r="I4" s="35" t="s">
        <v>151</v>
      </c>
      <c r="M4" s="13" t="s">
        <v>81</v>
      </c>
      <c r="Q4" s="13" t="s">
        <v>133</v>
      </c>
    </row>
    <row r="5" spans="1:21" s="38" customFormat="1" ht="14.25" customHeight="1" x14ac:dyDescent="0.35">
      <c r="A5" s="35"/>
      <c r="B5" s="36"/>
      <c r="C5" s="37"/>
      <c r="D5" s="36"/>
      <c r="E5" s="36"/>
      <c r="F5" s="36"/>
      <c r="G5" s="36"/>
      <c r="H5" s="36"/>
      <c r="I5" s="13"/>
    </row>
    <row r="6" spans="1:21" x14ac:dyDescent="0.35">
      <c r="A6" s="25" t="s">
        <v>21</v>
      </c>
      <c r="B6" s="25" t="s">
        <v>22</v>
      </c>
      <c r="C6" s="12" t="s">
        <v>7</v>
      </c>
      <c r="D6" s="5" t="s">
        <v>17</v>
      </c>
      <c r="E6" s="5" t="s">
        <v>18</v>
      </c>
      <c r="F6" s="5" t="s">
        <v>19</v>
      </c>
      <c r="G6" s="5" t="s">
        <v>20</v>
      </c>
      <c r="H6" s="13"/>
      <c r="I6" s="14" t="s">
        <v>7</v>
      </c>
      <c r="J6" s="14" t="s">
        <v>8</v>
      </c>
      <c r="K6" s="9"/>
      <c r="M6" s="20" t="s">
        <v>0</v>
      </c>
      <c r="N6" s="20" t="s">
        <v>155</v>
      </c>
      <c r="O6" s="39">
        <f>AVERAGE(J8:J18)</f>
        <v>4.7963636363636359</v>
      </c>
      <c r="Q6" s="20" t="s">
        <v>13</v>
      </c>
      <c r="R6" s="20" t="s">
        <v>161</v>
      </c>
      <c r="S6" s="39">
        <f>_xlfn.STDEV.S(G:G)</f>
        <v>0.17210944179578677</v>
      </c>
    </row>
    <row r="7" spans="1:21" x14ac:dyDescent="0.35">
      <c r="A7" s="15" t="s">
        <v>144</v>
      </c>
      <c r="B7" s="15" t="s">
        <v>145</v>
      </c>
      <c r="C7" s="16" t="s">
        <v>146</v>
      </c>
      <c r="D7" s="17" t="s">
        <v>147</v>
      </c>
      <c r="E7" s="17" t="s">
        <v>148</v>
      </c>
      <c r="F7" s="17" t="s">
        <v>149</v>
      </c>
      <c r="G7" s="17" t="s">
        <v>150</v>
      </c>
      <c r="H7" s="11"/>
      <c r="I7" s="17" t="s">
        <v>146</v>
      </c>
      <c r="J7" s="18" t="s">
        <v>152</v>
      </c>
      <c r="K7" s="17" t="s">
        <v>153</v>
      </c>
      <c r="M7" s="9" t="s">
        <v>9</v>
      </c>
      <c r="N7" s="9" t="s">
        <v>156</v>
      </c>
      <c r="O7" s="33">
        <f>_xlfn.STDEV.S(K8:K18)</f>
        <v>0.12379601990958504</v>
      </c>
      <c r="Q7" s="9" t="s">
        <v>14</v>
      </c>
      <c r="R7" s="9" t="s">
        <v>162</v>
      </c>
      <c r="S7" s="33">
        <f>AVERAGE(G:G)</f>
        <v>0.21686666666666662</v>
      </c>
    </row>
    <row r="8" spans="1:21" x14ac:dyDescent="0.35">
      <c r="A8" s="19" t="s">
        <v>166</v>
      </c>
      <c r="B8" s="27" t="s">
        <v>165</v>
      </c>
      <c r="C8" s="29">
        <v>0</v>
      </c>
      <c r="D8" s="19">
        <v>1</v>
      </c>
      <c r="E8" s="19">
        <v>0.15</v>
      </c>
      <c r="F8" s="19">
        <v>0.14000000000000001</v>
      </c>
      <c r="G8" s="19">
        <v>0</v>
      </c>
      <c r="H8" s="22"/>
      <c r="I8" s="19">
        <v>0</v>
      </c>
      <c r="J8" s="30">
        <v>4.5999999999999996</v>
      </c>
      <c r="K8" s="33">
        <f t="array" ref="K8">MAX(IF(C:C=I8,F:F))</f>
        <v>0.6</v>
      </c>
      <c r="M8" s="9" t="s">
        <v>10</v>
      </c>
      <c r="N8" s="9" t="s">
        <v>157</v>
      </c>
      <c r="O8" s="33">
        <f>AVERAGE(K8:K18)</f>
        <v>0.52363636363636379</v>
      </c>
      <c r="Q8" s="9" t="s">
        <v>15</v>
      </c>
      <c r="R8" s="9" t="s">
        <v>163</v>
      </c>
      <c r="S8" s="33">
        <f>S6/S7*100</f>
        <v>79.361869872019739</v>
      </c>
    </row>
    <row r="9" spans="1:21" x14ac:dyDescent="0.35">
      <c r="A9" s="19" t="s">
        <v>166</v>
      </c>
      <c r="B9" s="27" t="s">
        <v>165</v>
      </c>
      <c r="C9" s="29">
        <v>0</v>
      </c>
      <c r="D9" s="19">
        <v>2</v>
      </c>
      <c r="E9" s="19">
        <v>0.5</v>
      </c>
      <c r="F9" s="19">
        <v>0.18</v>
      </c>
      <c r="G9" s="19">
        <v>0.12</v>
      </c>
      <c r="H9" s="22"/>
      <c r="I9" s="19">
        <v>1</v>
      </c>
      <c r="J9" s="30">
        <v>4.49</v>
      </c>
      <c r="K9" s="33">
        <f t="array" ref="K9">MAX(IF(C:C=I9,F:F))</f>
        <v>0.37</v>
      </c>
      <c r="M9" s="9" t="s">
        <v>11</v>
      </c>
      <c r="N9" s="9" t="s">
        <v>158</v>
      </c>
      <c r="O9" s="33">
        <f>O7/O8*100</f>
        <v>23.641601024399915</v>
      </c>
      <c r="Q9" s="9" t="s">
        <v>16</v>
      </c>
      <c r="R9" s="9" t="s">
        <v>164</v>
      </c>
      <c r="S9" s="168">
        <f>IF(S8&gt;110,1,S8/110)</f>
        <v>0.72147154429108851</v>
      </c>
      <c r="U9" s="40"/>
    </row>
    <row r="10" spans="1:21" x14ac:dyDescent="0.35">
      <c r="A10" s="19" t="s">
        <v>166</v>
      </c>
      <c r="B10" s="27" t="s">
        <v>165</v>
      </c>
      <c r="C10" s="29">
        <v>0</v>
      </c>
      <c r="D10" s="19">
        <v>3</v>
      </c>
      <c r="E10" s="19">
        <v>0.85</v>
      </c>
      <c r="F10" s="19">
        <v>0.2</v>
      </c>
      <c r="G10" s="19">
        <v>0.22</v>
      </c>
      <c r="H10" s="22"/>
      <c r="I10" s="19">
        <v>2</v>
      </c>
      <c r="J10" s="30">
        <v>3.8</v>
      </c>
      <c r="K10" s="33">
        <f t="array" ref="K10">MAX(IF(C:C=I10,F:F))</f>
        <v>0.23</v>
      </c>
      <c r="M10" s="9" t="s">
        <v>12</v>
      </c>
      <c r="N10" s="9" t="s">
        <v>159</v>
      </c>
      <c r="O10" s="168">
        <f>IF(O9&gt;100,1,O9/100)</f>
        <v>0.23641601024399914</v>
      </c>
      <c r="S10" s="34"/>
    </row>
    <row r="11" spans="1:21" x14ac:dyDescent="0.35">
      <c r="A11" s="19" t="s">
        <v>166</v>
      </c>
      <c r="B11" s="27" t="s">
        <v>165</v>
      </c>
      <c r="C11" s="29">
        <v>0</v>
      </c>
      <c r="D11" s="19">
        <v>4</v>
      </c>
      <c r="E11" s="19">
        <v>1.2</v>
      </c>
      <c r="F11" s="19">
        <v>0.25</v>
      </c>
      <c r="G11" s="19">
        <v>0.38</v>
      </c>
      <c r="H11" s="22"/>
      <c r="I11" s="19">
        <v>3</v>
      </c>
      <c r="J11" s="30">
        <v>4.04</v>
      </c>
      <c r="K11" s="33">
        <f t="array" ref="K11">MAX(IF(C:C=I11,F:F))</f>
        <v>0.56999999999999995</v>
      </c>
    </row>
    <row r="12" spans="1:21" x14ac:dyDescent="0.35">
      <c r="A12" s="19" t="s">
        <v>166</v>
      </c>
      <c r="B12" s="27" t="s">
        <v>165</v>
      </c>
      <c r="C12" s="29">
        <v>0</v>
      </c>
      <c r="D12" s="19">
        <v>5</v>
      </c>
      <c r="E12" s="19">
        <v>1.5499999999999998</v>
      </c>
      <c r="F12" s="19">
        <v>0.32</v>
      </c>
      <c r="G12" s="19">
        <v>0.33</v>
      </c>
      <c r="H12" s="22"/>
      <c r="I12" s="19">
        <v>4</v>
      </c>
      <c r="J12" s="30">
        <v>5.38</v>
      </c>
      <c r="K12" s="33">
        <f t="array" ref="K12">MAX(IF(C:C=I12,F:F))</f>
        <v>0.52</v>
      </c>
    </row>
    <row r="13" spans="1:21" x14ac:dyDescent="0.35">
      <c r="A13" s="19" t="s">
        <v>166</v>
      </c>
      <c r="B13" s="27" t="s">
        <v>165</v>
      </c>
      <c r="C13" s="29">
        <v>0</v>
      </c>
      <c r="D13" s="19">
        <v>6</v>
      </c>
      <c r="E13" s="19">
        <v>1.9</v>
      </c>
      <c r="F13" s="19">
        <v>0.38</v>
      </c>
      <c r="G13" s="19">
        <v>0.39</v>
      </c>
      <c r="H13" s="22"/>
      <c r="I13" s="19">
        <v>5</v>
      </c>
      <c r="J13" s="30">
        <v>5.66</v>
      </c>
      <c r="K13" s="33">
        <f t="array" ref="K13">MAX(IF(C:C=I13,F:F))</f>
        <v>0.66</v>
      </c>
    </row>
    <row r="14" spans="1:21" x14ac:dyDescent="0.35">
      <c r="A14" s="19" t="s">
        <v>166</v>
      </c>
      <c r="B14" s="27" t="s">
        <v>165</v>
      </c>
      <c r="C14" s="29">
        <v>0</v>
      </c>
      <c r="D14" s="19">
        <v>7</v>
      </c>
      <c r="E14" s="19">
        <v>2.25</v>
      </c>
      <c r="F14" s="19">
        <v>0.44</v>
      </c>
      <c r="G14" s="19">
        <v>0.36</v>
      </c>
      <c r="H14" s="22"/>
      <c r="I14" s="19">
        <v>6</v>
      </c>
      <c r="J14" s="30">
        <v>4.6399999999999997</v>
      </c>
      <c r="K14" s="33">
        <f t="array" ref="K14">MAX(IF(C:C=I14,F:F))</f>
        <v>0.62</v>
      </c>
    </row>
    <row r="15" spans="1:21" x14ac:dyDescent="0.35">
      <c r="A15" s="19" t="s">
        <v>166</v>
      </c>
      <c r="B15" s="27" t="s">
        <v>165</v>
      </c>
      <c r="C15" s="29">
        <v>0</v>
      </c>
      <c r="D15" s="19">
        <v>8</v>
      </c>
      <c r="E15" s="19">
        <v>2.6</v>
      </c>
      <c r="F15" s="19">
        <v>0.42</v>
      </c>
      <c r="G15" s="19">
        <v>0.37</v>
      </c>
      <c r="H15" s="22"/>
      <c r="I15" s="19">
        <v>7</v>
      </c>
      <c r="J15" s="30">
        <v>5.35</v>
      </c>
      <c r="K15" s="33">
        <f t="array" ref="K15">MAX(IF(C:C=I15,F:F))</f>
        <v>0.61</v>
      </c>
    </row>
    <row r="16" spans="1:21" x14ac:dyDescent="0.35">
      <c r="A16" s="19" t="s">
        <v>166</v>
      </c>
      <c r="B16" s="27" t="s">
        <v>165</v>
      </c>
      <c r="C16" s="29">
        <v>0</v>
      </c>
      <c r="D16" s="19">
        <v>9</v>
      </c>
      <c r="E16" s="19">
        <v>2.95</v>
      </c>
      <c r="F16" s="19">
        <v>0.4</v>
      </c>
      <c r="G16" s="19">
        <v>0.35</v>
      </c>
      <c r="H16" s="22"/>
      <c r="I16" s="19">
        <v>8</v>
      </c>
      <c r="J16" s="30">
        <v>5.2</v>
      </c>
      <c r="K16" s="33">
        <f t="array" ref="K16">MAX(IF(C:C=I16,F:F))</f>
        <v>0.52</v>
      </c>
    </row>
    <row r="17" spans="1:11" x14ac:dyDescent="0.35">
      <c r="A17" s="19" t="s">
        <v>166</v>
      </c>
      <c r="B17" s="27" t="s">
        <v>165</v>
      </c>
      <c r="C17" s="29">
        <v>0</v>
      </c>
      <c r="D17" s="19">
        <v>10</v>
      </c>
      <c r="E17" s="19">
        <v>3.3000000000000003</v>
      </c>
      <c r="F17" s="19">
        <v>0.39</v>
      </c>
      <c r="G17" s="19">
        <v>0.21</v>
      </c>
      <c r="H17" s="22"/>
      <c r="I17" s="19">
        <v>9</v>
      </c>
      <c r="J17" s="30">
        <v>4.8</v>
      </c>
      <c r="K17" s="33">
        <f t="array" ref="K17">MAX(IF(C:C=I17,F:F))</f>
        <v>0.53</v>
      </c>
    </row>
    <row r="18" spans="1:11" x14ac:dyDescent="0.35">
      <c r="A18" s="19" t="s">
        <v>166</v>
      </c>
      <c r="B18" s="27" t="s">
        <v>165</v>
      </c>
      <c r="C18" s="29">
        <v>0</v>
      </c>
      <c r="D18" s="19">
        <v>11</v>
      </c>
      <c r="E18" s="19">
        <v>3.6500000000000004</v>
      </c>
      <c r="F18" s="19">
        <v>0.38</v>
      </c>
      <c r="G18" s="19">
        <v>0.06</v>
      </c>
      <c r="H18" s="22"/>
      <c r="I18" s="19">
        <v>10</v>
      </c>
      <c r="J18" s="30">
        <v>4.8</v>
      </c>
      <c r="K18" s="33">
        <f t="array" ref="K18">MAX(IF(C:C=I18,F:F))</f>
        <v>0.53</v>
      </c>
    </row>
    <row r="19" spans="1:11" x14ac:dyDescent="0.35">
      <c r="A19" s="19" t="s">
        <v>166</v>
      </c>
      <c r="B19" s="27" t="s">
        <v>165</v>
      </c>
      <c r="C19" s="29">
        <v>0</v>
      </c>
      <c r="D19" s="19">
        <v>12</v>
      </c>
      <c r="E19" s="19">
        <v>4</v>
      </c>
      <c r="F19" s="19">
        <v>0.31</v>
      </c>
      <c r="G19" s="19">
        <v>0.02</v>
      </c>
      <c r="H19" s="22"/>
    </row>
    <row r="20" spans="1:11" x14ac:dyDescent="0.35">
      <c r="A20" s="19" t="s">
        <v>166</v>
      </c>
      <c r="B20" s="27" t="s">
        <v>165</v>
      </c>
      <c r="C20" s="29">
        <v>0</v>
      </c>
      <c r="D20" s="19">
        <v>13</v>
      </c>
      <c r="E20" s="19">
        <v>4.3499999999999996</v>
      </c>
      <c r="F20" s="19">
        <v>0.6</v>
      </c>
      <c r="G20" s="19">
        <v>0</v>
      </c>
      <c r="H20" s="22"/>
      <c r="I20" s="191" t="s">
        <v>204</v>
      </c>
    </row>
    <row r="21" spans="1:11" x14ac:dyDescent="0.35">
      <c r="A21" s="19" t="s">
        <v>166</v>
      </c>
      <c r="B21" s="27" t="s">
        <v>165</v>
      </c>
      <c r="C21" s="29">
        <v>1</v>
      </c>
      <c r="D21" s="19">
        <v>1</v>
      </c>
      <c r="E21" s="19">
        <v>0.2</v>
      </c>
      <c r="F21" s="19">
        <v>0.17</v>
      </c>
      <c r="G21" s="19">
        <v>0.09</v>
      </c>
      <c r="H21" s="22"/>
      <c r="I21" s="191" t="s">
        <v>205</v>
      </c>
    </row>
    <row r="22" spans="1:11" x14ac:dyDescent="0.35">
      <c r="A22" s="19" t="s">
        <v>166</v>
      </c>
      <c r="B22" s="27" t="s">
        <v>165</v>
      </c>
      <c r="C22" s="29">
        <v>1</v>
      </c>
      <c r="D22" s="19">
        <v>2</v>
      </c>
      <c r="E22" s="19">
        <v>0.55000000000000004</v>
      </c>
      <c r="F22" s="19">
        <v>0.2</v>
      </c>
      <c r="G22" s="19">
        <v>0.31</v>
      </c>
      <c r="H22" s="32"/>
      <c r="I22" s="22"/>
    </row>
    <row r="23" spans="1:11" x14ac:dyDescent="0.35">
      <c r="A23" s="19" t="s">
        <v>166</v>
      </c>
      <c r="B23" s="27" t="s">
        <v>165</v>
      </c>
      <c r="C23" s="29">
        <v>1</v>
      </c>
      <c r="D23" s="19">
        <v>3</v>
      </c>
      <c r="E23" s="19">
        <v>0.9</v>
      </c>
      <c r="F23" s="19">
        <v>0.22</v>
      </c>
      <c r="G23" s="19">
        <v>0.37</v>
      </c>
      <c r="H23" s="32"/>
      <c r="I23" s="22"/>
    </row>
    <row r="24" spans="1:11" x14ac:dyDescent="0.35">
      <c r="A24" s="19" t="s">
        <v>166</v>
      </c>
      <c r="B24" s="27" t="s">
        <v>165</v>
      </c>
      <c r="C24" s="29">
        <v>1</v>
      </c>
      <c r="D24" s="19">
        <v>4</v>
      </c>
      <c r="E24" s="19">
        <v>1.25</v>
      </c>
      <c r="F24" s="19">
        <v>0.3</v>
      </c>
      <c r="G24" s="19">
        <v>0.39</v>
      </c>
      <c r="H24" s="32"/>
      <c r="I24" s="22"/>
    </row>
    <row r="25" spans="1:11" x14ac:dyDescent="0.35">
      <c r="A25" s="19" t="s">
        <v>166</v>
      </c>
      <c r="B25" s="27" t="s">
        <v>165</v>
      </c>
      <c r="C25" s="29">
        <v>1</v>
      </c>
      <c r="D25" s="19">
        <v>5</v>
      </c>
      <c r="E25" s="19">
        <v>1.6</v>
      </c>
      <c r="F25" s="19">
        <v>0.36</v>
      </c>
      <c r="G25" s="19">
        <v>0.4</v>
      </c>
      <c r="H25" s="32"/>
      <c r="I25" s="22"/>
    </row>
    <row r="26" spans="1:11" x14ac:dyDescent="0.35">
      <c r="A26" s="19" t="s">
        <v>166</v>
      </c>
      <c r="B26" s="27" t="s">
        <v>165</v>
      </c>
      <c r="C26" s="29">
        <v>1</v>
      </c>
      <c r="D26" s="19">
        <v>6</v>
      </c>
      <c r="E26" s="19">
        <v>1.9500000000000002</v>
      </c>
      <c r="F26" s="19">
        <v>0.37</v>
      </c>
      <c r="G26" s="19">
        <v>0.28999999999999998</v>
      </c>
      <c r="H26" s="22"/>
      <c r="I26" s="22"/>
    </row>
    <row r="27" spans="1:11" x14ac:dyDescent="0.35">
      <c r="A27" s="19" t="s">
        <v>166</v>
      </c>
      <c r="B27" s="27" t="s">
        <v>165</v>
      </c>
      <c r="C27" s="29">
        <v>1</v>
      </c>
      <c r="D27" s="19">
        <v>7</v>
      </c>
      <c r="E27" s="19">
        <v>2.3000000000000003</v>
      </c>
      <c r="F27" s="19">
        <v>0.37</v>
      </c>
      <c r="G27" s="19">
        <v>0.35</v>
      </c>
      <c r="H27" s="22"/>
      <c r="I27" s="22"/>
    </row>
    <row r="28" spans="1:11" x14ac:dyDescent="0.35">
      <c r="A28" s="19" t="s">
        <v>166</v>
      </c>
      <c r="B28" s="27" t="s">
        <v>165</v>
      </c>
      <c r="C28" s="29">
        <v>1</v>
      </c>
      <c r="D28" s="19">
        <v>8</v>
      </c>
      <c r="E28" s="19">
        <v>2.6500000000000004</v>
      </c>
      <c r="F28" s="19">
        <v>0.22</v>
      </c>
      <c r="G28" s="19">
        <v>0.37</v>
      </c>
      <c r="H28" s="22"/>
      <c r="I28" s="22"/>
      <c r="K28" s="31"/>
    </row>
    <row r="29" spans="1:11" x14ac:dyDescent="0.35">
      <c r="A29" s="19" t="s">
        <v>166</v>
      </c>
      <c r="B29" s="27" t="s">
        <v>165</v>
      </c>
      <c r="C29" s="29">
        <v>1</v>
      </c>
      <c r="D29" s="19">
        <v>9</v>
      </c>
      <c r="E29" s="19">
        <v>3.0000000000000004</v>
      </c>
      <c r="F29" s="19">
        <v>0.22</v>
      </c>
      <c r="G29" s="19">
        <v>0.36</v>
      </c>
      <c r="H29" s="22"/>
      <c r="I29" s="22"/>
      <c r="K29" s="31"/>
    </row>
    <row r="30" spans="1:11" x14ac:dyDescent="0.35">
      <c r="A30" s="19" t="s">
        <v>166</v>
      </c>
      <c r="B30" s="27" t="s">
        <v>165</v>
      </c>
      <c r="C30" s="29">
        <v>1</v>
      </c>
      <c r="D30" s="19">
        <v>10</v>
      </c>
      <c r="E30" s="19">
        <v>3.3500000000000005</v>
      </c>
      <c r="F30" s="19">
        <v>0.22</v>
      </c>
      <c r="G30" s="19">
        <v>0.4</v>
      </c>
      <c r="H30" s="22"/>
      <c r="I30" s="22"/>
      <c r="K30" s="31"/>
    </row>
    <row r="31" spans="1:11" x14ac:dyDescent="0.35">
      <c r="A31" s="19" t="s">
        <v>166</v>
      </c>
      <c r="B31" s="27" t="s">
        <v>165</v>
      </c>
      <c r="C31" s="29">
        <v>1</v>
      </c>
      <c r="D31" s="19">
        <v>11</v>
      </c>
      <c r="E31" s="19">
        <v>3.7000000000000006</v>
      </c>
      <c r="F31" s="19">
        <v>0.23</v>
      </c>
      <c r="G31" s="19">
        <v>0.47</v>
      </c>
      <c r="H31" s="22"/>
      <c r="I31" s="22"/>
      <c r="K31" s="31"/>
    </row>
    <row r="32" spans="1:11" x14ac:dyDescent="0.35">
      <c r="A32" s="19" t="s">
        <v>166</v>
      </c>
      <c r="B32" s="27" t="s">
        <v>165</v>
      </c>
      <c r="C32" s="29">
        <v>1</v>
      </c>
      <c r="D32" s="19">
        <v>12</v>
      </c>
      <c r="E32" s="19">
        <v>4.0500000000000007</v>
      </c>
      <c r="F32" s="19">
        <v>0.21</v>
      </c>
      <c r="G32" s="19">
        <v>0.32</v>
      </c>
      <c r="H32" s="22"/>
      <c r="K32" s="31"/>
    </row>
    <row r="33" spans="1:11" x14ac:dyDescent="0.35">
      <c r="A33" s="19" t="s">
        <v>166</v>
      </c>
      <c r="B33" s="27" t="s">
        <v>165</v>
      </c>
      <c r="C33" s="29">
        <v>1</v>
      </c>
      <c r="D33" s="19">
        <v>13</v>
      </c>
      <c r="E33" s="19">
        <v>4.4000000000000004</v>
      </c>
      <c r="F33" s="19">
        <v>0.04</v>
      </c>
      <c r="G33" s="19">
        <v>0</v>
      </c>
      <c r="H33" s="22"/>
      <c r="K33" s="31"/>
    </row>
    <row r="34" spans="1:11" x14ac:dyDescent="0.35">
      <c r="A34" s="19" t="s">
        <v>166</v>
      </c>
      <c r="B34" s="27" t="s">
        <v>165</v>
      </c>
      <c r="C34" s="29">
        <v>2</v>
      </c>
      <c r="D34" s="19">
        <v>1</v>
      </c>
      <c r="E34" s="19">
        <v>0.2</v>
      </c>
      <c r="F34" s="19">
        <v>0.1</v>
      </c>
      <c r="G34" s="19">
        <v>0.06</v>
      </c>
      <c r="H34" s="22"/>
    </row>
    <row r="35" spans="1:11" x14ac:dyDescent="0.35">
      <c r="A35" s="19" t="s">
        <v>166</v>
      </c>
      <c r="B35" s="27" t="s">
        <v>165</v>
      </c>
      <c r="C35" s="29">
        <v>2</v>
      </c>
      <c r="D35" s="19">
        <v>2</v>
      </c>
      <c r="E35" s="19">
        <v>0.55000000000000004</v>
      </c>
      <c r="F35" s="19">
        <v>0.16</v>
      </c>
      <c r="G35" s="19">
        <v>0.11</v>
      </c>
      <c r="H35" s="22"/>
    </row>
    <row r="36" spans="1:11" x14ac:dyDescent="0.35">
      <c r="A36" s="19" t="s">
        <v>166</v>
      </c>
      <c r="B36" s="27" t="s">
        <v>165</v>
      </c>
      <c r="C36" s="29">
        <v>2</v>
      </c>
      <c r="D36" s="19">
        <v>3</v>
      </c>
      <c r="E36" s="19">
        <v>0.9</v>
      </c>
      <c r="F36" s="19">
        <v>0.16</v>
      </c>
      <c r="G36" s="19">
        <v>0.56000000000000005</v>
      </c>
      <c r="H36" s="22"/>
    </row>
    <row r="37" spans="1:11" x14ac:dyDescent="0.35">
      <c r="A37" s="19" t="s">
        <v>166</v>
      </c>
      <c r="B37" s="27" t="s">
        <v>165</v>
      </c>
      <c r="C37" s="29">
        <v>2</v>
      </c>
      <c r="D37" s="19">
        <v>4</v>
      </c>
      <c r="E37" s="19">
        <v>1.25</v>
      </c>
      <c r="F37" s="19">
        <v>0.21</v>
      </c>
      <c r="G37" s="19">
        <v>0.84</v>
      </c>
      <c r="H37" s="22"/>
    </row>
    <row r="38" spans="1:11" x14ac:dyDescent="0.35">
      <c r="A38" s="19" t="s">
        <v>166</v>
      </c>
      <c r="B38" s="27" t="s">
        <v>165</v>
      </c>
      <c r="C38" s="29">
        <v>2</v>
      </c>
      <c r="D38" s="19">
        <v>5</v>
      </c>
      <c r="E38" s="19">
        <v>1.6</v>
      </c>
      <c r="F38" s="19">
        <v>0.21</v>
      </c>
      <c r="G38" s="19">
        <v>0.94</v>
      </c>
      <c r="H38" s="22"/>
    </row>
    <row r="39" spans="1:11" x14ac:dyDescent="0.35">
      <c r="A39" s="19" t="s">
        <v>166</v>
      </c>
      <c r="B39" s="27" t="s">
        <v>165</v>
      </c>
      <c r="C39" s="29">
        <v>2</v>
      </c>
      <c r="D39" s="19">
        <v>6</v>
      </c>
      <c r="E39" s="19">
        <v>1.9500000000000002</v>
      </c>
      <c r="F39" s="19">
        <v>0.23</v>
      </c>
      <c r="G39" s="19">
        <v>0.81</v>
      </c>
      <c r="H39" s="22"/>
    </row>
    <row r="40" spans="1:11" x14ac:dyDescent="0.35">
      <c r="A40" s="19" t="s">
        <v>166</v>
      </c>
      <c r="B40" s="27" t="s">
        <v>165</v>
      </c>
      <c r="C40" s="29">
        <v>2</v>
      </c>
      <c r="D40" s="19">
        <v>7</v>
      </c>
      <c r="E40" s="19">
        <v>2.3000000000000003</v>
      </c>
      <c r="F40" s="19">
        <v>0.2</v>
      </c>
      <c r="G40" s="19">
        <v>0.77</v>
      </c>
      <c r="H40" s="22"/>
    </row>
    <row r="41" spans="1:11" x14ac:dyDescent="0.35">
      <c r="A41" s="19" t="s">
        <v>166</v>
      </c>
      <c r="B41" s="27" t="s">
        <v>165</v>
      </c>
      <c r="C41" s="29">
        <v>2</v>
      </c>
      <c r="D41" s="19">
        <v>8</v>
      </c>
      <c r="E41" s="19">
        <v>2.6500000000000004</v>
      </c>
      <c r="F41" s="19">
        <v>0.13</v>
      </c>
      <c r="G41" s="19">
        <v>0.67</v>
      </c>
      <c r="H41" s="22"/>
    </row>
    <row r="42" spans="1:11" x14ac:dyDescent="0.35">
      <c r="A42" s="19" t="s">
        <v>166</v>
      </c>
      <c r="B42" s="27" t="s">
        <v>165</v>
      </c>
      <c r="C42" s="29">
        <v>2</v>
      </c>
      <c r="D42" s="19">
        <v>9</v>
      </c>
      <c r="E42" s="19">
        <v>3.0000000000000004</v>
      </c>
      <c r="F42" s="19">
        <v>0.14000000000000001</v>
      </c>
      <c r="G42" s="19">
        <v>0.56000000000000005</v>
      </c>
      <c r="H42" s="22"/>
    </row>
    <row r="43" spans="1:11" x14ac:dyDescent="0.35">
      <c r="A43" s="19" t="s">
        <v>166</v>
      </c>
      <c r="B43" s="27" t="s">
        <v>165</v>
      </c>
      <c r="C43" s="29">
        <v>2</v>
      </c>
      <c r="D43" s="19">
        <v>10</v>
      </c>
      <c r="E43" s="19">
        <v>3.3500000000000005</v>
      </c>
      <c r="F43" s="19">
        <v>0.11</v>
      </c>
      <c r="G43" s="19">
        <v>0.04</v>
      </c>
      <c r="H43" s="22"/>
    </row>
    <row r="44" spans="1:11" x14ac:dyDescent="0.35">
      <c r="A44" s="19" t="s">
        <v>166</v>
      </c>
      <c r="B44" s="27" t="s">
        <v>165</v>
      </c>
      <c r="C44" s="29">
        <v>2</v>
      </c>
      <c r="D44" s="19">
        <v>11</v>
      </c>
      <c r="E44" s="19">
        <v>3.7000000000000006</v>
      </c>
      <c r="F44" s="19">
        <v>0.04</v>
      </c>
      <c r="G44" s="19">
        <v>0</v>
      </c>
      <c r="H44" s="22"/>
    </row>
    <row r="45" spans="1:11" x14ac:dyDescent="0.35">
      <c r="A45" s="19" t="s">
        <v>166</v>
      </c>
      <c r="B45" s="27" t="s">
        <v>165</v>
      </c>
      <c r="C45" s="29">
        <v>3</v>
      </c>
      <c r="D45" s="19">
        <v>1</v>
      </c>
      <c r="E45" s="19">
        <v>0.2</v>
      </c>
      <c r="F45" s="19">
        <v>0.11</v>
      </c>
      <c r="G45" s="19">
        <v>0.04</v>
      </c>
      <c r="H45" s="22"/>
    </row>
    <row r="46" spans="1:11" x14ac:dyDescent="0.35">
      <c r="A46" s="19" t="s">
        <v>166</v>
      </c>
      <c r="B46" s="27" t="s">
        <v>165</v>
      </c>
      <c r="C46" s="29">
        <v>3</v>
      </c>
      <c r="D46" s="19">
        <v>2</v>
      </c>
      <c r="E46" s="19">
        <v>0.55000000000000004</v>
      </c>
      <c r="F46" s="19">
        <v>0.26</v>
      </c>
      <c r="G46" s="19">
        <v>0.01</v>
      </c>
      <c r="H46" s="22"/>
    </row>
    <row r="47" spans="1:11" x14ac:dyDescent="0.35">
      <c r="A47" s="19" t="s">
        <v>166</v>
      </c>
      <c r="B47" s="27" t="s">
        <v>165</v>
      </c>
      <c r="C47" s="29">
        <v>3</v>
      </c>
      <c r="D47" s="19">
        <v>3</v>
      </c>
      <c r="E47" s="19">
        <v>0.9</v>
      </c>
      <c r="F47" s="19">
        <v>0.32</v>
      </c>
      <c r="G47" s="19">
        <v>0.33</v>
      </c>
      <c r="H47" s="22"/>
    </row>
    <row r="48" spans="1:11" x14ac:dyDescent="0.35">
      <c r="A48" s="19" t="s">
        <v>166</v>
      </c>
      <c r="B48" s="27" t="s">
        <v>165</v>
      </c>
      <c r="C48" s="29">
        <v>3</v>
      </c>
      <c r="D48" s="19">
        <v>4</v>
      </c>
      <c r="E48" s="19">
        <v>1.25</v>
      </c>
      <c r="F48" s="19">
        <v>0.34</v>
      </c>
      <c r="G48" s="19">
        <v>0.15</v>
      </c>
      <c r="H48" s="22"/>
    </row>
    <row r="49" spans="1:8" x14ac:dyDescent="0.35">
      <c r="A49" s="19" t="s">
        <v>166</v>
      </c>
      <c r="B49" s="27" t="s">
        <v>165</v>
      </c>
      <c r="C49" s="29">
        <v>3</v>
      </c>
      <c r="D49" s="19">
        <v>5</v>
      </c>
      <c r="E49" s="19">
        <v>1.6</v>
      </c>
      <c r="F49" s="19">
        <v>0.49</v>
      </c>
      <c r="G49" s="19">
        <v>0.2</v>
      </c>
      <c r="H49" s="22"/>
    </row>
    <row r="50" spans="1:8" x14ac:dyDescent="0.35">
      <c r="A50" s="19" t="s">
        <v>166</v>
      </c>
      <c r="B50" s="27" t="s">
        <v>165</v>
      </c>
      <c r="C50" s="29">
        <v>3</v>
      </c>
      <c r="D50" s="19">
        <v>6</v>
      </c>
      <c r="E50" s="19">
        <v>1.9500000000000002</v>
      </c>
      <c r="F50" s="19">
        <v>0.56999999999999995</v>
      </c>
      <c r="G50" s="19">
        <v>0.24</v>
      </c>
      <c r="H50" s="22"/>
    </row>
    <row r="51" spans="1:8" x14ac:dyDescent="0.35">
      <c r="A51" s="19" t="s">
        <v>166</v>
      </c>
      <c r="B51" s="27" t="s">
        <v>165</v>
      </c>
      <c r="C51" s="29">
        <v>3</v>
      </c>
      <c r="D51" s="19">
        <v>7</v>
      </c>
      <c r="E51" s="19">
        <v>2.3000000000000003</v>
      </c>
      <c r="F51" s="19">
        <v>0.54</v>
      </c>
      <c r="G51" s="19">
        <v>0.23</v>
      </c>
      <c r="H51" s="22"/>
    </row>
    <row r="52" spans="1:8" x14ac:dyDescent="0.35">
      <c r="A52" s="19" t="s">
        <v>166</v>
      </c>
      <c r="B52" s="27" t="s">
        <v>165</v>
      </c>
      <c r="C52" s="29">
        <v>3</v>
      </c>
      <c r="D52" s="19">
        <v>8</v>
      </c>
      <c r="E52" s="19">
        <v>2.6500000000000004</v>
      </c>
      <c r="F52" s="19">
        <v>0.5</v>
      </c>
      <c r="G52" s="19">
        <v>0.17</v>
      </c>
      <c r="H52" s="22"/>
    </row>
    <row r="53" spans="1:8" x14ac:dyDescent="0.35">
      <c r="A53" s="19" t="s">
        <v>166</v>
      </c>
      <c r="B53" s="27" t="s">
        <v>165</v>
      </c>
      <c r="C53" s="29">
        <v>3</v>
      </c>
      <c r="D53" s="19">
        <v>9</v>
      </c>
      <c r="E53" s="19">
        <v>3.0000000000000004</v>
      </c>
      <c r="F53" s="19">
        <v>0.41</v>
      </c>
      <c r="G53" s="19">
        <v>0.27</v>
      </c>
      <c r="H53" s="22"/>
    </row>
    <row r="54" spans="1:8" x14ac:dyDescent="0.35">
      <c r="A54" s="19" t="s">
        <v>166</v>
      </c>
      <c r="B54" s="27" t="s">
        <v>165</v>
      </c>
      <c r="C54" s="29">
        <v>3</v>
      </c>
      <c r="D54" s="19">
        <v>10</v>
      </c>
      <c r="E54" s="19">
        <v>3.3500000000000005</v>
      </c>
      <c r="F54" s="19">
        <v>0.16</v>
      </c>
      <c r="G54" s="19">
        <v>0.1</v>
      </c>
      <c r="H54" s="22"/>
    </row>
    <row r="55" spans="1:8" x14ac:dyDescent="0.35">
      <c r="A55" s="19" t="s">
        <v>166</v>
      </c>
      <c r="B55" s="27" t="s">
        <v>165</v>
      </c>
      <c r="C55" s="29">
        <v>3</v>
      </c>
      <c r="D55" s="19">
        <v>11</v>
      </c>
      <c r="E55" s="19">
        <v>3.7000000000000006</v>
      </c>
      <c r="F55" s="19">
        <v>0.18</v>
      </c>
      <c r="G55" s="19">
        <v>0.03</v>
      </c>
      <c r="H55" s="22"/>
    </row>
    <row r="56" spans="1:8" x14ac:dyDescent="0.35">
      <c r="A56" s="19" t="s">
        <v>166</v>
      </c>
      <c r="B56" s="27" t="s">
        <v>165</v>
      </c>
      <c r="C56" s="29">
        <v>4</v>
      </c>
      <c r="D56" s="19">
        <v>1</v>
      </c>
      <c r="E56" s="19">
        <v>0.35</v>
      </c>
      <c r="F56" s="19">
        <v>0.3</v>
      </c>
      <c r="G56" s="19">
        <v>0</v>
      </c>
      <c r="H56" s="22"/>
    </row>
    <row r="57" spans="1:8" x14ac:dyDescent="0.35">
      <c r="A57" s="19" t="s">
        <v>166</v>
      </c>
      <c r="B57" s="27" t="s">
        <v>165</v>
      </c>
      <c r="C57" s="29">
        <v>4</v>
      </c>
      <c r="D57" s="19">
        <v>2</v>
      </c>
      <c r="E57" s="19">
        <v>0.7</v>
      </c>
      <c r="F57" s="19">
        <v>0.34</v>
      </c>
      <c r="G57" s="19">
        <v>0</v>
      </c>
      <c r="H57" s="22"/>
    </row>
    <row r="58" spans="1:8" x14ac:dyDescent="0.35">
      <c r="A58" s="19" t="s">
        <v>166</v>
      </c>
      <c r="B58" s="27" t="s">
        <v>165</v>
      </c>
      <c r="C58" s="29">
        <v>4</v>
      </c>
      <c r="D58" s="19">
        <v>3</v>
      </c>
      <c r="E58" s="19">
        <v>1.0499999999999998</v>
      </c>
      <c r="F58" s="19">
        <v>0.47</v>
      </c>
      <c r="G58" s="19">
        <v>0.24</v>
      </c>
      <c r="H58" s="22"/>
    </row>
    <row r="59" spans="1:8" x14ac:dyDescent="0.35">
      <c r="A59" s="19" t="s">
        <v>166</v>
      </c>
      <c r="B59" s="27" t="s">
        <v>165</v>
      </c>
      <c r="C59" s="29">
        <v>4</v>
      </c>
      <c r="D59" s="19">
        <v>4</v>
      </c>
      <c r="E59" s="19">
        <v>1.4</v>
      </c>
      <c r="F59" s="19">
        <v>0.48</v>
      </c>
      <c r="G59" s="19">
        <v>0.21</v>
      </c>
      <c r="H59" s="22"/>
    </row>
    <row r="60" spans="1:8" x14ac:dyDescent="0.35">
      <c r="A60" s="19" t="s">
        <v>166</v>
      </c>
      <c r="B60" s="27" t="s">
        <v>165</v>
      </c>
      <c r="C60" s="29">
        <v>4</v>
      </c>
      <c r="D60" s="19">
        <v>5</v>
      </c>
      <c r="E60" s="19">
        <v>1.75</v>
      </c>
      <c r="F60" s="19">
        <v>0.51</v>
      </c>
      <c r="G60" s="19">
        <v>0.22</v>
      </c>
      <c r="H60" s="22"/>
    </row>
    <row r="61" spans="1:8" x14ac:dyDescent="0.35">
      <c r="A61" s="19" t="s">
        <v>166</v>
      </c>
      <c r="B61" s="27" t="s">
        <v>165</v>
      </c>
      <c r="C61" s="29">
        <v>4</v>
      </c>
      <c r="D61" s="19">
        <v>6</v>
      </c>
      <c r="E61" s="19">
        <v>2.1</v>
      </c>
      <c r="F61" s="19">
        <v>0.52</v>
      </c>
      <c r="G61" s="19">
        <v>0.21</v>
      </c>
      <c r="H61" s="22"/>
    </row>
    <row r="62" spans="1:8" x14ac:dyDescent="0.35">
      <c r="A62" s="19" t="s">
        <v>166</v>
      </c>
      <c r="B62" s="27" t="s">
        <v>165</v>
      </c>
      <c r="C62" s="29">
        <v>4</v>
      </c>
      <c r="D62" s="19">
        <v>7</v>
      </c>
      <c r="E62" s="19">
        <v>2.4500000000000002</v>
      </c>
      <c r="F62" s="19">
        <v>0.49</v>
      </c>
      <c r="G62" s="19">
        <v>0.15</v>
      </c>
      <c r="H62" s="22"/>
    </row>
    <row r="63" spans="1:8" x14ac:dyDescent="0.35">
      <c r="A63" s="19" t="s">
        <v>166</v>
      </c>
      <c r="B63" s="27" t="s">
        <v>165</v>
      </c>
      <c r="C63" s="29">
        <v>4</v>
      </c>
      <c r="D63" s="19">
        <v>8</v>
      </c>
      <c r="E63" s="19">
        <v>2.8000000000000003</v>
      </c>
      <c r="F63" s="19">
        <v>0.38</v>
      </c>
      <c r="G63" s="19">
        <v>0.21</v>
      </c>
      <c r="H63" s="22"/>
    </row>
    <row r="64" spans="1:8" x14ac:dyDescent="0.35">
      <c r="A64" s="19" t="s">
        <v>166</v>
      </c>
      <c r="B64" s="27" t="s">
        <v>165</v>
      </c>
      <c r="C64" s="29">
        <v>4</v>
      </c>
      <c r="D64" s="19">
        <v>9</v>
      </c>
      <c r="E64" s="19">
        <v>3.1500000000000004</v>
      </c>
      <c r="F64" s="19">
        <v>0.35</v>
      </c>
      <c r="G64" s="19">
        <v>0.25</v>
      </c>
      <c r="H64" s="22"/>
    </row>
    <row r="65" spans="1:8" x14ac:dyDescent="0.35">
      <c r="A65" s="19" t="s">
        <v>166</v>
      </c>
      <c r="B65" s="27" t="s">
        <v>165</v>
      </c>
      <c r="C65" s="29">
        <v>4</v>
      </c>
      <c r="D65" s="19">
        <v>10</v>
      </c>
      <c r="E65" s="19">
        <v>3.5000000000000004</v>
      </c>
      <c r="F65" s="19">
        <v>0.3</v>
      </c>
      <c r="G65" s="19">
        <v>0.34</v>
      </c>
      <c r="H65" s="22"/>
    </row>
    <row r="66" spans="1:8" x14ac:dyDescent="0.35">
      <c r="A66" s="19" t="s">
        <v>166</v>
      </c>
      <c r="B66" s="27" t="s">
        <v>165</v>
      </c>
      <c r="C66" s="29">
        <v>4</v>
      </c>
      <c r="D66" s="19">
        <v>11</v>
      </c>
      <c r="E66" s="19">
        <v>3.8500000000000005</v>
      </c>
      <c r="F66" s="19">
        <v>0.23</v>
      </c>
      <c r="G66" s="19">
        <v>0.36</v>
      </c>
      <c r="H66" s="22"/>
    </row>
    <row r="67" spans="1:8" x14ac:dyDescent="0.35">
      <c r="A67" s="19" t="s">
        <v>166</v>
      </c>
      <c r="B67" s="27" t="s">
        <v>165</v>
      </c>
      <c r="C67" s="29">
        <v>4</v>
      </c>
      <c r="D67" s="19">
        <v>12</v>
      </c>
      <c r="E67" s="19">
        <v>4.2</v>
      </c>
      <c r="F67" s="19">
        <v>0.18</v>
      </c>
      <c r="G67" s="19">
        <v>0.35</v>
      </c>
      <c r="H67" s="22"/>
    </row>
    <row r="68" spans="1:8" x14ac:dyDescent="0.35">
      <c r="A68" s="19" t="s">
        <v>166</v>
      </c>
      <c r="B68" s="27" t="s">
        <v>165</v>
      </c>
      <c r="C68" s="29">
        <v>4</v>
      </c>
      <c r="D68" s="19">
        <v>13</v>
      </c>
      <c r="E68" s="19">
        <v>4.55</v>
      </c>
      <c r="F68" s="19">
        <v>0.16</v>
      </c>
      <c r="G68" s="19">
        <v>0.3</v>
      </c>
      <c r="H68" s="22"/>
    </row>
    <row r="69" spans="1:8" x14ac:dyDescent="0.35">
      <c r="A69" s="19" t="s">
        <v>166</v>
      </c>
      <c r="B69" s="27" t="s">
        <v>165</v>
      </c>
      <c r="C69" s="29">
        <v>4</v>
      </c>
      <c r="D69" s="19">
        <v>14</v>
      </c>
      <c r="E69" s="19">
        <v>4.8999999999999995</v>
      </c>
      <c r="F69" s="19">
        <v>0.12</v>
      </c>
      <c r="G69" s="19">
        <v>0.17</v>
      </c>
      <c r="H69" s="22"/>
    </row>
    <row r="70" spans="1:8" x14ac:dyDescent="0.35">
      <c r="A70" s="19" t="s">
        <v>166</v>
      </c>
      <c r="B70" s="27" t="s">
        <v>165</v>
      </c>
      <c r="C70" s="29">
        <v>4</v>
      </c>
      <c r="D70" s="19">
        <v>15</v>
      </c>
      <c r="E70" s="19">
        <v>5.2499999999999991</v>
      </c>
      <c r="F70" s="19">
        <v>0.1</v>
      </c>
      <c r="G70" s="19">
        <v>0.1</v>
      </c>
      <c r="H70" s="22"/>
    </row>
    <row r="71" spans="1:8" x14ac:dyDescent="0.35">
      <c r="A71" s="19" t="s">
        <v>166</v>
      </c>
      <c r="B71" s="27" t="s">
        <v>165</v>
      </c>
      <c r="C71" s="29">
        <v>5</v>
      </c>
      <c r="D71" s="19">
        <v>1</v>
      </c>
      <c r="E71" s="19">
        <v>0.2</v>
      </c>
      <c r="F71" s="19">
        <v>0.12</v>
      </c>
      <c r="G71" s="19">
        <v>0</v>
      </c>
      <c r="H71" s="22"/>
    </row>
    <row r="72" spans="1:8" x14ac:dyDescent="0.35">
      <c r="A72" s="19" t="s">
        <v>166</v>
      </c>
      <c r="B72" s="27" t="s">
        <v>165</v>
      </c>
      <c r="C72" s="29">
        <v>5</v>
      </c>
      <c r="D72" s="19">
        <v>2</v>
      </c>
      <c r="E72" s="19">
        <v>0.55000000000000004</v>
      </c>
      <c r="F72" s="19">
        <v>0.19</v>
      </c>
      <c r="G72" s="19">
        <v>0</v>
      </c>
      <c r="H72" s="22"/>
    </row>
    <row r="73" spans="1:8" x14ac:dyDescent="0.35">
      <c r="A73" s="19" t="s">
        <v>166</v>
      </c>
      <c r="B73" s="27" t="s">
        <v>165</v>
      </c>
      <c r="C73" s="29">
        <v>5</v>
      </c>
      <c r="D73" s="19">
        <v>3</v>
      </c>
      <c r="E73" s="19">
        <v>0.9</v>
      </c>
      <c r="F73" s="19">
        <v>0.27</v>
      </c>
      <c r="G73" s="19">
        <v>0.1</v>
      </c>
      <c r="H73" s="22"/>
    </row>
    <row r="74" spans="1:8" x14ac:dyDescent="0.35">
      <c r="A74" s="19" t="s">
        <v>166</v>
      </c>
      <c r="B74" s="27" t="s">
        <v>165</v>
      </c>
      <c r="C74" s="29">
        <v>5</v>
      </c>
      <c r="D74" s="19">
        <v>4</v>
      </c>
      <c r="E74" s="19">
        <v>1.25</v>
      </c>
      <c r="F74" s="19">
        <v>0.33</v>
      </c>
      <c r="G74" s="19">
        <v>0.22</v>
      </c>
      <c r="H74" s="22"/>
    </row>
    <row r="75" spans="1:8" x14ac:dyDescent="0.35">
      <c r="A75" s="19" t="s">
        <v>166</v>
      </c>
      <c r="B75" s="27" t="s">
        <v>165</v>
      </c>
      <c r="C75" s="29">
        <v>5</v>
      </c>
      <c r="D75" s="19">
        <v>5</v>
      </c>
      <c r="E75" s="19">
        <v>1.6</v>
      </c>
      <c r="F75" s="19">
        <v>0.41</v>
      </c>
      <c r="G75" s="19">
        <v>0.22</v>
      </c>
      <c r="H75" s="22"/>
    </row>
    <row r="76" spans="1:8" x14ac:dyDescent="0.35">
      <c r="A76" s="19" t="s">
        <v>166</v>
      </c>
      <c r="B76" s="27" t="s">
        <v>165</v>
      </c>
      <c r="C76" s="29">
        <v>5</v>
      </c>
      <c r="D76" s="19">
        <v>6</v>
      </c>
      <c r="E76" s="19">
        <v>1.9500000000000002</v>
      </c>
      <c r="F76" s="19">
        <v>0.5</v>
      </c>
      <c r="G76" s="19">
        <v>0.21</v>
      </c>
      <c r="H76" s="22"/>
    </row>
    <row r="77" spans="1:8" x14ac:dyDescent="0.35">
      <c r="A77" s="19" t="s">
        <v>166</v>
      </c>
      <c r="B77" s="27" t="s">
        <v>165</v>
      </c>
      <c r="C77" s="29">
        <v>5</v>
      </c>
      <c r="D77" s="19">
        <v>7</v>
      </c>
      <c r="E77" s="19">
        <v>2.3000000000000003</v>
      </c>
      <c r="F77" s="19">
        <v>0.57999999999999996</v>
      </c>
      <c r="G77" s="19">
        <v>0.05</v>
      </c>
      <c r="H77" s="22"/>
    </row>
    <row r="78" spans="1:8" x14ac:dyDescent="0.35">
      <c r="A78" s="19" t="s">
        <v>166</v>
      </c>
      <c r="B78" s="27" t="s">
        <v>165</v>
      </c>
      <c r="C78" s="29">
        <v>5</v>
      </c>
      <c r="D78" s="19">
        <v>8</v>
      </c>
      <c r="E78" s="19">
        <v>2.6500000000000004</v>
      </c>
      <c r="F78" s="19">
        <v>0.64</v>
      </c>
      <c r="G78" s="19">
        <v>0.2</v>
      </c>
      <c r="H78" s="22"/>
    </row>
    <row r="79" spans="1:8" x14ac:dyDescent="0.35">
      <c r="A79" s="19" t="s">
        <v>166</v>
      </c>
      <c r="B79" s="27" t="s">
        <v>165</v>
      </c>
      <c r="C79" s="29">
        <v>5</v>
      </c>
      <c r="D79" s="19">
        <v>9</v>
      </c>
      <c r="E79" s="19">
        <v>3.0000000000000004</v>
      </c>
      <c r="F79" s="19">
        <v>0.66</v>
      </c>
      <c r="G79" s="19">
        <v>0.15</v>
      </c>
      <c r="H79" s="22"/>
    </row>
    <row r="80" spans="1:8" x14ac:dyDescent="0.35">
      <c r="A80" s="19" t="s">
        <v>166</v>
      </c>
      <c r="B80" s="27" t="s">
        <v>165</v>
      </c>
      <c r="C80" s="29">
        <v>5</v>
      </c>
      <c r="D80" s="19">
        <v>10</v>
      </c>
      <c r="E80" s="19">
        <v>3.3500000000000005</v>
      </c>
      <c r="F80" s="19">
        <v>0.62</v>
      </c>
      <c r="G80" s="19">
        <v>0.18</v>
      </c>
      <c r="H80" s="22"/>
    </row>
    <row r="81" spans="1:8" x14ac:dyDescent="0.35">
      <c r="A81" s="19" t="s">
        <v>166</v>
      </c>
      <c r="B81" s="27" t="s">
        <v>165</v>
      </c>
      <c r="C81" s="29">
        <v>5</v>
      </c>
      <c r="D81" s="19">
        <v>11</v>
      </c>
      <c r="E81" s="19">
        <v>3.7000000000000006</v>
      </c>
      <c r="F81" s="19">
        <v>0.54</v>
      </c>
      <c r="G81" s="19">
        <v>0.15</v>
      </c>
      <c r="H81" s="22"/>
    </row>
    <row r="82" spans="1:8" x14ac:dyDescent="0.35">
      <c r="A82" s="19" t="s">
        <v>166</v>
      </c>
      <c r="B82" s="27" t="s">
        <v>165</v>
      </c>
      <c r="C82" s="29">
        <v>5</v>
      </c>
      <c r="D82" s="19">
        <v>12</v>
      </c>
      <c r="E82" s="19">
        <v>4.0500000000000007</v>
      </c>
      <c r="F82" s="19">
        <v>0.39</v>
      </c>
      <c r="G82" s="19">
        <v>0.28000000000000003</v>
      </c>
      <c r="H82" s="22"/>
    </row>
    <row r="83" spans="1:8" x14ac:dyDescent="0.35">
      <c r="A83" s="19" t="s">
        <v>166</v>
      </c>
      <c r="B83" s="27" t="s">
        <v>165</v>
      </c>
      <c r="C83" s="29">
        <v>5</v>
      </c>
      <c r="D83" s="19">
        <v>13</v>
      </c>
      <c r="E83" s="19">
        <v>4.4000000000000004</v>
      </c>
      <c r="F83" s="19">
        <v>0.33</v>
      </c>
      <c r="G83" s="19">
        <v>0.28000000000000003</v>
      </c>
      <c r="H83" s="22"/>
    </row>
    <row r="84" spans="1:8" x14ac:dyDescent="0.35">
      <c r="A84" s="19" t="s">
        <v>166</v>
      </c>
      <c r="B84" s="27" t="s">
        <v>165</v>
      </c>
      <c r="C84" s="29">
        <v>5</v>
      </c>
      <c r="D84" s="19">
        <v>14</v>
      </c>
      <c r="E84" s="19">
        <v>4.75</v>
      </c>
      <c r="F84" s="19">
        <v>0.26</v>
      </c>
      <c r="G84" s="19">
        <v>0.22</v>
      </c>
      <c r="H84" s="22"/>
    </row>
    <row r="85" spans="1:8" x14ac:dyDescent="0.35">
      <c r="A85" s="19" t="s">
        <v>166</v>
      </c>
      <c r="B85" s="27" t="s">
        <v>165</v>
      </c>
      <c r="C85" s="29">
        <v>5</v>
      </c>
      <c r="D85" s="19">
        <v>15</v>
      </c>
      <c r="E85" s="19">
        <v>5.0999999999999996</v>
      </c>
      <c r="F85" s="19">
        <v>0.22</v>
      </c>
      <c r="G85" s="19">
        <v>0</v>
      </c>
      <c r="H85" s="22"/>
    </row>
    <row r="86" spans="1:8" x14ac:dyDescent="0.35">
      <c r="A86" s="19" t="s">
        <v>166</v>
      </c>
      <c r="B86" s="27" t="s">
        <v>165</v>
      </c>
      <c r="C86" s="29">
        <v>5</v>
      </c>
      <c r="D86" s="19">
        <v>16</v>
      </c>
      <c r="E86" s="19">
        <v>5.4499999999999993</v>
      </c>
      <c r="F86" s="19">
        <v>0.17</v>
      </c>
      <c r="G86" s="19">
        <v>0</v>
      </c>
      <c r="H86" s="22"/>
    </row>
    <row r="87" spans="1:8" x14ac:dyDescent="0.35">
      <c r="A87" s="19" t="s">
        <v>166</v>
      </c>
      <c r="B87" s="27" t="s">
        <v>165</v>
      </c>
      <c r="C87" s="29">
        <v>6</v>
      </c>
      <c r="D87" s="19">
        <v>1</v>
      </c>
      <c r="E87" s="19">
        <v>0.35</v>
      </c>
      <c r="F87" s="19">
        <v>0.26</v>
      </c>
      <c r="G87" s="19">
        <v>0</v>
      </c>
      <c r="H87" s="22"/>
    </row>
    <row r="88" spans="1:8" x14ac:dyDescent="0.35">
      <c r="A88" s="19" t="s">
        <v>166</v>
      </c>
      <c r="B88" s="27" t="s">
        <v>165</v>
      </c>
      <c r="C88" s="29">
        <v>6</v>
      </c>
      <c r="D88" s="19">
        <v>2</v>
      </c>
      <c r="E88" s="19">
        <v>0.7</v>
      </c>
      <c r="F88" s="19">
        <v>0.37</v>
      </c>
      <c r="G88" s="19">
        <v>7.0000000000000007E-2</v>
      </c>
      <c r="H88" s="22"/>
    </row>
    <row r="89" spans="1:8" x14ac:dyDescent="0.35">
      <c r="A89" s="19" t="s">
        <v>166</v>
      </c>
      <c r="B89" s="27" t="s">
        <v>165</v>
      </c>
      <c r="C89" s="29">
        <v>6</v>
      </c>
      <c r="D89" s="19">
        <v>3</v>
      </c>
      <c r="E89" s="19">
        <v>1.0499999999999998</v>
      </c>
      <c r="F89" s="19">
        <v>0.48</v>
      </c>
      <c r="G89" s="19">
        <v>0.22</v>
      </c>
      <c r="H89" s="22"/>
    </row>
    <row r="90" spans="1:8" x14ac:dyDescent="0.35">
      <c r="A90" s="19" t="s">
        <v>166</v>
      </c>
      <c r="B90" s="27" t="s">
        <v>165</v>
      </c>
      <c r="C90" s="29">
        <v>6</v>
      </c>
      <c r="D90" s="19">
        <v>4</v>
      </c>
      <c r="E90" s="19">
        <v>1.4</v>
      </c>
      <c r="F90" s="19">
        <v>0.56000000000000005</v>
      </c>
      <c r="G90" s="19">
        <v>0.16</v>
      </c>
      <c r="H90" s="22"/>
    </row>
    <row r="91" spans="1:8" x14ac:dyDescent="0.35">
      <c r="A91" s="19" t="s">
        <v>166</v>
      </c>
      <c r="B91" s="27" t="s">
        <v>165</v>
      </c>
      <c r="C91" s="29">
        <v>6</v>
      </c>
      <c r="D91" s="19">
        <v>5</v>
      </c>
      <c r="E91" s="19">
        <v>1.75</v>
      </c>
      <c r="F91" s="19">
        <v>0.59</v>
      </c>
      <c r="G91" s="19">
        <v>0.11</v>
      </c>
      <c r="H91" s="22"/>
    </row>
    <row r="92" spans="1:8" x14ac:dyDescent="0.35">
      <c r="A92" s="19" t="s">
        <v>166</v>
      </c>
      <c r="B92" s="27" t="s">
        <v>165</v>
      </c>
      <c r="C92" s="29">
        <v>6</v>
      </c>
      <c r="D92" s="19">
        <v>6</v>
      </c>
      <c r="E92" s="19">
        <v>2.1</v>
      </c>
      <c r="F92" s="19">
        <v>0.62</v>
      </c>
      <c r="G92" s="19">
        <v>0.2</v>
      </c>
      <c r="H92" s="22"/>
    </row>
    <row r="93" spans="1:8" x14ac:dyDescent="0.35">
      <c r="A93" s="19" t="s">
        <v>166</v>
      </c>
      <c r="B93" s="27" t="s">
        <v>165</v>
      </c>
      <c r="C93" s="29">
        <v>6</v>
      </c>
      <c r="D93" s="19">
        <v>7</v>
      </c>
      <c r="E93" s="19">
        <v>2.4500000000000002</v>
      </c>
      <c r="F93" s="19">
        <v>0.53</v>
      </c>
      <c r="G93" s="19">
        <v>0.19</v>
      </c>
      <c r="H93" s="22"/>
    </row>
    <row r="94" spans="1:8" x14ac:dyDescent="0.35">
      <c r="A94" s="19" t="s">
        <v>166</v>
      </c>
      <c r="B94" s="27" t="s">
        <v>165</v>
      </c>
      <c r="C94" s="29">
        <v>6</v>
      </c>
      <c r="D94" s="19">
        <v>8</v>
      </c>
      <c r="E94" s="19">
        <v>2.8000000000000003</v>
      </c>
      <c r="F94" s="19">
        <v>0.49</v>
      </c>
      <c r="G94" s="19">
        <v>0.21</v>
      </c>
      <c r="H94" s="22"/>
    </row>
    <row r="95" spans="1:8" x14ac:dyDescent="0.35">
      <c r="A95" s="19" t="s">
        <v>166</v>
      </c>
      <c r="B95" s="27" t="s">
        <v>165</v>
      </c>
      <c r="C95" s="29">
        <v>6</v>
      </c>
      <c r="D95" s="19">
        <v>9</v>
      </c>
      <c r="E95" s="19">
        <v>3.1500000000000004</v>
      </c>
      <c r="F95" s="19">
        <v>0.4</v>
      </c>
      <c r="G95" s="19">
        <v>0.26</v>
      </c>
      <c r="H95" s="22"/>
    </row>
    <row r="96" spans="1:8" x14ac:dyDescent="0.35">
      <c r="A96" s="19" t="s">
        <v>166</v>
      </c>
      <c r="B96" s="27" t="s">
        <v>165</v>
      </c>
      <c r="C96" s="29">
        <v>6</v>
      </c>
      <c r="D96" s="19">
        <v>10</v>
      </c>
      <c r="E96" s="19">
        <v>3.5000000000000004</v>
      </c>
      <c r="F96" s="19">
        <v>0.34</v>
      </c>
      <c r="G96" s="19">
        <v>0.27</v>
      </c>
      <c r="H96" s="22"/>
    </row>
    <row r="97" spans="1:8" x14ac:dyDescent="0.35">
      <c r="A97" s="19" t="s">
        <v>166</v>
      </c>
      <c r="B97" s="27" t="s">
        <v>165</v>
      </c>
      <c r="C97" s="29">
        <v>6</v>
      </c>
      <c r="D97" s="19">
        <v>11</v>
      </c>
      <c r="E97" s="19">
        <v>3.8500000000000005</v>
      </c>
      <c r="F97" s="19">
        <v>0.27</v>
      </c>
      <c r="G97" s="19">
        <v>0.28000000000000003</v>
      </c>
      <c r="H97" s="22"/>
    </row>
    <row r="98" spans="1:8" x14ac:dyDescent="0.35">
      <c r="A98" s="19" t="s">
        <v>166</v>
      </c>
      <c r="B98" s="27" t="s">
        <v>165</v>
      </c>
      <c r="C98" s="29">
        <v>6</v>
      </c>
      <c r="D98" s="19">
        <v>12</v>
      </c>
      <c r="E98" s="19">
        <v>4.2</v>
      </c>
      <c r="F98" s="19">
        <v>0.19</v>
      </c>
      <c r="G98" s="19">
        <v>0.21</v>
      </c>
      <c r="H98" s="22"/>
    </row>
    <row r="99" spans="1:8" x14ac:dyDescent="0.35">
      <c r="A99" s="19" t="s">
        <v>166</v>
      </c>
      <c r="B99" s="27" t="s">
        <v>165</v>
      </c>
      <c r="C99" s="29">
        <v>6</v>
      </c>
      <c r="D99" s="19">
        <v>13</v>
      </c>
      <c r="E99" s="19">
        <v>4.55</v>
      </c>
      <c r="F99" s="19">
        <v>0.1</v>
      </c>
      <c r="G99" s="19">
        <v>0.04</v>
      </c>
      <c r="H99" s="22"/>
    </row>
    <row r="100" spans="1:8" x14ac:dyDescent="0.35">
      <c r="A100" s="19" t="s">
        <v>166</v>
      </c>
      <c r="B100" s="27" t="s">
        <v>165</v>
      </c>
      <c r="C100" s="29">
        <v>7</v>
      </c>
      <c r="D100" s="19">
        <v>1</v>
      </c>
      <c r="E100" s="19">
        <v>0.3</v>
      </c>
      <c r="F100" s="19">
        <v>0.16</v>
      </c>
      <c r="G100" s="19">
        <v>0</v>
      </c>
      <c r="H100" s="22"/>
    </row>
    <row r="101" spans="1:8" x14ac:dyDescent="0.35">
      <c r="A101" s="19" t="s">
        <v>166</v>
      </c>
      <c r="B101" s="27" t="s">
        <v>165</v>
      </c>
      <c r="C101" s="29">
        <v>7</v>
      </c>
      <c r="D101" s="19">
        <v>2</v>
      </c>
      <c r="E101" s="19">
        <v>0.64999999999999991</v>
      </c>
      <c r="F101" s="19">
        <v>0.24</v>
      </c>
      <c r="G101" s="19">
        <v>0.03</v>
      </c>
      <c r="H101" s="22"/>
    </row>
    <row r="102" spans="1:8" x14ac:dyDescent="0.35">
      <c r="A102" s="19" t="s">
        <v>166</v>
      </c>
      <c r="B102" s="27" t="s">
        <v>165</v>
      </c>
      <c r="C102" s="29">
        <v>7</v>
      </c>
      <c r="D102" s="19">
        <v>3</v>
      </c>
      <c r="E102" s="19">
        <v>0.99999999999999989</v>
      </c>
      <c r="F102" s="19">
        <v>0.3</v>
      </c>
      <c r="G102" s="19">
        <v>0.35</v>
      </c>
      <c r="H102" s="22"/>
    </row>
    <row r="103" spans="1:8" x14ac:dyDescent="0.35">
      <c r="A103" s="19" t="s">
        <v>166</v>
      </c>
      <c r="B103" s="27" t="s">
        <v>165</v>
      </c>
      <c r="C103" s="29">
        <v>7</v>
      </c>
      <c r="D103" s="19">
        <v>4</v>
      </c>
      <c r="E103" s="19">
        <v>1.3499999999999999</v>
      </c>
      <c r="F103" s="19">
        <v>0.33</v>
      </c>
      <c r="G103" s="19">
        <v>0.36</v>
      </c>
      <c r="H103" s="22"/>
    </row>
    <row r="104" spans="1:8" x14ac:dyDescent="0.35">
      <c r="A104" s="19" t="s">
        <v>166</v>
      </c>
      <c r="B104" s="27" t="s">
        <v>165</v>
      </c>
      <c r="C104" s="29">
        <v>7</v>
      </c>
      <c r="D104" s="19">
        <v>5</v>
      </c>
      <c r="E104" s="19">
        <v>1.6999999999999997</v>
      </c>
      <c r="F104" s="19">
        <v>0.39</v>
      </c>
      <c r="G104" s="19">
        <v>0.36</v>
      </c>
      <c r="H104" s="22"/>
    </row>
    <row r="105" spans="1:8" x14ac:dyDescent="0.35">
      <c r="A105" s="19" t="s">
        <v>166</v>
      </c>
      <c r="B105" s="27" t="s">
        <v>165</v>
      </c>
      <c r="C105" s="29">
        <v>7</v>
      </c>
      <c r="D105" s="19">
        <v>6</v>
      </c>
      <c r="E105" s="19">
        <v>2.0499999999999998</v>
      </c>
      <c r="F105" s="19">
        <v>0.45</v>
      </c>
      <c r="G105" s="19">
        <v>0.3</v>
      </c>
      <c r="H105" s="22"/>
    </row>
    <row r="106" spans="1:8" x14ac:dyDescent="0.35">
      <c r="A106" s="19" t="s">
        <v>166</v>
      </c>
      <c r="B106" s="27" t="s">
        <v>165</v>
      </c>
      <c r="C106" s="29">
        <v>7</v>
      </c>
      <c r="D106" s="19">
        <v>7</v>
      </c>
      <c r="E106" s="19">
        <v>2.4</v>
      </c>
      <c r="F106" s="19">
        <v>0.56999999999999995</v>
      </c>
      <c r="G106" s="19">
        <v>0.17</v>
      </c>
      <c r="H106" s="22"/>
    </row>
    <row r="107" spans="1:8" x14ac:dyDescent="0.35">
      <c r="A107" s="19" t="s">
        <v>166</v>
      </c>
      <c r="B107" s="27" t="s">
        <v>165</v>
      </c>
      <c r="C107" s="29">
        <v>7</v>
      </c>
      <c r="D107" s="19">
        <v>8</v>
      </c>
      <c r="E107" s="19">
        <v>2.75</v>
      </c>
      <c r="F107" s="19">
        <v>0.61</v>
      </c>
      <c r="G107" s="19">
        <v>0.2</v>
      </c>
      <c r="H107" s="22"/>
    </row>
    <row r="108" spans="1:8" x14ac:dyDescent="0.35">
      <c r="A108" s="19" t="s">
        <v>166</v>
      </c>
      <c r="B108" s="27" t="s">
        <v>165</v>
      </c>
      <c r="C108" s="29">
        <v>7</v>
      </c>
      <c r="D108" s="19">
        <v>9</v>
      </c>
      <c r="E108" s="19">
        <v>3.1</v>
      </c>
      <c r="F108" s="19">
        <v>0.56999999999999995</v>
      </c>
      <c r="G108" s="19">
        <v>0.22</v>
      </c>
      <c r="H108" s="22"/>
    </row>
    <row r="109" spans="1:8" x14ac:dyDescent="0.35">
      <c r="A109" s="19" t="s">
        <v>166</v>
      </c>
      <c r="B109" s="27" t="s">
        <v>165</v>
      </c>
      <c r="C109" s="29">
        <v>7</v>
      </c>
      <c r="D109" s="19">
        <v>10</v>
      </c>
      <c r="E109" s="19">
        <v>3.45</v>
      </c>
      <c r="F109" s="19">
        <v>0.52</v>
      </c>
      <c r="G109" s="19">
        <v>0.12</v>
      </c>
      <c r="H109" s="22"/>
    </row>
    <row r="110" spans="1:8" x14ac:dyDescent="0.35">
      <c r="A110" s="19" t="s">
        <v>166</v>
      </c>
      <c r="B110" s="27" t="s">
        <v>165</v>
      </c>
      <c r="C110" s="29">
        <v>7</v>
      </c>
      <c r="D110" s="19">
        <v>11</v>
      </c>
      <c r="E110" s="19">
        <v>3.8000000000000003</v>
      </c>
      <c r="F110" s="19">
        <v>0.49</v>
      </c>
      <c r="G110" s="19">
        <v>0.2</v>
      </c>
      <c r="H110" s="22"/>
    </row>
    <row r="111" spans="1:8" x14ac:dyDescent="0.35">
      <c r="A111" s="19" t="s">
        <v>166</v>
      </c>
      <c r="B111" s="27" t="s">
        <v>165</v>
      </c>
      <c r="C111" s="29">
        <v>7</v>
      </c>
      <c r="D111" s="19">
        <v>12</v>
      </c>
      <c r="E111" s="19">
        <v>4.1500000000000004</v>
      </c>
      <c r="F111" s="19">
        <v>0.43</v>
      </c>
      <c r="G111" s="19">
        <v>0.15</v>
      </c>
      <c r="H111" s="22"/>
    </row>
    <row r="112" spans="1:8" x14ac:dyDescent="0.35">
      <c r="A112" s="19" t="s">
        <v>166</v>
      </c>
      <c r="B112" s="27" t="s">
        <v>165</v>
      </c>
      <c r="C112" s="29">
        <v>7</v>
      </c>
      <c r="D112" s="19">
        <v>13</v>
      </c>
      <c r="E112" s="19">
        <v>4.5</v>
      </c>
      <c r="F112" s="19">
        <v>0.37</v>
      </c>
      <c r="G112" s="19">
        <v>0.08</v>
      </c>
      <c r="H112" s="22"/>
    </row>
    <row r="113" spans="1:8" x14ac:dyDescent="0.35">
      <c r="A113" s="19" t="s">
        <v>166</v>
      </c>
      <c r="B113" s="27" t="s">
        <v>165</v>
      </c>
      <c r="C113" s="29">
        <v>7</v>
      </c>
      <c r="D113" s="19">
        <v>14</v>
      </c>
      <c r="E113" s="19">
        <v>4.8499999999999996</v>
      </c>
      <c r="F113" s="19">
        <v>0.3</v>
      </c>
      <c r="G113" s="19">
        <v>0</v>
      </c>
      <c r="H113" s="22"/>
    </row>
    <row r="114" spans="1:8" x14ac:dyDescent="0.35">
      <c r="A114" s="19" t="s">
        <v>166</v>
      </c>
      <c r="B114" s="27" t="s">
        <v>165</v>
      </c>
      <c r="C114" s="29">
        <v>7</v>
      </c>
      <c r="D114" s="19">
        <v>15</v>
      </c>
      <c r="E114" s="19">
        <v>5.1999999999999993</v>
      </c>
      <c r="F114" s="19">
        <v>0.26</v>
      </c>
      <c r="G114" s="19">
        <v>0</v>
      </c>
      <c r="H114" s="22"/>
    </row>
    <row r="115" spans="1:8" x14ac:dyDescent="0.35">
      <c r="A115" s="19" t="s">
        <v>166</v>
      </c>
      <c r="B115" s="27" t="s">
        <v>165</v>
      </c>
      <c r="C115" s="29">
        <v>8</v>
      </c>
      <c r="D115" s="19">
        <v>1</v>
      </c>
      <c r="E115" s="19">
        <v>0.2</v>
      </c>
      <c r="F115" s="19">
        <v>0.19</v>
      </c>
      <c r="G115" s="19">
        <v>0</v>
      </c>
      <c r="H115" s="22"/>
    </row>
    <row r="116" spans="1:8" x14ac:dyDescent="0.35">
      <c r="A116" s="19" t="s">
        <v>166</v>
      </c>
      <c r="B116" s="27" t="s">
        <v>165</v>
      </c>
      <c r="C116" s="29">
        <v>8</v>
      </c>
      <c r="D116" s="19">
        <v>2</v>
      </c>
      <c r="E116" s="19">
        <v>0.55000000000000004</v>
      </c>
      <c r="F116" s="19">
        <v>0.25</v>
      </c>
      <c r="G116" s="19">
        <v>0</v>
      </c>
      <c r="H116" s="22"/>
    </row>
    <row r="117" spans="1:8" x14ac:dyDescent="0.35">
      <c r="A117" s="19" t="s">
        <v>166</v>
      </c>
      <c r="B117" s="27" t="s">
        <v>165</v>
      </c>
      <c r="C117" s="29">
        <v>8</v>
      </c>
      <c r="D117" s="19">
        <v>3</v>
      </c>
      <c r="E117" s="19">
        <v>0.9</v>
      </c>
      <c r="F117" s="19">
        <v>0.27</v>
      </c>
      <c r="G117" s="19">
        <v>0</v>
      </c>
      <c r="H117" s="22"/>
    </row>
    <row r="118" spans="1:8" x14ac:dyDescent="0.35">
      <c r="A118" s="19" t="s">
        <v>166</v>
      </c>
      <c r="B118" s="27" t="s">
        <v>165</v>
      </c>
      <c r="C118" s="29">
        <v>8</v>
      </c>
      <c r="D118" s="19">
        <v>4</v>
      </c>
      <c r="E118" s="19">
        <v>1.25</v>
      </c>
      <c r="F118" s="19">
        <v>0.31</v>
      </c>
      <c r="G118" s="19">
        <v>0.31</v>
      </c>
      <c r="H118" s="22"/>
    </row>
    <row r="119" spans="1:8" x14ac:dyDescent="0.35">
      <c r="A119" s="19" t="s">
        <v>166</v>
      </c>
      <c r="B119" s="27" t="s">
        <v>165</v>
      </c>
      <c r="C119" s="29">
        <v>8</v>
      </c>
      <c r="D119" s="19">
        <v>5</v>
      </c>
      <c r="E119" s="19">
        <v>1.6</v>
      </c>
      <c r="F119" s="19">
        <v>0.37</v>
      </c>
      <c r="G119" s="19">
        <v>0.28000000000000003</v>
      </c>
      <c r="H119" s="22"/>
    </row>
    <row r="120" spans="1:8" x14ac:dyDescent="0.35">
      <c r="A120" s="19" t="s">
        <v>166</v>
      </c>
      <c r="B120" s="27" t="s">
        <v>165</v>
      </c>
      <c r="C120" s="29">
        <v>8</v>
      </c>
      <c r="D120" s="19">
        <v>6</v>
      </c>
      <c r="E120" s="19">
        <v>1.9500000000000002</v>
      </c>
      <c r="F120" s="19">
        <v>0.44</v>
      </c>
      <c r="G120" s="19">
        <v>0.18</v>
      </c>
      <c r="H120" s="22"/>
    </row>
    <row r="121" spans="1:8" x14ac:dyDescent="0.35">
      <c r="A121" s="19" t="s">
        <v>166</v>
      </c>
      <c r="B121" s="27" t="s">
        <v>165</v>
      </c>
      <c r="C121" s="29">
        <v>8</v>
      </c>
      <c r="D121" s="19">
        <v>7</v>
      </c>
      <c r="E121" s="19">
        <v>2.3000000000000003</v>
      </c>
      <c r="F121" s="19">
        <v>0.51</v>
      </c>
      <c r="G121" s="19">
        <v>0.19</v>
      </c>
      <c r="H121" s="22"/>
    </row>
    <row r="122" spans="1:8" x14ac:dyDescent="0.35">
      <c r="A122" s="19" t="s">
        <v>166</v>
      </c>
      <c r="B122" s="27" t="s">
        <v>165</v>
      </c>
      <c r="C122" s="29">
        <v>8</v>
      </c>
      <c r="D122" s="19">
        <v>8</v>
      </c>
      <c r="E122" s="19">
        <v>2.6500000000000004</v>
      </c>
      <c r="F122" s="19">
        <v>0.52</v>
      </c>
      <c r="G122" s="19">
        <v>0.24</v>
      </c>
      <c r="H122" s="22"/>
    </row>
    <row r="123" spans="1:8" x14ac:dyDescent="0.35">
      <c r="A123" s="19" t="s">
        <v>166</v>
      </c>
      <c r="B123" s="27" t="s">
        <v>165</v>
      </c>
      <c r="C123" s="29">
        <v>8</v>
      </c>
      <c r="D123" s="19">
        <v>9</v>
      </c>
      <c r="E123" s="19">
        <v>3.0000000000000004</v>
      </c>
      <c r="F123" s="19">
        <v>0.5</v>
      </c>
      <c r="G123" s="19">
        <v>0.2</v>
      </c>
      <c r="H123" s="22"/>
    </row>
    <row r="124" spans="1:8" x14ac:dyDescent="0.35">
      <c r="A124" s="19" t="s">
        <v>166</v>
      </c>
      <c r="B124" s="27" t="s">
        <v>165</v>
      </c>
      <c r="C124" s="29">
        <v>8</v>
      </c>
      <c r="D124" s="19">
        <v>10</v>
      </c>
      <c r="E124" s="19">
        <v>3.3500000000000005</v>
      </c>
      <c r="F124" s="19">
        <v>0.46</v>
      </c>
      <c r="G124" s="19">
        <v>0.28999999999999998</v>
      </c>
      <c r="H124" s="22"/>
    </row>
    <row r="125" spans="1:8" x14ac:dyDescent="0.35">
      <c r="A125" s="19" t="s">
        <v>166</v>
      </c>
      <c r="B125" s="27" t="s">
        <v>165</v>
      </c>
      <c r="C125" s="29">
        <v>8</v>
      </c>
      <c r="D125" s="19">
        <v>11</v>
      </c>
      <c r="E125" s="19">
        <v>3.7000000000000006</v>
      </c>
      <c r="F125" s="19">
        <v>0.35</v>
      </c>
      <c r="G125" s="19">
        <v>0.31</v>
      </c>
      <c r="H125" s="22"/>
    </row>
    <row r="126" spans="1:8" x14ac:dyDescent="0.35">
      <c r="A126" s="19" t="s">
        <v>166</v>
      </c>
      <c r="B126" s="27" t="s">
        <v>165</v>
      </c>
      <c r="C126" s="29">
        <v>8</v>
      </c>
      <c r="D126" s="19">
        <v>12</v>
      </c>
      <c r="E126" s="19">
        <v>4.0500000000000007</v>
      </c>
      <c r="F126" s="19">
        <v>0.27</v>
      </c>
      <c r="G126" s="19">
        <v>0.3</v>
      </c>
      <c r="H126" s="22"/>
    </row>
    <row r="127" spans="1:8" x14ac:dyDescent="0.35">
      <c r="A127" s="19" t="s">
        <v>166</v>
      </c>
      <c r="B127" s="27" t="s">
        <v>165</v>
      </c>
      <c r="C127" s="29">
        <v>8</v>
      </c>
      <c r="D127" s="19">
        <v>13</v>
      </c>
      <c r="E127" s="19">
        <v>4.4000000000000004</v>
      </c>
      <c r="F127" s="19">
        <v>0.22</v>
      </c>
      <c r="G127" s="19">
        <v>0.34</v>
      </c>
      <c r="H127" s="22"/>
    </row>
    <row r="128" spans="1:8" x14ac:dyDescent="0.35">
      <c r="A128" s="19" t="s">
        <v>166</v>
      </c>
      <c r="B128" s="27" t="s">
        <v>165</v>
      </c>
      <c r="C128" s="29">
        <v>8</v>
      </c>
      <c r="D128" s="19">
        <v>14</v>
      </c>
      <c r="E128" s="19">
        <v>4.75</v>
      </c>
      <c r="F128" s="19">
        <v>0.17</v>
      </c>
      <c r="G128" s="19">
        <v>0.26</v>
      </c>
      <c r="H128" s="22"/>
    </row>
    <row r="129" spans="1:8" x14ac:dyDescent="0.35">
      <c r="A129" s="19" t="s">
        <v>166</v>
      </c>
      <c r="B129" s="27" t="s">
        <v>165</v>
      </c>
      <c r="C129" s="29">
        <v>8</v>
      </c>
      <c r="D129" s="19">
        <v>15</v>
      </c>
      <c r="E129" s="19">
        <v>5.0999999999999996</v>
      </c>
      <c r="F129" s="19">
        <v>0.15</v>
      </c>
      <c r="G129" s="19">
        <v>0.18</v>
      </c>
      <c r="H129" s="22"/>
    </row>
    <row r="130" spans="1:8" x14ac:dyDescent="0.35">
      <c r="A130" s="19" t="s">
        <v>166</v>
      </c>
      <c r="B130" s="27" t="s">
        <v>165</v>
      </c>
      <c r="C130" s="29">
        <v>9</v>
      </c>
      <c r="D130" s="19">
        <v>1</v>
      </c>
      <c r="E130" s="19">
        <v>0.2</v>
      </c>
      <c r="F130" s="19">
        <v>0.43</v>
      </c>
      <c r="G130" s="19">
        <v>0</v>
      </c>
      <c r="H130" s="22"/>
    </row>
    <row r="131" spans="1:8" x14ac:dyDescent="0.35">
      <c r="A131" s="19" t="s">
        <v>166</v>
      </c>
      <c r="B131" s="27" t="s">
        <v>165</v>
      </c>
      <c r="C131" s="29">
        <v>9</v>
      </c>
      <c r="D131" s="19">
        <v>2</v>
      </c>
      <c r="E131" s="19">
        <v>0.55000000000000004</v>
      </c>
      <c r="F131" s="19">
        <v>0.48</v>
      </c>
      <c r="G131" s="19">
        <v>0</v>
      </c>
      <c r="H131" s="22"/>
    </row>
    <row r="132" spans="1:8" x14ac:dyDescent="0.35">
      <c r="A132" s="19" t="s">
        <v>166</v>
      </c>
      <c r="B132" s="27" t="s">
        <v>165</v>
      </c>
      <c r="C132" s="29">
        <v>9</v>
      </c>
      <c r="D132" s="19">
        <v>3</v>
      </c>
      <c r="E132" s="19">
        <v>0.9</v>
      </c>
      <c r="F132" s="19">
        <v>0.53</v>
      </c>
      <c r="G132" s="19">
        <v>0.06</v>
      </c>
      <c r="H132" s="22"/>
    </row>
    <row r="133" spans="1:8" x14ac:dyDescent="0.35">
      <c r="A133" s="19" t="s">
        <v>166</v>
      </c>
      <c r="B133" s="27" t="s">
        <v>165</v>
      </c>
      <c r="C133" s="29">
        <v>9</v>
      </c>
      <c r="D133" s="19">
        <v>4</v>
      </c>
      <c r="E133" s="19">
        <v>1.25</v>
      </c>
      <c r="F133" s="19">
        <v>0.53</v>
      </c>
      <c r="G133" s="19">
        <v>0.38</v>
      </c>
      <c r="H133" s="22"/>
    </row>
    <row r="134" spans="1:8" x14ac:dyDescent="0.35">
      <c r="A134" s="19" t="s">
        <v>166</v>
      </c>
      <c r="B134" s="27" t="s">
        <v>165</v>
      </c>
      <c r="C134" s="29">
        <v>9</v>
      </c>
      <c r="D134" s="19">
        <v>5</v>
      </c>
      <c r="E134" s="19">
        <v>1.6</v>
      </c>
      <c r="F134" s="19">
        <v>0.49</v>
      </c>
      <c r="G134" s="19">
        <v>0.18</v>
      </c>
      <c r="H134" s="22"/>
    </row>
    <row r="135" spans="1:8" x14ac:dyDescent="0.35">
      <c r="A135" s="19" t="s">
        <v>166</v>
      </c>
      <c r="B135" s="27" t="s">
        <v>165</v>
      </c>
      <c r="C135" s="29">
        <v>9</v>
      </c>
      <c r="D135" s="19">
        <v>6</v>
      </c>
      <c r="E135" s="19">
        <v>1.9500000000000002</v>
      </c>
      <c r="F135" s="19">
        <v>0.42</v>
      </c>
      <c r="G135" s="19">
        <v>0.27</v>
      </c>
      <c r="H135" s="22"/>
    </row>
    <row r="136" spans="1:8" x14ac:dyDescent="0.35">
      <c r="A136" s="19" t="s">
        <v>166</v>
      </c>
      <c r="B136" s="27" t="s">
        <v>165</v>
      </c>
      <c r="C136" s="29">
        <v>9</v>
      </c>
      <c r="D136" s="19">
        <v>7</v>
      </c>
      <c r="E136" s="19">
        <v>2.3000000000000003</v>
      </c>
      <c r="F136" s="19">
        <v>0.31</v>
      </c>
      <c r="G136" s="19">
        <v>0.4</v>
      </c>
      <c r="H136" s="22"/>
    </row>
    <row r="137" spans="1:8" x14ac:dyDescent="0.35">
      <c r="A137" s="19" t="s">
        <v>166</v>
      </c>
      <c r="B137" s="27" t="s">
        <v>165</v>
      </c>
      <c r="C137" s="29">
        <v>9</v>
      </c>
      <c r="D137" s="19">
        <v>8</v>
      </c>
      <c r="E137" s="19">
        <v>2.6500000000000004</v>
      </c>
      <c r="F137" s="19">
        <v>0.23</v>
      </c>
      <c r="G137" s="19">
        <v>0.4</v>
      </c>
      <c r="H137" s="22"/>
    </row>
    <row r="138" spans="1:8" x14ac:dyDescent="0.35">
      <c r="A138" s="19" t="s">
        <v>166</v>
      </c>
      <c r="B138" s="27" t="s">
        <v>165</v>
      </c>
      <c r="C138" s="29">
        <v>9</v>
      </c>
      <c r="D138" s="19">
        <v>9</v>
      </c>
      <c r="E138" s="19">
        <v>3.0000000000000004</v>
      </c>
      <c r="F138" s="19">
        <v>0.24</v>
      </c>
      <c r="G138" s="19">
        <v>0.31</v>
      </c>
      <c r="H138" s="22"/>
    </row>
    <row r="139" spans="1:8" x14ac:dyDescent="0.35">
      <c r="A139" s="19" t="s">
        <v>166</v>
      </c>
      <c r="B139" s="27" t="s">
        <v>165</v>
      </c>
      <c r="C139" s="29">
        <v>9</v>
      </c>
      <c r="D139" s="19">
        <v>10</v>
      </c>
      <c r="E139" s="19">
        <v>3.3500000000000005</v>
      </c>
      <c r="F139" s="19">
        <v>0.24</v>
      </c>
      <c r="G139" s="19">
        <v>0.27</v>
      </c>
      <c r="H139" s="22"/>
    </row>
    <row r="140" spans="1:8" x14ac:dyDescent="0.35">
      <c r="A140" s="19" t="s">
        <v>166</v>
      </c>
      <c r="B140" s="27" t="s">
        <v>165</v>
      </c>
      <c r="C140" s="29">
        <v>9</v>
      </c>
      <c r="D140" s="19">
        <v>11</v>
      </c>
      <c r="E140" s="19">
        <v>3.7000000000000006</v>
      </c>
      <c r="F140" s="19">
        <v>0.22</v>
      </c>
      <c r="G140" s="19">
        <v>0.26</v>
      </c>
      <c r="H140" s="22"/>
    </row>
    <row r="141" spans="1:8" x14ac:dyDescent="0.35">
      <c r="A141" s="19" t="s">
        <v>166</v>
      </c>
      <c r="B141" s="27" t="s">
        <v>165</v>
      </c>
      <c r="C141" s="29">
        <v>9</v>
      </c>
      <c r="D141" s="19">
        <v>12</v>
      </c>
      <c r="E141" s="19">
        <v>4.0500000000000007</v>
      </c>
      <c r="F141" s="19">
        <v>0.13</v>
      </c>
      <c r="G141" s="19">
        <v>0.18</v>
      </c>
      <c r="H141" s="22"/>
    </row>
    <row r="142" spans="1:8" x14ac:dyDescent="0.35">
      <c r="A142" s="19" t="s">
        <v>166</v>
      </c>
      <c r="B142" s="27" t="s">
        <v>165</v>
      </c>
      <c r="C142" s="29">
        <v>9</v>
      </c>
      <c r="D142" s="19">
        <v>13</v>
      </c>
      <c r="E142" s="19">
        <v>4.4000000000000004</v>
      </c>
      <c r="F142" s="19">
        <v>0.12</v>
      </c>
      <c r="G142" s="19">
        <v>0</v>
      </c>
      <c r="H142" s="22"/>
    </row>
    <row r="143" spans="1:8" x14ac:dyDescent="0.35">
      <c r="A143" s="19" t="s">
        <v>166</v>
      </c>
      <c r="B143" s="27" t="s">
        <v>165</v>
      </c>
      <c r="C143" s="29">
        <v>9</v>
      </c>
      <c r="D143" s="19">
        <v>14</v>
      </c>
      <c r="E143" s="19">
        <v>4.75</v>
      </c>
      <c r="F143" s="19">
        <v>0.1</v>
      </c>
      <c r="G143" s="19">
        <v>0</v>
      </c>
      <c r="H143" s="22"/>
    </row>
    <row r="144" spans="1:8" x14ac:dyDescent="0.35">
      <c r="A144" s="19" t="s">
        <v>166</v>
      </c>
      <c r="B144" s="27" t="s">
        <v>165</v>
      </c>
      <c r="C144" s="29">
        <v>10</v>
      </c>
      <c r="D144" s="19">
        <v>1</v>
      </c>
      <c r="E144" s="19">
        <v>0.2</v>
      </c>
      <c r="F144" s="19">
        <v>0.12</v>
      </c>
      <c r="G144" s="19">
        <v>0</v>
      </c>
      <c r="H144" s="22"/>
    </row>
    <row r="145" spans="1:8" x14ac:dyDescent="0.35">
      <c r="A145" s="19" t="s">
        <v>166</v>
      </c>
      <c r="B145" s="27" t="s">
        <v>165</v>
      </c>
      <c r="C145" s="29">
        <v>10</v>
      </c>
      <c r="D145" s="19">
        <v>2</v>
      </c>
      <c r="E145" s="19">
        <v>0.55000000000000004</v>
      </c>
      <c r="F145" s="19">
        <v>0.19</v>
      </c>
      <c r="G145" s="19">
        <v>0.19</v>
      </c>
      <c r="H145" s="22"/>
    </row>
    <row r="146" spans="1:8" x14ac:dyDescent="0.35">
      <c r="A146" s="19" t="s">
        <v>166</v>
      </c>
      <c r="B146" s="27" t="s">
        <v>165</v>
      </c>
      <c r="C146" s="29">
        <v>10</v>
      </c>
      <c r="D146" s="19">
        <v>3</v>
      </c>
      <c r="E146" s="19">
        <v>0.9</v>
      </c>
      <c r="F146" s="19">
        <v>0.23</v>
      </c>
      <c r="G146" s="19">
        <v>0.25</v>
      </c>
      <c r="H146" s="22"/>
    </row>
    <row r="147" spans="1:8" x14ac:dyDescent="0.35">
      <c r="A147" s="19" t="s">
        <v>166</v>
      </c>
      <c r="B147" s="27" t="s">
        <v>165</v>
      </c>
      <c r="C147" s="29">
        <v>10</v>
      </c>
      <c r="D147" s="19">
        <v>4</v>
      </c>
      <c r="E147" s="19">
        <v>1.25</v>
      </c>
      <c r="F147" s="19">
        <v>0.26</v>
      </c>
      <c r="G147" s="19">
        <v>0.15</v>
      </c>
      <c r="H147" s="22"/>
    </row>
    <row r="148" spans="1:8" x14ac:dyDescent="0.35">
      <c r="A148" s="19" t="s">
        <v>166</v>
      </c>
      <c r="B148" s="27" t="s">
        <v>165</v>
      </c>
      <c r="C148" s="29">
        <v>10</v>
      </c>
      <c r="D148" s="19">
        <v>5</v>
      </c>
      <c r="E148" s="19">
        <v>1.6</v>
      </c>
      <c r="F148" s="19">
        <v>0.4</v>
      </c>
      <c r="G148" s="19">
        <v>0.31</v>
      </c>
      <c r="H148" s="22"/>
    </row>
    <row r="149" spans="1:8" x14ac:dyDescent="0.35">
      <c r="A149" s="19" t="s">
        <v>166</v>
      </c>
      <c r="B149" s="27" t="s">
        <v>165</v>
      </c>
      <c r="C149" s="29">
        <v>10</v>
      </c>
      <c r="D149" s="19">
        <v>6</v>
      </c>
      <c r="E149" s="19">
        <v>1.9500000000000002</v>
      </c>
      <c r="F149" s="19">
        <v>0.53</v>
      </c>
      <c r="G149" s="19">
        <v>0.27</v>
      </c>
      <c r="H149" s="22"/>
    </row>
    <row r="150" spans="1:8" x14ac:dyDescent="0.35">
      <c r="A150" s="19" t="s">
        <v>166</v>
      </c>
      <c r="B150" s="27" t="s">
        <v>165</v>
      </c>
      <c r="C150" s="29">
        <v>10</v>
      </c>
      <c r="D150" s="19">
        <v>7</v>
      </c>
      <c r="E150" s="19">
        <v>2.3000000000000003</v>
      </c>
      <c r="F150" s="19">
        <v>0.5</v>
      </c>
      <c r="G150" s="19">
        <v>0.18</v>
      </c>
      <c r="H150" s="22"/>
    </row>
    <row r="151" spans="1:8" x14ac:dyDescent="0.35">
      <c r="A151" s="19" t="s">
        <v>166</v>
      </c>
      <c r="B151" s="27" t="s">
        <v>165</v>
      </c>
      <c r="C151" s="29">
        <v>10</v>
      </c>
      <c r="D151" s="19">
        <v>8</v>
      </c>
      <c r="E151" s="19">
        <v>2.6500000000000004</v>
      </c>
      <c r="F151" s="19">
        <v>0.48</v>
      </c>
      <c r="G151" s="19">
        <v>0.25</v>
      </c>
      <c r="H151" s="22"/>
    </row>
    <row r="152" spans="1:8" x14ac:dyDescent="0.35">
      <c r="A152" s="19" t="s">
        <v>166</v>
      </c>
      <c r="B152" s="27" t="s">
        <v>165</v>
      </c>
      <c r="C152" s="29">
        <v>10</v>
      </c>
      <c r="D152" s="19">
        <v>9</v>
      </c>
      <c r="E152" s="19">
        <v>3.0000000000000004</v>
      </c>
      <c r="F152" s="19">
        <v>0.37</v>
      </c>
      <c r="G152" s="19">
        <v>0.3</v>
      </c>
      <c r="H152" s="22"/>
    </row>
    <row r="153" spans="1:8" x14ac:dyDescent="0.35">
      <c r="A153" s="19" t="s">
        <v>166</v>
      </c>
      <c r="B153" s="27" t="s">
        <v>165</v>
      </c>
      <c r="C153" s="29">
        <v>10</v>
      </c>
      <c r="D153" s="19">
        <v>10</v>
      </c>
      <c r="E153" s="19">
        <v>3.3500000000000005</v>
      </c>
      <c r="F153" s="19">
        <v>0.24</v>
      </c>
      <c r="G153" s="19">
        <v>0.22</v>
      </c>
      <c r="H153" s="22"/>
    </row>
    <row r="154" spans="1:8" x14ac:dyDescent="0.35">
      <c r="A154" s="19" t="s">
        <v>166</v>
      </c>
      <c r="B154" s="27" t="s">
        <v>165</v>
      </c>
      <c r="C154" s="29">
        <v>10</v>
      </c>
      <c r="D154" s="19">
        <v>11</v>
      </c>
      <c r="E154" s="19">
        <v>3.7000000000000006</v>
      </c>
      <c r="F154" s="19">
        <v>0.26</v>
      </c>
      <c r="G154" s="19">
        <v>0.25</v>
      </c>
      <c r="H154" s="22"/>
    </row>
    <row r="155" spans="1:8" x14ac:dyDescent="0.35">
      <c r="A155" s="19" t="s">
        <v>166</v>
      </c>
      <c r="B155" s="27" t="s">
        <v>165</v>
      </c>
      <c r="C155" s="29">
        <v>10</v>
      </c>
      <c r="D155" s="19">
        <v>12</v>
      </c>
      <c r="E155" s="19">
        <v>4.0500000000000007</v>
      </c>
      <c r="F155" s="19">
        <v>0.23</v>
      </c>
      <c r="G155" s="19">
        <v>0.16</v>
      </c>
      <c r="H155" s="22"/>
    </row>
    <row r="156" spans="1:8" x14ac:dyDescent="0.35">
      <c r="A156" s="19" t="s">
        <v>166</v>
      </c>
      <c r="B156" s="27" t="s">
        <v>165</v>
      </c>
      <c r="C156" s="29">
        <v>10</v>
      </c>
      <c r="D156" s="19">
        <v>13</v>
      </c>
      <c r="E156" s="19">
        <v>4.4000000000000004</v>
      </c>
      <c r="F156" s="19">
        <v>0.14000000000000001</v>
      </c>
      <c r="G156" s="19">
        <v>0.02</v>
      </c>
      <c r="H156" s="22"/>
    </row>
    <row r="157" spans="1:8" x14ac:dyDescent="0.35">
      <c r="A157" s="19" t="s">
        <v>166</v>
      </c>
      <c r="B157" s="27" t="s">
        <v>165</v>
      </c>
      <c r="C157" s="29">
        <v>10</v>
      </c>
      <c r="D157" s="19">
        <v>14</v>
      </c>
      <c r="E157" s="19">
        <v>4.75</v>
      </c>
      <c r="F157" s="19">
        <v>0.09</v>
      </c>
      <c r="G157" s="19">
        <v>0</v>
      </c>
      <c r="H157" s="22"/>
    </row>
    <row r="158" spans="1:8" x14ac:dyDescent="0.35">
      <c r="B158" s="160"/>
      <c r="C158" s="161"/>
      <c r="F158" s="22"/>
      <c r="G158" s="22"/>
      <c r="H158" s="22"/>
    </row>
    <row r="159" spans="1:8" x14ac:dyDescent="0.35">
      <c r="B159" s="160"/>
      <c r="C159" s="161"/>
      <c r="F159" s="22"/>
      <c r="G159" s="22"/>
      <c r="H159" s="22"/>
    </row>
    <row r="160" spans="1:8" x14ac:dyDescent="0.35">
      <c r="B160" s="160"/>
      <c r="C160" s="161"/>
      <c r="F160" s="22"/>
      <c r="G160" s="22"/>
      <c r="H160" s="22"/>
    </row>
    <row r="161" spans="2:8" x14ac:dyDescent="0.35">
      <c r="B161" s="160"/>
      <c r="C161" s="161"/>
      <c r="F161" s="22"/>
      <c r="G161" s="22"/>
      <c r="H161" s="22"/>
    </row>
    <row r="162" spans="2:8" x14ac:dyDescent="0.35">
      <c r="B162" s="160"/>
      <c r="C162" s="161"/>
      <c r="F162" s="22"/>
      <c r="G162" s="22"/>
      <c r="H162" s="22"/>
    </row>
    <row r="163" spans="2:8" x14ac:dyDescent="0.35">
      <c r="B163" s="160"/>
      <c r="C163" s="161"/>
      <c r="F163" s="22"/>
      <c r="G163" s="22"/>
      <c r="H163" s="22"/>
    </row>
    <row r="164" spans="2:8" x14ac:dyDescent="0.35">
      <c r="B164" s="160"/>
      <c r="C164" s="161"/>
      <c r="F164" s="22"/>
      <c r="G164" s="22"/>
      <c r="H164" s="22"/>
    </row>
    <row r="165" spans="2:8" x14ac:dyDescent="0.35">
      <c r="B165" s="160"/>
      <c r="C165" s="161"/>
      <c r="F165" s="22"/>
      <c r="G165" s="22"/>
      <c r="H165" s="22"/>
    </row>
    <row r="166" spans="2:8" x14ac:dyDescent="0.35">
      <c r="B166" s="160"/>
      <c r="C166" s="161"/>
      <c r="F166" s="22"/>
      <c r="G166" s="22"/>
      <c r="H166" s="22"/>
    </row>
    <row r="167" spans="2:8" x14ac:dyDescent="0.35">
      <c r="B167" s="160"/>
      <c r="C167" s="161"/>
      <c r="F167" s="22"/>
      <c r="G167" s="22"/>
      <c r="H167" s="22"/>
    </row>
    <row r="168" spans="2:8" x14ac:dyDescent="0.35">
      <c r="B168" s="160"/>
      <c r="C168" s="161"/>
      <c r="F168" s="22"/>
      <c r="G168" s="22"/>
      <c r="H168" s="22"/>
    </row>
    <row r="169" spans="2:8" x14ac:dyDescent="0.35">
      <c r="B169" s="160"/>
      <c r="C169" s="161"/>
      <c r="F169" s="22"/>
      <c r="G169" s="22"/>
      <c r="H169" s="22"/>
    </row>
    <row r="170" spans="2:8" x14ac:dyDescent="0.35">
      <c r="B170" s="160"/>
      <c r="C170" s="161"/>
      <c r="F170" s="22"/>
      <c r="G170" s="22"/>
      <c r="H170" s="22"/>
    </row>
    <row r="171" spans="2:8" x14ac:dyDescent="0.35">
      <c r="B171" s="160"/>
      <c r="C171" s="161"/>
      <c r="F171" s="22"/>
      <c r="G171" s="22"/>
      <c r="H171" s="22"/>
    </row>
    <row r="172" spans="2:8" x14ac:dyDescent="0.35">
      <c r="B172" s="160"/>
      <c r="C172" s="161"/>
      <c r="F172" s="22"/>
      <c r="G172" s="22"/>
      <c r="H172" s="22"/>
    </row>
    <row r="173" spans="2:8" x14ac:dyDescent="0.35">
      <c r="B173" s="160"/>
      <c r="C173" s="161"/>
      <c r="F173" s="22"/>
      <c r="G173" s="22"/>
      <c r="H173" s="22"/>
    </row>
    <row r="174" spans="2:8" x14ac:dyDescent="0.35">
      <c r="B174" s="160"/>
      <c r="C174" s="161"/>
      <c r="F174" s="22"/>
      <c r="G174" s="22"/>
      <c r="H174" s="22"/>
    </row>
    <row r="175" spans="2:8" x14ac:dyDescent="0.35">
      <c r="B175" s="160"/>
      <c r="C175" s="161"/>
      <c r="F175" s="22"/>
      <c r="G175" s="22"/>
      <c r="H175" s="22"/>
    </row>
    <row r="176" spans="2:8" x14ac:dyDescent="0.35">
      <c r="B176" s="160"/>
      <c r="C176" s="161"/>
      <c r="F176" s="22"/>
      <c r="G176" s="22"/>
      <c r="H176" s="22"/>
    </row>
    <row r="177" spans="2:8" x14ac:dyDescent="0.35">
      <c r="B177" s="160"/>
      <c r="C177" s="161"/>
      <c r="F177" s="22"/>
      <c r="G177" s="22"/>
      <c r="H177" s="22"/>
    </row>
    <row r="178" spans="2:8" x14ac:dyDescent="0.35">
      <c r="B178" s="160"/>
      <c r="C178" s="161"/>
      <c r="F178" s="22"/>
      <c r="G178" s="22"/>
      <c r="H178" s="22"/>
    </row>
    <row r="179" spans="2:8" x14ac:dyDescent="0.35">
      <c r="B179" s="160"/>
      <c r="C179" s="161"/>
      <c r="F179" s="22"/>
      <c r="G179" s="22"/>
      <c r="H179" s="22"/>
    </row>
    <row r="180" spans="2:8" x14ac:dyDescent="0.35">
      <c r="B180" s="160"/>
      <c r="C180" s="161"/>
      <c r="F180" s="22"/>
      <c r="G180" s="22"/>
      <c r="H180" s="22"/>
    </row>
    <row r="181" spans="2:8" x14ac:dyDescent="0.35">
      <c r="B181" s="160"/>
      <c r="C181" s="161"/>
      <c r="F181" s="22"/>
      <c r="G181" s="22"/>
      <c r="H181" s="22"/>
    </row>
    <row r="182" spans="2:8" x14ac:dyDescent="0.35">
      <c r="B182" s="160"/>
      <c r="C182" s="161"/>
      <c r="F182" s="22"/>
      <c r="G182" s="22"/>
      <c r="H182" s="22"/>
    </row>
    <row r="183" spans="2:8" x14ac:dyDescent="0.35">
      <c r="B183" s="160"/>
      <c r="C183" s="161"/>
      <c r="F183" s="22"/>
      <c r="G183" s="22"/>
      <c r="H183" s="22"/>
    </row>
    <row r="184" spans="2:8" x14ac:dyDescent="0.35">
      <c r="B184" s="160"/>
      <c r="C184" s="161"/>
      <c r="F184" s="22"/>
      <c r="G184" s="22"/>
      <c r="H184" s="22"/>
    </row>
    <row r="185" spans="2:8" x14ac:dyDescent="0.35">
      <c r="B185" s="160"/>
      <c r="C185" s="161"/>
      <c r="F185" s="22"/>
      <c r="G185" s="22"/>
      <c r="H185" s="22"/>
    </row>
    <row r="186" spans="2:8" x14ac:dyDescent="0.35">
      <c r="B186" s="160"/>
      <c r="C186" s="161"/>
      <c r="F186" s="22"/>
      <c r="G186" s="22"/>
      <c r="H186" s="22"/>
    </row>
    <row r="187" spans="2:8" x14ac:dyDescent="0.35">
      <c r="B187" s="160"/>
      <c r="C187" s="161"/>
      <c r="F187" s="22"/>
      <c r="G187" s="22"/>
      <c r="H187" s="22"/>
    </row>
    <row r="188" spans="2:8" x14ac:dyDescent="0.35">
      <c r="B188" s="160"/>
      <c r="C188" s="161"/>
      <c r="F188" s="22"/>
      <c r="G188" s="22"/>
      <c r="H188" s="22"/>
    </row>
    <row r="189" spans="2:8" x14ac:dyDescent="0.35">
      <c r="B189" s="160"/>
      <c r="C189" s="161"/>
      <c r="F189" s="22"/>
      <c r="G189" s="22"/>
      <c r="H189" s="22"/>
    </row>
    <row r="190" spans="2:8" x14ac:dyDescent="0.35">
      <c r="B190" s="160"/>
      <c r="C190" s="161"/>
      <c r="F190" s="22"/>
      <c r="G190" s="22"/>
      <c r="H190" s="22"/>
    </row>
    <row r="191" spans="2:8" x14ac:dyDescent="0.35">
      <c r="B191" s="160"/>
      <c r="C191" s="161"/>
      <c r="F191" s="22"/>
      <c r="G191" s="22"/>
      <c r="H191" s="22"/>
    </row>
    <row r="192" spans="2:8" x14ac:dyDescent="0.35">
      <c r="B192" s="160"/>
      <c r="C192" s="161"/>
      <c r="F192" s="22"/>
      <c r="G192" s="22"/>
      <c r="H192" s="22"/>
    </row>
    <row r="193" spans="2:8" x14ac:dyDescent="0.35">
      <c r="B193" s="160"/>
      <c r="C193" s="161"/>
      <c r="F193" s="22"/>
      <c r="G193" s="22"/>
      <c r="H193" s="22"/>
    </row>
    <row r="194" spans="2:8" x14ac:dyDescent="0.35">
      <c r="B194" s="160"/>
      <c r="C194" s="161"/>
      <c r="F194" s="22"/>
      <c r="G194" s="22"/>
      <c r="H194" s="22"/>
    </row>
    <row r="195" spans="2:8" x14ac:dyDescent="0.35">
      <c r="B195" s="160"/>
      <c r="C195" s="161"/>
      <c r="F195" s="22"/>
      <c r="G195" s="22"/>
      <c r="H195" s="22"/>
    </row>
    <row r="196" spans="2:8" x14ac:dyDescent="0.35">
      <c r="B196" s="160"/>
      <c r="C196" s="161"/>
      <c r="F196" s="22"/>
      <c r="G196" s="22"/>
      <c r="H196" s="22"/>
    </row>
    <row r="197" spans="2:8" x14ac:dyDescent="0.35">
      <c r="B197" s="160"/>
      <c r="C197" s="161"/>
      <c r="F197" s="22"/>
      <c r="G197" s="22"/>
      <c r="H197" s="22"/>
    </row>
    <row r="198" spans="2:8" x14ac:dyDescent="0.35">
      <c r="B198" s="160"/>
      <c r="C198" s="161"/>
      <c r="F198" s="22"/>
      <c r="G198" s="22"/>
      <c r="H198" s="22"/>
    </row>
    <row r="199" spans="2:8" x14ac:dyDescent="0.35">
      <c r="B199" s="160"/>
      <c r="C199" s="161"/>
      <c r="F199" s="22"/>
      <c r="G199" s="22"/>
      <c r="H199" s="22"/>
    </row>
    <row r="200" spans="2:8" x14ac:dyDescent="0.35">
      <c r="B200" s="160"/>
      <c r="C200" s="161"/>
      <c r="F200" s="22"/>
      <c r="G200" s="22"/>
      <c r="H200" s="22"/>
    </row>
    <row r="201" spans="2:8" x14ac:dyDescent="0.35">
      <c r="B201" s="160"/>
      <c r="C201" s="161"/>
      <c r="F201" s="22"/>
      <c r="G201" s="22"/>
      <c r="H201" s="22"/>
    </row>
    <row r="202" spans="2:8" x14ac:dyDescent="0.35">
      <c r="B202" s="160"/>
      <c r="C202" s="161"/>
      <c r="F202" s="22"/>
      <c r="G202" s="22"/>
      <c r="H202" s="22"/>
    </row>
    <row r="203" spans="2:8" x14ac:dyDescent="0.35">
      <c r="B203" s="160"/>
      <c r="C203" s="161"/>
      <c r="F203" s="22"/>
      <c r="G203" s="22"/>
      <c r="H203" s="22"/>
    </row>
    <row r="204" spans="2:8" x14ac:dyDescent="0.35">
      <c r="B204" s="160"/>
      <c r="C204" s="161"/>
      <c r="F204" s="22"/>
      <c r="G204" s="22"/>
      <c r="H204" s="22"/>
    </row>
    <row r="205" spans="2:8" x14ac:dyDescent="0.35">
      <c r="B205" s="160"/>
      <c r="C205" s="161"/>
      <c r="F205" s="22"/>
      <c r="G205" s="22"/>
      <c r="H205" s="22"/>
    </row>
    <row r="206" spans="2:8" x14ac:dyDescent="0.35">
      <c r="B206" s="160"/>
      <c r="C206" s="161"/>
      <c r="F206" s="22"/>
      <c r="G206" s="22"/>
      <c r="H206" s="22"/>
    </row>
    <row r="207" spans="2:8" x14ac:dyDescent="0.35">
      <c r="B207" s="160"/>
      <c r="C207" s="161"/>
      <c r="F207" s="22"/>
      <c r="G207" s="22"/>
      <c r="H207" s="22"/>
    </row>
    <row r="208" spans="2:8" x14ac:dyDescent="0.35">
      <c r="B208" s="160"/>
      <c r="C208" s="161"/>
      <c r="F208" s="22"/>
      <c r="G208" s="22"/>
      <c r="H208" s="22"/>
    </row>
    <row r="209" spans="2:8" x14ac:dyDescent="0.35">
      <c r="B209" s="160"/>
      <c r="C209" s="161"/>
      <c r="F209" s="22"/>
      <c r="G209" s="22"/>
      <c r="H209" s="22"/>
    </row>
    <row r="210" spans="2:8" x14ac:dyDescent="0.35">
      <c r="B210" s="160"/>
      <c r="C210" s="161"/>
      <c r="F210" s="22"/>
      <c r="G210" s="22"/>
      <c r="H210" s="22"/>
    </row>
    <row r="211" spans="2:8" x14ac:dyDescent="0.35">
      <c r="B211" s="160"/>
      <c r="C211" s="161"/>
      <c r="F211" s="22"/>
      <c r="G211" s="22"/>
      <c r="H211" s="22"/>
    </row>
    <row r="212" spans="2:8" x14ac:dyDescent="0.35">
      <c r="B212" s="160"/>
      <c r="C212" s="161"/>
      <c r="F212" s="22"/>
      <c r="G212" s="22"/>
      <c r="H212" s="22"/>
    </row>
    <row r="213" spans="2:8" x14ac:dyDescent="0.35">
      <c r="B213" s="160"/>
      <c r="C213" s="161"/>
      <c r="F213" s="22"/>
      <c r="G213" s="22"/>
      <c r="H213" s="22"/>
    </row>
    <row r="214" spans="2:8" x14ac:dyDescent="0.35">
      <c r="B214" s="160"/>
      <c r="C214" s="161"/>
      <c r="F214" s="22"/>
      <c r="G214" s="22"/>
      <c r="H214" s="22"/>
    </row>
    <row r="215" spans="2:8" x14ac:dyDescent="0.35">
      <c r="B215" s="160"/>
      <c r="C215" s="161"/>
      <c r="F215" s="22"/>
      <c r="G215" s="22"/>
      <c r="H215" s="22"/>
    </row>
    <row r="216" spans="2:8" x14ac:dyDescent="0.35">
      <c r="B216" s="160"/>
      <c r="C216" s="161"/>
      <c r="F216" s="22"/>
      <c r="G216" s="22"/>
      <c r="H216" s="22"/>
    </row>
    <row r="217" spans="2:8" x14ac:dyDescent="0.35">
      <c r="B217" s="160"/>
      <c r="C217" s="161"/>
      <c r="F217" s="22"/>
      <c r="G217" s="22"/>
      <c r="H217" s="22"/>
    </row>
    <row r="218" spans="2:8" x14ac:dyDescent="0.35">
      <c r="B218" s="160"/>
      <c r="C218" s="161"/>
      <c r="F218" s="22"/>
      <c r="G218" s="22"/>
      <c r="H218" s="22"/>
    </row>
    <row r="219" spans="2:8" x14ac:dyDescent="0.35">
      <c r="B219" s="160"/>
      <c r="C219" s="161"/>
      <c r="F219" s="22"/>
      <c r="G219" s="22"/>
      <c r="H219" s="22"/>
    </row>
    <row r="220" spans="2:8" x14ac:dyDescent="0.35">
      <c r="B220" s="160"/>
      <c r="C220" s="161"/>
      <c r="F220" s="22"/>
      <c r="G220" s="22"/>
      <c r="H220" s="22"/>
    </row>
    <row r="221" spans="2:8" x14ac:dyDescent="0.35">
      <c r="B221" s="160"/>
      <c r="C221" s="161"/>
      <c r="F221" s="22"/>
      <c r="G221" s="22"/>
      <c r="H221" s="22"/>
    </row>
    <row r="222" spans="2:8" x14ac:dyDescent="0.35">
      <c r="B222" s="160"/>
      <c r="C222" s="161"/>
      <c r="F222" s="22"/>
      <c r="G222" s="22"/>
      <c r="H222" s="22"/>
    </row>
    <row r="223" spans="2:8" x14ac:dyDescent="0.35">
      <c r="B223" s="160"/>
      <c r="C223" s="161"/>
      <c r="F223" s="22"/>
      <c r="G223" s="22"/>
      <c r="H223" s="22"/>
    </row>
    <row r="224" spans="2:8" x14ac:dyDescent="0.35">
      <c r="B224" s="160"/>
      <c r="C224" s="161"/>
      <c r="F224" s="22"/>
      <c r="G224" s="22"/>
      <c r="H224" s="22"/>
    </row>
    <row r="225" spans="2:8" x14ac:dyDescent="0.35">
      <c r="B225" s="160"/>
      <c r="C225" s="161"/>
      <c r="F225" s="22"/>
      <c r="G225" s="22"/>
      <c r="H225" s="22"/>
    </row>
    <row r="226" spans="2:8" x14ac:dyDescent="0.35">
      <c r="B226" s="160"/>
      <c r="C226" s="161"/>
      <c r="F226" s="22"/>
      <c r="G226" s="22"/>
      <c r="H226" s="22"/>
    </row>
    <row r="227" spans="2:8" x14ac:dyDescent="0.35">
      <c r="B227" s="160"/>
      <c r="C227" s="161"/>
      <c r="F227" s="22"/>
      <c r="G227" s="22"/>
      <c r="H227" s="22"/>
    </row>
    <row r="228" spans="2:8" x14ac:dyDescent="0.35">
      <c r="B228" s="160"/>
      <c r="C228" s="161"/>
      <c r="F228" s="22"/>
      <c r="G228" s="22"/>
      <c r="H228" s="22"/>
    </row>
    <row r="229" spans="2:8" x14ac:dyDescent="0.35">
      <c r="B229" s="160"/>
      <c r="C229" s="161"/>
      <c r="F229" s="22"/>
      <c r="G229" s="22"/>
      <c r="H229" s="22"/>
    </row>
    <row r="230" spans="2:8" x14ac:dyDescent="0.35">
      <c r="B230" s="160"/>
      <c r="C230" s="161"/>
      <c r="F230" s="22"/>
      <c r="G230" s="22"/>
      <c r="H230" s="22"/>
    </row>
    <row r="231" spans="2:8" x14ac:dyDescent="0.35">
      <c r="B231" s="160"/>
      <c r="C231" s="161"/>
      <c r="F231" s="22"/>
      <c r="G231" s="22"/>
      <c r="H231" s="22"/>
    </row>
    <row r="232" spans="2:8" x14ac:dyDescent="0.35">
      <c r="B232" s="160"/>
      <c r="C232" s="161"/>
      <c r="F232" s="22"/>
      <c r="G232" s="22"/>
      <c r="H232" s="22"/>
    </row>
    <row r="233" spans="2:8" x14ac:dyDescent="0.35">
      <c r="B233" s="160"/>
      <c r="C233" s="161"/>
      <c r="F233" s="22"/>
      <c r="G233" s="22"/>
      <c r="H233" s="22"/>
    </row>
    <row r="234" spans="2:8" x14ac:dyDescent="0.35">
      <c r="B234" s="160"/>
      <c r="C234" s="161"/>
      <c r="F234" s="22"/>
      <c r="G234" s="22"/>
      <c r="H234" s="22"/>
    </row>
    <row r="235" spans="2:8" x14ac:dyDescent="0.35">
      <c r="B235" s="160"/>
      <c r="C235" s="161"/>
      <c r="F235" s="22"/>
      <c r="G235" s="22"/>
      <c r="H235" s="22"/>
    </row>
    <row r="236" spans="2:8" x14ac:dyDescent="0.35">
      <c r="B236" s="160"/>
      <c r="C236" s="161"/>
      <c r="F236" s="22"/>
      <c r="G236" s="22"/>
      <c r="H236" s="22"/>
    </row>
    <row r="237" spans="2:8" x14ac:dyDescent="0.35">
      <c r="B237" s="160"/>
      <c r="C237" s="161"/>
      <c r="F237" s="22"/>
      <c r="G237" s="22"/>
      <c r="H237" s="22"/>
    </row>
    <row r="238" spans="2:8" x14ac:dyDescent="0.35">
      <c r="B238" s="160"/>
      <c r="C238" s="161"/>
      <c r="F238" s="22"/>
      <c r="G238" s="22"/>
      <c r="H238" s="22"/>
    </row>
    <row r="239" spans="2:8" x14ac:dyDescent="0.35">
      <c r="B239" s="160"/>
      <c r="C239" s="161"/>
      <c r="F239" s="22"/>
      <c r="G239" s="22"/>
      <c r="H239" s="22"/>
    </row>
    <row r="240" spans="2:8" x14ac:dyDescent="0.35">
      <c r="B240" s="160"/>
      <c r="C240" s="161"/>
      <c r="F240" s="22"/>
      <c r="G240" s="22"/>
      <c r="H240" s="22"/>
    </row>
    <row r="241" spans="2:8" x14ac:dyDescent="0.35">
      <c r="B241" s="160"/>
      <c r="C241" s="161"/>
      <c r="F241" s="22"/>
      <c r="G241" s="22"/>
      <c r="H241" s="22"/>
    </row>
    <row r="242" spans="2:8" x14ac:dyDescent="0.35">
      <c r="F242" s="22"/>
      <c r="G242" s="22"/>
      <c r="H242" s="22"/>
    </row>
  </sheetData>
  <dataValidations count="1">
    <dataValidation type="decimal" operator="greaterThan" allowBlank="1" showInputMessage="1" showErrorMessage="1" errorTitle="Achtung Eingabebereich" error="&gt;0 [Dezimalzahl]" sqref="J8:J18 O6" xr:uid="{00000000-0002-0000-0200-000000000000}">
      <formula1>0</formula1>
    </dataValidation>
  </dataValidations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J50"/>
  <sheetViews>
    <sheetView zoomScaleNormal="100" workbookViewId="0">
      <selection activeCell="I8" sqref="I8"/>
    </sheetView>
  </sheetViews>
  <sheetFormatPr baseColWidth="10" defaultColWidth="11.453125" defaultRowHeight="14.5" x14ac:dyDescent="0.35"/>
  <cols>
    <col min="1" max="1" width="12.1796875" style="42" customWidth="1"/>
    <col min="2" max="2" width="12.453125" style="42" bestFit="1" customWidth="1"/>
    <col min="3" max="3" width="29.54296875" style="42" customWidth="1"/>
    <col min="4" max="4" width="12.81640625" style="42" customWidth="1"/>
    <col min="5" max="5" width="11.54296875" style="42" bestFit="1" customWidth="1"/>
    <col min="6" max="6" width="19" style="42" customWidth="1"/>
    <col min="7" max="7" width="10" style="47" customWidth="1"/>
    <col min="8" max="8" width="81.453125" style="47" bestFit="1" customWidth="1"/>
    <col min="9" max="9" width="36" style="47" bestFit="1" customWidth="1"/>
    <col min="10" max="10" width="67.54296875" style="42" bestFit="1" customWidth="1"/>
    <col min="11" max="16384" width="11.453125" style="42"/>
  </cols>
  <sheetData>
    <row r="1" spans="1:10" ht="26" x14ac:dyDescent="0.35">
      <c r="A1" s="41" t="s">
        <v>167</v>
      </c>
      <c r="B1" s="179"/>
      <c r="E1" s="179"/>
      <c r="G1" s="26" t="s">
        <v>175</v>
      </c>
    </row>
    <row r="2" spans="1:10" s="47" customFormat="1" x14ac:dyDescent="0.35">
      <c r="A2" s="129" t="s">
        <v>285</v>
      </c>
      <c r="B2" s="179"/>
      <c r="C2" s="42"/>
      <c r="D2" s="42"/>
      <c r="E2" s="179"/>
      <c r="G2" s="13"/>
    </row>
    <row r="3" spans="1:10" x14ac:dyDescent="0.35">
      <c r="B3" s="179"/>
      <c r="E3" s="179"/>
      <c r="G3" s="60"/>
    </row>
    <row r="4" spans="1:10" x14ac:dyDescent="0.35">
      <c r="A4" s="43" t="s">
        <v>168</v>
      </c>
      <c r="B4" s="179"/>
      <c r="E4" s="179"/>
      <c r="G4" s="13" t="s">
        <v>176</v>
      </c>
    </row>
    <row r="5" spans="1:10" x14ac:dyDescent="0.35">
      <c r="A5" s="53" t="s">
        <v>169</v>
      </c>
      <c r="B5" s="179"/>
      <c r="D5" s="53" t="s">
        <v>170</v>
      </c>
      <c r="E5" s="179"/>
    </row>
    <row r="6" spans="1:10" x14ac:dyDescent="0.35">
      <c r="B6" s="179"/>
      <c r="E6" s="179"/>
    </row>
    <row r="7" spans="1:10" x14ac:dyDescent="0.35">
      <c r="A7" s="15" t="s">
        <v>171</v>
      </c>
      <c r="B7" s="180" t="s">
        <v>172</v>
      </c>
      <c r="D7" s="15" t="s">
        <v>173</v>
      </c>
      <c r="E7" s="180" t="s">
        <v>174</v>
      </c>
      <c r="G7" s="45" t="s">
        <v>38</v>
      </c>
      <c r="H7" s="45" t="s">
        <v>177</v>
      </c>
      <c r="I7" s="45">
        <v>100</v>
      </c>
      <c r="J7" s="53"/>
    </row>
    <row r="8" spans="1:10" x14ac:dyDescent="0.35">
      <c r="A8" s="50">
        <v>11</v>
      </c>
      <c r="B8" s="143">
        <v>0.21349000000000001</v>
      </c>
      <c r="D8" s="7">
        <v>5</v>
      </c>
      <c r="E8" s="144">
        <v>0.695102</v>
      </c>
      <c r="G8" s="45" t="s">
        <v>0</v>
      </c>
      <c r="H8" s="45" t="s">
        <v>155</v>
      </c>
      <c r="I8" s="55">
        <f>'Indicateurs 1.3 + 1.4'!O6</f>
        <v>4.7963636363636359</v>
      </c>
      <c r="J8" s="53"/>
    </row>
    <row r="9" spans="1:10" x14ac:dyDescent="0.35">
      <c r="A9" s="50">
        <v>11</v>
      </c>
      <c r="B9" s="143">
        <v>0.26189200000000001</v>
      </c>
      <c r="D9" s="7">
        <v>5</v>
      </c>
      <c r="E9" s="144">
        <v>0.84504000000000001</v>
      </c>
      <c r="G9" s="45" t="s">
        <v>34</v>
      </c>
      <c r="H9" s="45" t="s">
        <v>178</v>
      </c>
      <c r="I9" s="190">
        <f>I8*I7</f>
        <v>479.63636363636357</v>
      </c>
    </row>
    <row r="10" spans="1:10" x14ac:dyDescent="0.35">
      <c r="A10" s="50">
        <v>1</v>
      </c>
      <c r="B10" s="143">
        <v>0.40399200000000002</v>
      </c>
      <c r="D10" s="7">
        <v>7</v>
      </c>
      <c r="E10" s="144">
        <v>1.1414599999999999</v>
      </c>
      <c r="G10" s="44"/>
      <c r="H10" s="44" t="s">
        <v>179</v>
      </c>
      <c r="I10" s="190">
        <f>I9+SUM(E8:E12)</f>
        <v>484.16819563636358</v>
      </c>
    </row>
    <row r="11" spans="1:10" x14ac:dyDescent="0.35">
      <c r="A11" s="50">
        <v>1</v>
      </c>
      <c r="B11" s="143">
        <v>0.244313</v>
      </c>
      <c r="D11" s="7">
        <v>7</v>
      </c>
      <c r="E11" s="144">
        <v>1.85023</v>
      </c>
      <c r="G11" s="57"/>
      <c r="H11" s="44" t="s">
        <v>180</v>
      </c>
      <c r="I11" s="190">
        <f>SUM(B:B,E:E)</f>
        <v>291.84589999999992</v>
      </c>
      <c r="J11" s="53"/>
    </row>
    <row r="12" spans="1:10" x14ac:dyDescent="0.35">
      <c r="A12" s="50">
        <v>11</v>
      </c>
      <c r="B12" s="143">
        <v>2.6715</v>
      </c>
      <c r="D12" s="162"/>
      <c r="E12" s="163"/>
      <c r="G12" s="57" t="s">
        <v>1</v>
      </c>
      <c r="H12" s="44" t="s">
        <v>181</v>
      </c>
      <c r="I12" s="55">
        <f>I11/I10*100</f>
        <v>60.277792434592691</v>
      </c>
      <c r="J12" s="53"/>
    </row>
    <row r="13" spans="1:10" x14ac:dyDescent="0.35">
      <c r="A13" s="50">
        <v>11</v>
      </c>
      <c r="B13" s="143">
        <v>2.6716700000000002</v>
      </c>
      <c r="D13" s="162"/>
      <c r="E13" s="163"/>
      <c r="G13" s="57" t="s">
        <v>2</v>
      </c>
      <c r="H13" s="51" t="s">
        <v>182</v>
      </c>
      <c r="I13" s="48">
        <v>70</v>
      </c>
    </row>
    <row r="14" spans="1:10" x14ac:dyDescent="0.35">
      <c r="A14" s="50">
        <v>1</v>
      </c>
      <c r="B14" s="143">
        <v>0.29110000000000003</v>
      </c>
      <c r="G14" s="57" t="s">
        <v>3</v>
      </c>
      <c r="H14" s="44" t="s">
        <v>183</v>
      </c>
      <c r="I14" s="52" t="s">
        <v>187</v>
      </c>
    </row>
    <row r="15" spans="1:10" x14ac:dyDescent="0.35">
      <c r="A15" s="50">
        <v>1</v>
      </c>
      <c r="B15" s="143">
        <v>0.71029900000000001</v>
      </c>
      <c r="G15" s="57" t="s">
        <v>4</v>
      </c>
      <c r="H15" s="44" t="s">
        <v>184</v>
      </c>
      <c r="I15" s="54">
        <f>((I12/I13)*100)</f>
        <v>86.111132049418131</v>
      </c>
    </row>
    <row r="16" spans="1:10" x14ac:dyDescent="0.35">
      <c r="A16" s="50">
        <v>1</v>
      </c>
      <c r="B16" s="143">
        <v>0.829874</v>
      </c>
      <c r="D16" s="56"/>
      <c r="G16" s="57"/>
      <c r="H16" s="45" t="s">
        <v>185</v>
      </c>
      <c r="I16" s="55">
        <f>100-I15</f>
        <v>13.888867950581869</v>
      </c>
    </row>
    <row r="17" spans="1:9" x14ac:dyDescent="0.35">
      <c r="A17" s="50">
        <v>11</v>
      </c>
      <c r="B17" s="143">
        <v>0.58112600000000003</v>
      </c>
      <c r="D17" s="56"/>
      <c r="G17" s="57" t="s">
        <v>5</v>
      </c>
      <c r="H17" s="8" t="s">
        <v>186</v>
      </c>
      <c r="I17" s="168">
        <f>IF((ABS(I16))&gt;80,0,IF(AND((ABS(I16))&lt;80,(ABS(I16))&gt;50),0.25,IF(AND((ABS(I16))&lt;50,(ABS(I16))&gt;30),0.5,IF(AND((ABS(I16))&lt;30,(ABS(I16))&gt;10),0.75,1))))</f>
        <v>0.75</v>
      </c>
    </row>
    <row r="18" spans="1:9" x14ac:dyDescent="0.35">
      <c r="A18" s="50">
        <v>1</v>
      </c>
      <c r="B18" s="143">
        <v>10.401899999999999</v>
      </c>
      <c r="D18" s="56"/>
    </row>
    <row r="19" spans="1:9" x14ac:dyDescent="0.35">
      <c r="A19" s="50">
        <v>1</v>
      </c>
      <c r="B19" s="143">
        <v>1.2334499999999999</v>
      </c>
      <c r="C19" s="46"/>
      <c r="D19" s="56"/>
      <c r="E19" s="46"/>
      <c r="F19" s="46"/>
    </row>
    <row r="20" spans="1:9" x14ac:dyDescent="0.35">
      <c r="A20" s="50">
        <v>11</v>
      </c>
      <c r="B20" s="143">
        <v>5.6161199999999996</v>
      </c>
      <c r="D20" s="56"/>
      <c r="G20" s="11"/>
      <c r="H20" s="13"/>
      <c r="I20" s="38"/>
    </row>
    <row r="21" spans="1:9" x14ac:dyDescent="0.35">
      <c r="A21" s="50">
        <v>1</v>
      </c>
      <c r="B21" s="143">
        <v>0.49803399999999998</v>
      </c>
    </row>
    <row r="22" spans="1:9" x14ac:dyDescent="0.35">
      <c r="A22" s="50">
        <v>5</v>
      </c>
      <c r="B22" s="143">
        <v>0.49718600000000002</v>
      </c>
    </row>
    <row r="23" spans="1:9" x14ac:dyDescent="0.35">
      <c r="A23" s="50">
        <v>1</v>
      </c>
      <c r="B23" s="143">
        <v>1.6430800000000001</v>
      </c>
    </row>
    <row r="24" spans="1:9" x14ac:dyDescent="0.35">
      <c r="A24" s="50">
        <v>11</v>
      </c>
      <c r="B24" s="143">
        <v>7.46</v>
      </c>
    </row>
    <row r="25" spans="1:9" x14ac:dyDescent="0.35">
      <c r="A25" s="50">
        <v>1</v>
      </c>
      <c r="B25" s="143">
        <v>0.54662299999999997</v>
      </c>
    </row>
    <row r="26" spans="1:9" x14ac:dyDescent="0.35">
      <c r="A26" s="50">
        <v>1</v>
      </c>
      <c r="B26" s="143">
        <v>0.77589900000000001</v>
      </c>
    </row>
    <row r="27" spans="1:9" x14ac:dyDescent="0.35">
      <c r="A27" s="50">
        <v>11</v>
      </c>
      <c r="B27" s="143">
        <v>2.47567</v>
      </c>
    </row>
    <row r="28" spans="1:9" x14ac:dyDescent="0.35">
      <c r="A28" s="50">
        <v>7</v>
      </c>
      <c r="B28" s="143">
        <v>5.16967</v>
      </c>
    </row>
    <row r="29" spans="1:9" x14ac:dyDescent="0.35">
      <c r="A29" s="50">
        <v>11</v>
      </c>
      <c r="B29" s="143">
        <v>3.8359200000000002</v>
      </c>
    </row>
    <row r="30" spans="1:9" x14ac:dyDescent="0.35">
      <c r="A30" s="50">
        <v>11</v>
      </c>
      <c r="B30" s="143">
        <v>1.3345</v>
      </c>
    </row>
    <row r="31" spans="1:9" x14ac:dyDescent="0.35">
      <c r="A31" s="50">
        <v>13</v>
      </c>
      <c r="B31" s="143">
        <v>3.5737700000000001</v>
      </c>
    </row>
    <row r="32" spans="1:9" x14ac:dyDescent="0.35">
      <c r="A32" s="50">
        <v>10</v>
      </c>
      <c r="B32" s="143">
        <v>204.55699999999999</v>
      </c>
    </row>
    <row r="33" spans="1:2" x14ac:dyDescent="0.35">
      <c r="A33" s="50">
        <v>11</v>
      </c>
      <c r="B33" s="143">
        <v>8.4757099999999994</v>
      </c>
    </row>
    <row r="34" spans="1:2" x14ac:dyDescent="0.35">
      <c r="A34" s="50">
        <v>11</v>
      </c>
      <c r="B34" s="143">
        <v>8.1284100000000006</v>
      </c>
    </row>
    <row r="35" spans="1:2" x14ac:dyDescent="0.35">
      <c r="A35" s="50">
        <v>11</v>
      </c>
      <c r="B35" s="143">
        <v>2.7338900000000002</v>
      </c>
    </row>
    <row r="36" spans="1:2" x14ac:dyDescent="0.35">
      <c r="A36" s="50">
        <v>10</v>
      </c>
      <c r="B36" s="143">
        <v>9.4779800000000005</v>
      </c>
    </row>
    <row r="37" spans="1:2" x14ac:dyDescent="0.35">
      <c r="A37" s="50"/>
      <c r="B37" s="50"/>
    </row>
    <row r="38" spans="1:2" x14ac:dyDescent="0.35">
      <c r="A38" s="50"/>
      <c r="B38" s="50"/>
    </row>
    <row r="39" spans="1:2" x14ac:dyDescent="0.35">
      <c r="A39" s="50"/>
      <c r="B39" s="50"/>
    </row>
    <row r="40" spans="1:2" x14ac:dyDescent="0.35">
      <c r="A40" s="50"/>
      <c r="B40" s="50"/>
    </row>
    <row r="41" spans="1:2" x14ac:dyDescent="0.35">
      <c r="A41" s="49"/>
      <c r="B41" s="49"/>
    </row>
    <row r="42" spans="1:2" x14ac:dyDescent="0.35">
      <c r="A42" s="49"/>
      <c r="B42" s="49"/>
    </row>
    <row r="43" spans="1:2" x14ac:dyDescent="0.35">
      <c r="A43" s="49"/>
      <c r="B43" s="49"/>
    </row>
    <row r="44" spans="1:2" x14ac:dyDescent="0.35">
      <c r="A44" s="49"/>
      <c r="B44" s="49"/>
    </row>
    <row r="45" spans="1:2" x14ac:dyDescent="0.35">
      <c r="A45" s="49"/>
      <c r="B45" s="49"/>
    </row>
    <row r="46" spans="1:2" x14ac:dyDescent="0.35">
      <c r="A46" s="49"/>
      <c r="B46" s="49"/>
    </row>
    <row r="47" spans="1:2" x14ac:dyDescent="0.35">
      <c r="A47" s="49"/>
      <c r="B47" s="49"/>
    </row>
    <row r="48" spans="1:2" x14ac:dyDescent="0.35">
      <c r="A48" s="49"/>
      <c r="B48" s="49"/>
    </row>
    <row r="49" spans="1:2" x14ac:dyDescent="0.35">
      <c r="A49" s="49"/>
      <c r="B49" s="49"/>
    </row>
    <row r="50" spans="1:2" x14ac:dyDescent="0.35">
      <c r="A50" s="49"/>
      <c r="B50" s="49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M80"/>
  <sheetViews>
    <sheetView zoomScaleNormal="100" workbookViewId="0"/>
  </sheetViews>
  <sheetFormatPr baseColWidth="10" defaultColWidth="11.453125" defaultRowHeight="14.5" x14ac:dyDescent="0.35"/>
  <cols>
    <col min="1" max="1" width="12.26953125" customWidth="1"/>
    <col min="2" max="2" width="12.453125" customWidth="1"/>
    <col min="3" max="3" width="11.453125" customWidth="1"/>
    <col min="5" max="5" width="42.26953125" style="59" customWidth="1"/>
    <col min="6" max="6" width="51.453125" bestFit="1" customWidth="1"/>
    <col min="7" max="7" width="15.1796875" customWidth="1"/>
    <col min="8" max="8" width="27.453125" bestFit="1" customWidth="1"/>
    <col min="11" max="11" width="48.7265625" bestFit="1" customWidth="1"/>
  </cols>
  <sheetData>
    <row r="1" spans="1:13" ht="26" x14ac:dyDescent="0.6">
      <c r="A1" s="1" t="s">
        <v>188</v>
      </c>
      <c r="C1" s="170"/>
      <c r="E1" s="1" t="s">
        <v>191</v>
      </c>
    </row>
    <row r="2" spans="1:13" s="75" customFormat="1" x14ac:dyDescent="0.35">
      <c r="A2" s="129" t="s">
        <v>285</v>
      </c>
      <c r="C2" s="174"/>
      <c r="E2" s="2"/>
    </row>
    <row r="3" spans="1:13" x14ac:dyDescent="0.35">
      <c r="C3" s="170"/>
      <c r="E3"/>
    </row>
    <row r="4" spans="1:13" x14ac:dyDescent="0.35">
      <c r="A4" s="2" t="s">
        <v>45</v>
      </c>
      <c r="C4" s="170"/>
      <c r="E4" s="97" t="s">
        <v>192</v>
      </c>
      <c r="J4" s="97" t="s">
        <v>202</v>
      </c>
    </row>
    <row r="5" spans="1:13" x14ac:dyDescent="0.35">
      <c r="C5" s="170"/>
    </row>
    <row r="6" spans="1:13" s="75" customFormat="1" x14ac:dyDescent="0.35">
      <c r="A6" s="136" t="s">
        <v>189</v>
      </c>
      <c r="B6" s="136" t="s">
        <v>42</v>
      </c>
      <c r="C6" s="181" t="s">
        <v>190</v>
      </c>
      <c r="D6" s="182"/>
      <c r="E6" s="137" t="s">
        <v>193</v>
      </c>
      <c r="F6" s="137" t="s">
        <v>194</v>
      </c>
      <c r="G6" s="138" t="s">
        <v>200</v>
      </c>
      <c r="H6" s="138" t="s">
        <v>201</v>
      </c>
      <c r="J6" s="72" t="s">
        <v>6</v>
      </c>
      <c r="K6" s="63" t="s">
        <v>203</v>
      </c>
      <c r="L6" s="137">
        <v>0</v>
      </c>
    </row>
    <row r="7" spans="1:13" x14ac:dyDescent="0.35">
      <c r="A7" s="3">
        <v>8</v>
      </c>
      <c r="B7" s="3">
        <v>4</v>
      </c>
      <c r="C7" s="142">
        <v>0.46809499999999998</v>
      </c>
      <c r="D7" s="58"/>
      <c r="E7" s="64">
        <v>1</v>
      </c>
      <c r="F7" s="62" t="s">
        <v>195</v>
      </c>
      <c r="G7" s="66">
        <f>SUMIF(B:B,E7,C:C)</f>
        <v>4.3983349999999994</v>
      </c>
      <c r="H7" s="67">
        <f>G7/G$12*100</f>
        <v>0.93353076351832054</v>
      </c>
      <c r="M7" s="10"/>
    </row>
    <row r="8" spans="1:13" x14ac:dyDescent="0.35">
      <c r="A8" s="3">
        <v>8</v>
      </c>
      <c r="B8" s="3">
        <v>5</v>
      </c>
      <c r="C8" s="142">
        <v>0.72567199999999998</v>
      </c>
      <c r="D8" s="58"/>
      <c r="E8" s="64">
        <v>2</v>
      </c>
      <c r="F8" s="62" t="s">
        <v>196</v>
      </c>
      <c r="G8" s="66">
        <f>SUMIF(B:B,E8,C:C)</f>
        <v>0</v>
      </c>
      <c r="H8" s="67">
        <f>G8/G$12*100</f>
        <v>0</v>
      </c>
    </row>
    <row r="9" spans="1:13" x14ac:dyDescent="0.35">
      <c r="A9" s="3">
        <v>6</v>
      </c>
      <c r="B9" s="3">
        <v>5</v>
      </c>
      <c r="C9" s="142">
        <v>0.47800399999999998</v>
      </c>
      <c r="D9" s="58"/>
      <c r="E9" s="64">
        <v>3</v>
      </c>
      <c r="F9" s="62" t="s">
        <v>197</v>
      </c>
      <c r="G9" s="66">
        <f>SUMIF(B:B,E9,C:C)</f>
        <v>15.402566999999999</v>
      </c>
      <c r="H9" s="67">
        <f>G9/G$12*100</f>
        <v>3.2691393747070405</v>
      </c>
    </row>
    <row r="10" spans="1:13" x14ac:dyDescent="0.35">
      <c r="A10" s="3">
        <v>5</v>
      </c>
      <c r="B10" s="3">
        <v>5</v>
      </c>
      <c r="C10" s="142">
        <v>0.88297199999999998</v>
      </c>
      <c r="D10" s="58"/>
      <c r="E10" s="64">
        <v>4</v>
      </c>
      <c r="F10" s="62" t="s">
        <v>198</v>
      </c>
      <c r="G10" s="66">
        <f>SUMIF(B:B,E10,C:C)</f>
        <v>96.633040000000008</v>
      </c>
      <c r="H10" s="67">
        <f t="shared" ref="H10:H11" si="0">G10/G$12*100</f>
        <v>20.510014724275536</v>
      </c>
    </row>
    <row r="11" spans="1:13" ht="15" thickBot="1" x14ac:dyDescent="0.4">
      <c r="A11" s="3">
        <v>8</v>
      </c>
      <c r="B11" s="3">
        <v>4</v>
      </c>
      <c r="C11" s="142">
        <v>1.41231</v>
      </c>
      <c r="D11" s="58"/>
      <c r="E11" s="64">
        <v>5</v>
      </c>
      <c r="F11" s="62" t="s">
        <v>199</v>
      </c>
      <c r="G11" s="68">
        <f>SUMIF(B:B,E11,C:C)</f>
        <v>354.71657299999998</v>
      </c>
      <c r="H11" s="67">
        <f t="shared" si="0"/>
        <v>75.287315137499107</v>
      </c>
    </row>
    <row r="12" spans="1:13" x14ac:dyDescent="0.35">
      <c r="A12" s="3">
        <v>1</v>
      </c>
      <c r="B12" s="3">
        <v>1</v>
      </c>
      <c r="C12" s="142">
        <v>0.59331199999999995</v>
      </c>
      <c r="D12" s="58"/>
      <c r="G12" s="69">
        <f>SUM(G7:G11)</f>
        <v>471.15051499999998</v>
      </c>
      <c r="H12" s="70">
        <f>SUM(H7:H11)</f>
        <v>100</v>
      </c>
    </row>
    <row r="13" spans="1:13" x14ac:dyDescent="0.35">
      <c r="A13" s="3">
        <v>8</v>
      </c>
      <c r="B13" s="3">
        <v>4</v>
      </c>
      <c r="C13" s="142">
        <v>1.87832</v>
      </c>
      <c r="D13" s="58"/>
      <c r="E13" s="65"/>
    </row>
    <row r="14" spans="1:13" x14ac:dyDescent="0.35">
      <c r="A14" s="3">
        <v>6</v>
      </c>
      <c r="B14" s="3">
        <v>5</v>
      </c>
      <c r="C14" s="142">
        <v>0.39355099999999998</v>
      </c>
      <c r="D14" s="58"/>
      <c r="E14" s="61"/>
      <c r="F14" s="58"/>
      <c r="G14" s="58"/>
    </row>
    <row r="15" spans="1:13" x14ac:dyDescent="0.35">
      <c r="A15" s="3">
        <v>8</v>
      </c>
      <c r="B15" s="3">
        <v>3</v>
      </c>
      <c r="C15" s="142">
        <v>0.16415099999999999</v>
      </c>
      <c r="D15" s="58"/>
    </row>
    <row r="16" spans="1:13" x14ac:dyDescent="0.35">
      <c r="A16" s="3">
        <v>8</v>
      </c>
      <c r="B16" s="3">
        <v>4</v>
      </c>
      <c r="C16" s="142">
        <v>0.75768100000000005</v>
      </c>
      <c r="D16" s="58"/>
      <c r="E16" s="61"/>
      <c r="F16" s="58"/>
      <c r="G16" s="58"/>
    </row>
    <row r="17" spans="1:7" x14ac:dyDescent="0.35">
      <c r="A17" s="3">
        <v>8</v>
      </c>
      <c r="B17" s="3">
        <v>5</v>
      </c>
      <c r="C17" s="142">
        <v>0.51325900000000002</v>
      </c>
      <c r="D17" s="58"/>
      <c r="E17" s="61"/>
      <c r="F17" s="58"/>
      <c r="G17" s="58"/>
    </row>
    <row r="18" spans="1:7" x14ac:dyDescent="0.35">
      <c r="A18" s="3">
        <v>8</v>
      </c>
      <c r="B18" s="3">
        <v>4</v>
      </c>
      <c r="C18" s="142">
        <v>1.0384</v>
      </c>
      <c r="D18" s="58"/>
      <c r="E18" s="61"/>
      <c r="F18" s="58"/>
      <c r="G18" s="58"/>
    </row>
    <row r="19" spans="1:7" x14ac:dyDescent="0.35">
      <c r="A19" s="3">
        <v>4</v>
      </c>
      <c r="B19" s="3">
        <v>4</v>
      </c>
      <c r="C19" s="142">
        <v>1.83561</v>
      </c>
      <c r="D19" s="58"/>
      <c r="E19" s="61"/>
      <c r="F19" s="58"/>
      <c r="G19" s="58"/>
    </row>
    <row r="20" spans="1:7" x14ac:dyDescent="0.35">
      <c r="A20" s="3">
        <v>5</v>
      </c>
      <c r="B20" s="3">
        <v>5</v>
      </c>
      <c r="C20" s="142">
        <v>1.32877</v>
      </c>
      <c r="D20" s="58"/>
      <c r="E20" s="61"/>
      <c r="F20" s="58"/>
      <c r="G20" s="58"/>
    </row>
    <row r="21" spans="1:7" x14ac:dyDescent="0.35">
      <c r="A21" s="3">
        <v>6</v>
      </c>
      <c r="B21" s="3">
        <v>5</v>
      </c>
      <c r="C21" s="142">
        <v>0.34972700000000001</v>
      </c>
      <c r="D21" s="58"/>
      <c r="F21" s="58"/>
      <c r="G21" s="58"/>
    </row>
    <row r="22" spans="1:7" x14ac:dyDescent="0.35">
      <c r="A22" s="3">
        <v>8</v>
      </c>
      <c r="B22" s="3">
        <v>5</v>
      </c>
      <c r="C22" s="142">
        <v>0.74718300000000004</v>
      </c>
      <c r="D22" s="58"/>
      <c r="E22" s="61"/>
      <c r="F22" s="58"/>
      <c r="G22" s="58"/>
    </row>
    <row r="23" spans="1:7" x14ac:dyDescent="0.35">
      <c r="A23" s="3">
        <v>4</v>
      </c>
      <c r="B23" s="3">
        <v>4</v>
      </c>
      <c r="C23" s="142">
        <v>0.422958</v>
      </c>
      <c r="D23" s="58"/>
      <c r="E23" s="61"/>
      <c r="F23" s="58"/>
      <c r="G23" s="58"/>
    </row>
    <row r="24" spans="1:7" x14ac:dyDescent="0.35">
      <c r="A24" s="3">
        <v>5</v>
      </c>
      <c r="B24" s="3">
        <v>5</v>
      </c>
      <c r="C24" s="142">
        <v>8.8446200000000008</v>
      </c>
      <c r="D24" s="58"/>
      <c r="E24" s="61"/>
      <c r="F24" s="58"/>
      <c r="G24" s="58"/>
    </row>
    <row r="25" spans="1:7" x14ac:dyDescent="0.35">
      <c r="A25" s="3">
        <v>8</v>
      </c>
      <c r="B25" s="3">
        <v>4</v>
      </c>
      <c r="C25" s="142">
        <v>0.13172600000000001</v>
      </c>
      <c r="D25" s="58"/>
      <c r="F25" s="58"/>
      <c r="G25" s="58"/>
    </row>
    <row r="26" spans="1:7" x14ac:dyDescent="0.35">
      <c r="A26" s="3">
        <v>3</v>
      </c>
      <c r="B26" s="3">
        <v>3</v>
      </c>
      <c r="C26" s="142">
        <v>2.40482</v>
      </c>
      <c r="D26" s="58"/>
      <c r="F26" s="58"/>
      <c r="G26" s="58"/>
    </row>
    <row r="27" spans="1:7" x14ac:dyDescent="0.35">
      <c r="A27" s="3">
        <v>4</v>
      </c>
      <c r="B27" s="3">
        <v>3</v>
      </c>
      <c r="C27" s="142">
        <v>8.9419299999999993</v>
      </c>
      <c r="D27" s="58"/>
      <c r="F27" s="58"/>
      <c r="G27" s="58"/>
    </row>
    <row r="28" spans="1:7" x14ac:dyDescent="0.35">
      <c r="A28" s="3">
        <v>8</v>
      </c>
      <c r="B28" s="3">
        <v>3</v>
      </c>
      <c r="C28" s="142">
        <v>0.53923600000000005</v>
      </c>
      <c r="D28" s="58"/>
      <c r="F28" s="58"/>
      <c r="G28" s="58"/>
    </row>
    <row r="29" spans="1:7" x14ac:dyDescent="0.35">
      <c r="A29" s="3">
        <v>8</v>
      </c>
      <c r="B29" s="3">
        <v>5</v>
      </c>
      <c r="C29" s="142">
        <v>0.90671900000000005</v>
      </c>
      <c r="D29" s="58"/>
      <c r="F29" s="58"/>
      <c r="G29" s="58"/>
    </row>
    <row r="30" spans="1:7" x14ac:dyDescent="0.35">
      <c r="A30" s="3">
        <v>1</v>
      </c>
      <c r="B30" s="3">
        <v>1</v>
      </c>
      <c r="C30" s="142">
        <v>1.6612899999999999</v>
      </c>
      <c r="D30" s="58"/>
      <c r="F30" s="58"/>
      <c r="G30" s="58"/>
    </row>
    <row r="31" spans="1:7" x14ac:dyDescent="0.35">
      <c r="A31" s="3">
        <v>8</v>
      </c>
      <c r="B31" s="3">
        <v>4</v>
      </c>
      <c r="C31" s="142">
        <v>7.0242899999999997</v>
      </c>
      <c r="D31" s="58"/>
      <c r="F31" s="58"/>
      <c r="G31" s="58"/>
    </row>
    <row r="32" spans="1:7" x14ac:dyDescent="0.35">
      <c r="A32" s="3">
        <v>4</v>
      </c>
      <c r="B32" s="3">
        <v>4</v>
      </c>
      <c r="C32" s="142">
        <v>12.485200000000001</v>
      </c>
      <c r="D32" s="58"/>
      <c r="E32" s="61"/>
      <c r="F32" s="58"/>
      <c r="G32" s="58"/>
    </row>
    <row r="33" spans="1:7" x14ac:dyDescent="0.35">
      <c r="A33" s="3">
        <v>6</v>
      </c>
      <c r="B33" s="3">
        <v>5</v>
      </c>
      <c r="C33" s="142">
        <v>0.69723199999999996</v>
      </c>
      <c r="D33" s="58"/>
      <c r="E33" s="61"/>
      <c r="F33" s="58"/>
      <c r="G33" s="58"/>
    </row>
    <row r="34" spans="1:7" x14ac:dyDescent="0.35">
      <c r="A34" s="3">
        <v>8</v>
      </c>
      <c r="B34" s="3">
        <v>5</v>
      </c>
      <c r="C34" s="142">
        <v>0.51580800000000004</v>
      </c>
      <c r="D34" s="58"/>
      <c r="F34" s="58"/>
      <c r="G34" s="58"/>
    </row>
    <row r="35" spans="1:7" x14ac:dyDescent="0.35">
      <c r="A35" s="3">
        <v>5</v>
      </c>
      <c r="B35" s="3">
        <v>5</v>
      </c>
      <c r="C35" s="142">
        <v>1.0029600000000001</v>
      </c>
      <c r="D35" s="58"/>
      <c r="E35" s="61"/>
      <c r="F35" s="58"/>
      <c r="G35" s="58"/>
    </row>
    <row r="36" spans="1:7" x14ac:dyDescent="0.35">
      <c r="A36" s="3">
        <v>6</v>
      </c>
      <c r="B36" s="3">
        <v>5</v>
      </c>
      <c r="C36" s="142">
        <v>0.74472499999999997</v>
      </c>
      <c r="D36" s="58"/>
      <c r="E36" s="61"/>
      <c r="F36" s="58"/>
      <c r="G36" s="58"/>
    </row>
    <row r="37" spans="1:7" x14ac:dyDescent="0.35">
      <c r="A37" s="3">
        <v>8</v>
      </c>
      <c r="B37" s="3">
        <v>4</v>
      </c>
      <c r="C37" s="142">
        <v>12.775600000000001</v>
      </c>
      <c r="D37" s="58"/>
      <c r="E37" s="61"/>
      <c r="F37" s="58"/>
      <c r="G37" s="58"/>
    </row>
    <row r="38" spans="1:7" x14ac:dyDescent="0.35">
      <c r="A38" s="3">
        <v>5</v>
      </c>
      <c r="B38" s="3">
        <v>5</v>
      </c>
      <c r="C38" s="142">
        <v>3.5342199999999999</v>
      </c>
      <c r="D38" s="58"/>
      <c r="E38" s="61"/>
      <c r="F38" s="58"/>
      <c r="G38" s="58"/>
    </row>
    <row r="39" spans="1:7" x14ac:dyDescent="0.35">
      <c r="A39" s="3">
        <v>4</v>
      </c>
      <c r="B39" s="3">
        <v>4</v>
      </c>
      <c r="C39" s="142">
        <v>24.8735</v>
      </c>
      <c r="D39" s="58"/>
      <c r="E39" s="61"/>
      <c r="F39" s="58"/>
      <c r="G39" s="58"/>
    </row>
    <row r="40" spans="1:7" x14ac:dyDescent="0.35">
      <c r="A40" s="3">
        <v>3</v>
      </c>
      <c r="B40" s="3">
        <v>3</v>
      </c>
      <c r="C40" s="142">
        <v>3.35243</v>
      </c>
      <c r="D40" s="58"/>
      <c r="E40" s="61"/>
      <c r="F40" s="58"/>
      <c r="G40" s="58"/>
    </row>
    <row r="41" spans="1:7" x14ac:dyDescent="0.35">
      <c r="A41" s="3">
        <v>4</v>
      </c>
      <c r="B41" s="3">
        <v>4</v>
      </c>
      <c r="C41" s="142">
        <v>6.5394899999999998</v>
      </c>
      <c r="D41" s="58"/>
      <c r="E41" s="61"/>
      <c r="F41" s="58"/>
      <c r="G41" s="58"/>
    </row>
    <row r="42" spans="1:7" x14ac:dyDescent="0.35">
      <c r="A42" s="3">
        <v>8</v>
      </c>
      <c r="B42" s="3">
        <v>5</v>
      </c>
      <c r="C42" s="142">
        <v>0.67529399999999995</v>
      </c>
      <c r="D42" s="58"/>
      <c r="E42" s="61"/>
      <c r="F42" s="58"/>
      <c r="G42" s="58"/>
    </row>
    <row r="43" spans="1:7" x14ac:dyDescent="0.35">
      <c r="A43" s="3">
        <v>8</v>
      </c>
      <c r="B43" s="3">
        <v>4</v>
      </c>
      <c r="C43" s="142">
        <v>1.5015499999999999</v>
      </c>
      <c r="D43" s="58"/>
      <c r="E43" s="61"/>
      <c r="F43" s="58"/>
      <c r="G43" s="58"/>
    </row>
    <row r="44" spans="1:7" x14ac:dyDescent="0.35">
      <c r="A44" s="3">
        <v>6</v>
      </c>
      <c r="B44" s="3">
        <v>5</v>
      </c>
      <c r="C44" s="142">
        <v>0.69537700000000002</v>
      </c>
      <c r="D44" s="58"/>
      <c r="E44" s="61"/>
      <c r="F44" s="58"/>
      <c r="G44" s="58"/>
    </row>
    <row r="45" spans="1:7" x14ac:dyDescent="0.35">
      <c r="A45" s="3">
        <v>1</v>
      </c>
      <c r="B45" s="3">
        <v>1</v>
      </c>
      <c r="C45" s="142">
        <v>0.41325299999999998</v>
      </c>
      <c r="D45" s="58"/>
      <c r="E45" s="61"/>
      <c r="F45" s="58"/>
      <c r="G45" s="58"/>
    </row>
    <row r="46" spans="1:7" x14ac:dyDescent="0.35">
      <c r="A46" s="3">
        <v>1</v>
      </c>
      <c r="B46" s="3">
        <v>1</v>
      </c>
      <c r="C46" s="142">
        <v>1.73048</v>
      </c>
      <c r="D46" s="58"/>
      <c r="E46" s="61"/>
      <c r="F46" s="58"/>
      <c r="G46" s="58"/>
    </row>
    <row r="47" spans="1:7" x14ac:dyDescent="0.35">
      <c r="A47" s="3">
        <v>8</v>
      </c>
      <c r="B47" s="3">
        <v>4</v>
      </c>
      <c r="C47" s="142">
        <v>6.3632400000000002</v>
      </c>
      <c r="D47" s="58"/>
      <c r="E47" s="61"/>
      <c r="F47" s="58"/>
      <c r="G47" s="58"/>
    </row>
    <row r="48" spans="1:7" x14ac:dyDescent="0.35">
      <c r="A48" s="3">
        <v>8</v>
      </c>
      <c r="B48" s="3">
        <v>5</v>
      </c>
      <c r="C48" s="142">
        <v>4.5234800000000002</v>
      </c>
      <c r="D48" s="58"/>
      <c r="E48" s="61"/>
      <c r="F48" s="58"/>
      <c r="G48" s="58"/>
    </row>
    <row r="49" spans="1:7" x14ac:dyDescent="0.35">
      <c r="A49" s="3">
        <v>4</v>
      </c>
      <c r="B49" s="3">
        <v>4</v>
      </c>
      <c r="C49" s="142">
        <v>12.4114</v>
      </c>
      <c r="D49" s="58"/>
      <c r="E49" s="61"/>
      <c r="F49" s="58"/>
      <c r="G49" s="58"/>
    </row>
    <row r="50" spans="1:7" x14ac:dyDescent="0.35">
      <c r="A50" s="3">
        <v>8</v>
      </c>
      <c r="B50" s="3">
        <v>4</v>
      </c>
      <c r="C50" s="142">
        <v>2.0042800000000001</v>
      </c>
      <c r="D50" s="58"/>
      <c r="E50" s="61"/>
      <c r="F50" s="58"/>
      <c r="G50" s="58"/>
    </row>
    <row r="51" spans="1:7" x14ac:dyDescent="0.35">
      <c r="A51" s="3">
        <v>8</v>
      </c>
      <c r="B51" s="3">
        <v>4</v>
      </c>
      <c r="C51" s="142">
        <v>1.31158</v>
      </c>
      <c r="D51" s="58"/>
      <c r="E51" s="61"/>
      <c r="F51" s="58"/>
      <c r="G51" s="58"/>
    </row>
    <row r="52" spans="1:7" x14ac:dyDescent="0.35">
      <c r="A52" s="156">
        <v>8</v>
      </c>
      <c r="B52" s="156">
        <v>4</v>
      </c>
      <c r="C52" s="157">
        <v>1.39781</v>
      </c>
      <c r="D52" s="58"/>
      <c r="E52" s="61"/>
      <c r="F52" s="58"/>
      <c r="G52" s="58"/>
    </row>
    <row r="53" spans="1:7" x14ac:dyDescent="0.35">
      <c r="A53" s="158">
        <v>4</v>
      </c>
      <c r="B53" s="158">
        <v>5</v>
      </c>
      <c r="C53" s="159">
        <v>327.15699999999998</v>
      </c>
      <c r="D53" s="58"/>
      <c r="E53" s="61"/>
      <c r="F53" s="58"/>
      <c r="G53" s="58"/>
    </row>
    <row r="54" spans="1:7" x14ac:dyDescent="0.35">
      <c r="A54" s="58"/>
      <c r="B54" s="58"/>
      <c r="C54" s="58"/>
      <c r="D54" s="58"/>
      <c r="E54" s="61"/>
      <c r="F54" s="58"/>
      <c r="G54" s="58"/>
    </row>
    <row r="55" spans="1:7" x14ac:dyDescent="0.35">
      <c r="A55" s="58"/>
      <c r="B55" s="58"/>
      <c r="C55" s="58"/>
      <c r="D55" s="58"/>
      <c r="E55" s="61"/>
      <c r="F55" s="58"/>
      <c r="G55" s="58"/>
    </row>
    <row r="56" spans="1:7" x14ac:dyDescent="0.35">
      <c r="A56" s="58"/>
      <c r="B56" s="58"/>
      <c r="C56" s="58"/>
      <c r="D56" s="58"/>
      <c r="E56" s="61"/>
      <c r="F56" s="58"/>
      <c r="G56" s="58"/>
    </row>
    <row r="57" spans="1:7" x14ac:dyDescent="0.35">
      <c r="A57" s="58"/>
      <c r="B57" s="58"/>
      <c r="C57" s="58"/>
      <c r="D57" s="58"/>
      <c r="E57" s="61"/>
      <c r="F57" s="58"/>
      <c r="G57" s="58"/>
    </row>
    <row r="58" spans="1:7" x14ac:dyDescent="0.35">
      <c r="A58" s="58"/>
      <c r="B58" s="58"/>
      <c r="C58" s="58"/>
      <c r="D58" s="58"/>
      <c r="E58" s="61"/>
      <c r="F58" s="58"/>
      <c r="G58" s="58"/>
    </row>
    <row r="59" spans="1:7" x14ac:dyDescent="0.35">
      <c r="A59" s="58"/>
      <c r="B59" s="58"/>
      <c r="C59" s="58"/>
      <c r="D59" s="58"/>
      <c r="E59" s="61"/>
      <c r="F59" s="58"/>
      <c r="G59" s="58"/>
    </row>
    <row r="60" spans="1:7" x14ac:dyDescent="0.35">
      <c r="A60" s="58"/>
      <c r="B60" s="58"/>
      <c r="C60" s="58"/>
      <c r="D60" s="58"/>
      <c r="E60" s="61"/>
      <c r="F60" s="58"/>
      <c r="G60" s="58"/>
    </row>
    <row r="61" spans="1:7" x14ac:dyDescent="0.35">
      <c r="A61" s="58"/>
      <c r="B61" s="58"/>
      <c r="C61" s="58"/>
      <c r="D61" s="58"/>
      <c r="E61" s="61"/>
      <c r="F61" s="58"/>
      <c r="G61" s="58"/>
    </row>
    <row r="62" spans="1:7" x14ac:dyDescent="0.35">
      <c r="A62" s="58"/>
      <c r="B62" s="58"/>
      <c r="C62" s="58"/>
      <c r="D62" s="58"/>
      <c r="E62" s="61"/>
      <c r="F62" s="58"/>
      <c r="G62" s="58"/>
    </row>
    <row r="63" spans="1:7" x14ac:dyDescent="0.35">
      <c r="A63" s="58"/>
      <c r="B63" s="58"/>
      <c r="C63" s="58"/>
      <c r="D63" s="58"/>
      <c r="E63" s="61"/>
      <c r="F63" s="58"/>
      <c r="G63" s="58"/>
    </row>
    <row r="64" spans="1:7" x14ac:dyDescent="0.35">
      <c r="A64" s="58"/>
      <c r="B64" s="58"/>
      <c r="C64" s="58"/>
      <c r="D64" s="58"/>
      <c r="E64" s="61"/>
      <c r="F64" s="58"/>
      <c r="G64" s="58"/>
    </row>
    <row r="65" spans="1:7" x14ac:dyDescent="0.35">
      <c r="A65" s="58"/>
      <c r="B65" s="58"/>
      <c r="C65" s="58"/>
      <c r="D65" s="58"/>
      <c r="E65" s="61"/>
      <c r="F65" s="58"/>
      <c r="G65" s="58"/>
    </row>
    <row r="66" spans="1:7" x14ac:dyDescent="0.35">
      <c r="A66" s="58"/>
      <c r="B66" s="58"/>
      <c r="C66" s="58"/>
      <c r="D66" s="58"/>
      <c r="E66" s="61"/>
      <c r="F66" s="58"/>
      <c r="G66" s="58"/>
    </row>
    <row r="67" spans="1:7" x14ac:dyDescent="0.35">
      <c r="A67" s="58"/>
      <c r="B67" s="58"/>
      <c r="C67" s="58"/>
      <c r="D67" s="58"/>
      <c r="E67" s="61"/>
      <c r="F67" s="58"/>
      <c r="G67" s="58"/>
    </row>
    <row r="68" spans="1:7" x14ac:dyDescent="0.35">
      <c r="A68" s="58"/>
      <c r="B68" s="58"/>
      <c r="C68" s="58"/>
      <c r="D68" s="58"/>
      <c r="E68" s="61"/>
      <c r="F68" s="58"/>
      <c r="G68" s="58"/>
    </row>
    <row r="69" spans="1:7" x14ac:dyDescent="0.35">
      <c r="A69" s="58"/>
      <c r="B69" s="58"/>
      <c r="C69" s="58"/>
      <c r="D69" s="58"/>
      <c r="E69" s="61"/>
      <c r="F69" s="58"/>
      <c r="G69" s="58"/>
    </row>
    <row r="70" spans="1:7" x14ac:dyDescent="0.35">
      <c r="A70" s="58"/>
      <c r="B70" s="58"/>
      <c r="C70" s="58"/>
      <c r="D70" s="58"/>
      <c r="E70" s="61"/>
      <c r="F70" s="58"/>
      <c r="G70" s="58"/>
    </row>
    <row r="71" spans="1:7" x14ac:dyDescent="0.35">
      <c r="A71" s="58"/>
      <c r="B71" s="58"/>
      <c r="C71" s="58"/>
      <c r="D71" s="58"/>
      <c r="E71" s="61"/>
      <c r="F71" s="58"/>
      <c r="G71" s="58"/>
    </row>
    <row r="72" spans="1:7" x14ac:dyDescent="0.35">
      <c r="A72" s="58"/>
      <c r="B72" s="58"/>
      <c r="C72" s="58"/>
      <c r="D72" s="58"/>
      <c r="E72" s="61"/>
      <c r="F72" s="58"/>
      <c r="G72" s="58"/>
    </row>
    <row r="73" spans="1:7" x14ac:dyDescent="0.35">
      <c r="A73" s="58"/>
      <c r="B73" s="58"/>
      <c r="C73" s="58"/>
      <c r="D73" s="58"/>
      <c r="E73" s="61"/>
      <c r="F73" s="58"/>
      <c r="G73" s="58"/>
    </row>
    <row r="74" spans="1:7" x14ac:dyDescent="0.35">
      <c r="A74" s="58"/>
      <c r="B74" s="58"/>
      <c r="C74" s="58"/>
      <c r="D74" s="58"/>
      <c r="E74" s="61"/>
      <c r="F74" s="58"/>
      <c r="G74" s="58"/>
    </row>
    <row r="75" spans="1:7" x14ac:dyDescent="0.35">
      <c r="A75" s="58"/>
      <c r="B75" s="58"/>
      <c r="C75" s="58"/>
      <c r="D75" s="58"/>
      <c r="E75" s="61"/>
      <c r="F75" s="58"/>
      <c r="G75" s="58"/>
    </row>
    <row r="76" spans="1:7" x14ac:dyDescent="0.35">
      <c r="A76" s="58"/>
      <c r="B76" s="58"/>
      <c r="C76" s="58"/>
      <c r="D76" s="58"/>
      <c r="E76" s="61"/>
      <c r="F76" s="58"/>
      <c r="G76" s="58"/>
    </row>
    <row r="77" spans="1:7" x14ac:dyDescent="0.35">
      <c r="A77" s="58"/>
      <c r="B77" s="58"/>
      <c r="C77" s="58"/>
      <c r="D77" s="58"/>
      <c r="E77" s="61"/>
      <c r="F77" s="58"/>
      <c r="G77" s="58"/>
    </row>
    <row r="78" spans="1:7" x14ac:dyDescent="0.35">
      <c r="A78" s="58"/>
      <c r="B78" s="58"/>
      <c r="C78" s="58"/>
      <c r="D78" s="58"/>
      <c r="E78" s="61"/>
      <c r="F78" s="58"/>
      <c r="G78" s="58"/>
    </row>
    <row r="79" spans="1:7" x14ac:dyDescent="0.35">
      <c r="A79" s="58"/>
      <c r="B79" s="58"/>
      <c r="C79" s="58"/>
      <c r="D79" s="58"/>
      <c r="E79" s="61"/>
      <c r="F79" s="58"/>
      <c r="G79" s="58"/>
    </row>
    <row r="80" spans="1:7" x14ac:dyDescent="0.35">
      <c r="A80" s="58"/>
      <c r="B80" s="58"/>
      <c r="C80" s="58"/>
      <c r="D80" s="58"/>
    </row>
  </sheetData>
  <pageMargins left="0.7" right="0.7" top="0.78740157499999996" bottom="0.78740157499999996" header="0.3" footer="0.3"/>
  <pageSetup paperSize="9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R44"/>
  <sheetViews>
    <sheetView zoomScaleNormal="100" workbookViewId="0">
      <selection activeCell="E31" sqref="E31"/>
    </sheetView>
  </sheetViews>
  <sheetFormatPr baseColWidth="10" defaultColWidth="11.453125" defaultRowHeight="14.5" x14ac:dyDescent="0.35"/>
  <cols>
    <col min="1" max="1" width="55.7265625" customWidth="1"/>
    <col min="2" max="2" width="19.7265625" bestFit="1" customWidth="1"/>
    <col min="3" max="3" width="17.81640625" bestFit="1" customWidth="1"/>
    <col min="4" max="4" width="18.26953125" bestFit="1" customWidth="1"/>
    <col min="5" max="6" width="22.26953125" bestFit="1" customWidth="1"/>
    <col min="7" max="7" width="29.1796875" customWidth="1"/>
    <col min="8" max="8" width="32.7265625" bestFit="1" customWidth="1"/>
    <col min="9" max="9" width="20.54296875" customWidth="1"/>
    <col min="10" max="10" width="3.81640625" customWidth="1"/>
    <col min="11" max="11" width="12.453125" customWidth="1"/>
  </cols>
  <sheetData>
    <row r="1" spans="1:15" ht="26" x14ac:dyDescent="0.6">
      <c r="A1" s="1" t="s">
        <v>241</v>
      </c>
    </row>
    <row r="2" spans="1:15" x14ac:dyDescent="0.35">
      <c r="A2" s="129" t="s">
        <v>242</v>
      </c>
      <c r="G2" s="192"/>
      <c r="H2" s="6"/>
    </row>
    <row r="3" spans="1:15" x14ac:dyDescent="0.35">
      <c r="A3" s="129"/>
      <c r="C3" s="193"/>
      <c r="D3" s="193"/>
      <c r="E3" s="193"/>
      <c r="G3" s="192"/>
      <c r="H3" s="6"/>
    </row>
    <row r="4" spans="1:15" x14ac:dyDescent="0.35">
      <c r="A4" s="38" t="s">
        <v>81</v>
      </c>
      <c r="E4" s="65"/>
      <c r="G4" s="195"/>
      <c r="H4" s="195"/>
    </row>
    <row r="5" spans="1:15" x14ac:dyDescent="0.35">
      <c r="A5" s="194"/>
      <c r="E5" s="65"/>
      <c r="G5" s="195"/>
      <c r="H5" s="195"/>
    </row>
    <row r="6" spans="1:15" x14ac:dyDescent="0.35">
      <c r="E6" s="65"/>
      <c r="G6" s="195"/>
      <c r="H6" s="195"/>
    </row>
    <row r="7" spans="1:15" x14ac:dyDescent="0.35">
      <c r="A7" s="35" t="s">
        <v>243</v>
      </c>
      <c r="E7" s="65"/>
      <c r="M7" s="196"/>
    </row>
    <row r="8" spans="1:15" x14ac:dyDescent="0.35">
      <c r="A8" s="104" t="s">
        <v>51</v>
      </c>
      <c r="B8" s="104">
        <v>251</v>
      </c>
      <c r="C8" s="193"/>
      <c r="D8" s="193"/>
      <c r="E8" s="193"/>
      <c r="M8" s="196"/>
    </row>
    <row r="9" spans="1:15" x14ac:dyDescent="0.35">
      <c r="E9" s="193"/>
      <c r="G9" s="193"/>
      <c r="I9" s="193"/>
      <c r="M9" s="196"/>
    </row>
    <row r="10" spans="1:15" x14ac:dyDescent="0.35">
      <c r="E10" s="193"/>
      <c r="G10" s="193"/>
    </row>
    <row r="11" spans="1:15" x14ac:dyDescent="0.35">
      <c r="A11" s="35" t="s">
        <v>244</v>
      </c>
      <c r="D11" s="193"/>
      <c r="F11" s="65"/>
      <c r="H11" s="65"/>
    </row>
    <row r="12" spans="1:15" x14ac:dyDescent="0.35">
      <c r="A12" s="10" t="s">
        <v>245</v>
      </c>
      <c r="C12" s="197"/>
      <c r="D12" s="193"/>
      <c r="F12" s="65"/>
      <c r="G12" s="197"/>
      <c r="H12" s="65"/>
    </row>
    <row r="13" spans="1:15" x14ac:dyDescent="0.35">
      <c r="A13" s="10" t="s">
        <v>259</v>
      </c>
      <c r="C13" s="197"/>
      <c r="D13" s="193"/>
      <c r="F13" s="65"/>
      <c r="G13" s="197"/>
      <c r="H13" s="65"/>
    </row>
    <row r="14" spans="1:15" x14ac:dyDescent="0.35">
      <c r="A14" s="10"/>
      <c r="C14" s="197"/>
      <c r="D14" s="193"/>
      <c r="F14" s="65"/>
      <c r="G14" s="197"/>
      <c r="H14" s="65"/>
    </row>
    <row r="15" spans="1:15" x14ac:dyDescent="0.35">
      <c r="A15" s="198" t="s">
        <v>246</v>
      </c>
      <c r="B15" s="199"/>
      <c r="C15" s="200"/>
      <c r="D15" s="201"/>
      <c r="E15" s="199"/>
      <c r="F15" s="199"/>
      <c r="G15" s="200"/>
      <c r="H15" s="199"/>
      <c r="I15" s="199"/>
      <c r="J15" s="199"/>
      <c r="K15" s="199"/>
      <c r="L15" s="199"/>
      <c r="M15" s="199"/>
      <c r="N15" s="199"/>
      <c r="O15" s="199"/>
    </row>
    <row r="16" spans="1:15" x14ac:dyDescent="0.35">
      <c r="A16" s="35"/>
      <c r="C16" s="197"/>
      <c r="D16" s="193"/>
      <c r="F16" s="65"/>
      <c r="G16" s="197"/>
      <c r="H16" s="65"/>
    </row>
    <row r="17" spans="1:18" x14ac:dyDescent="0.35">
      <c r="A17" s="202" t="s">
        <v>206</v>
      </c>
      <c r="B17" s="202" t="s">
        <v>207</v>
      </c>
      <c r="C17" s="202" t="s">
        <v>208</v>
      </c>
      <c r="D17" s="202" t="s">
        <v>209</v>
      </c>
      <c r="E17" s="202" t="s">
        <v>210</v>
      </c>
      <c r="F17" s="202" t="s">
        <v>211</v>
      </c>
      <c r="G17" s="202" t="s">
        <v>212</v>
      </c>
      <c r="H17" s="202" t="s">
        <v>213</v>
      </c>
      <c r="I17" s="202" t="s">
        <v>214</v>
      </c>
    </row>
    <row r="18" spans="1:18" ht="32.25" customHeight="1" x14ac:dyDescent="0.35">
      <c r="A18" s="230" t="s">
        <v>248</v>
      </c>
      <c r="B18" s="230" t="s">
        <v>249</v>
      </c>
      <c r="C18" s="230" t="s">
        <v>250</v>
      </c>
      <c r="D18" s="230" t="s">
        <v>251</v>
      </c>
      <c r="E18" s="230" t="s">
        <v>255</v>
      </c>
      <c r="F18" s="230" t="s">
        <v>256</v>
      </c>
      <c r="G18" s="230" t="s">
        <v>253</v>
      </c>
      <c r="H18" s="230" t="s">
        <v>254</v>
      </c>
      <c r="I18" s="230" t="s">
        <v>252</v>
      </c>
      <c r="O18" s="203"/>
      <c r="R18" s="43"/>
    </row>
    <row r="19" spans="1:18" x14ac:dyDescent="0.35">
      <c r="A19" s="4" t="s">
        <v>215</v>
      </c>
      <c r="B19" s="4" t="s">
        <v>257</v>
      </c>
      <c r="C19" s="4">
        <v>400</v>
      </c>
      <c r="D19" s="4"/>
      <c r="E19" s="204">
        <v>50</v>
      </c>
      <c r="F19" s="205">
        <v>1000</v>
      </c>
      <c r="G19" s="206">
        <f>IF(C19="","",$C19*1000/$B$8)</f>
        <v>1593.6254980079682</v>
      </c>
      <c r="H19" s="207" t="str">
        <f>IF(D19="","",$D19*1000/$B$8)</f>
        <v/>
      </c>
      <c r="I19" s="207">
        <f>IF(G19="",(IF(H19&lt;E19,0,IF(H19&lt;F19,1/(F19-E19)*H19+E19/(E19-F19),1))),(IF(G19&lt;E19,0,IF(G19&lt;F19,1/(F19-E19)*G19+E19/(E19-F19),1))))</f>
        <v>1</v>
      </c>
    </row>
    <row r="20" spans="1:18" x14ac:dyDescent="0.35">
      <c r="A20" s="4" t="s">
        <v>215</v>
      </c>
      <c r="B20" s="4" t="s">
        <v>257</v>
      </c>
      <c r="C20" s="4"/>
      <c r="D20" s="4">
        <v>23</v>
      </c>
      <c r="E20" s="204">
        <v>0</v>
      </c>
      <c r="F20" s="205">
        <v>200</v>
      </c>
      <c r="G20" s="206" t="str">
        <f>IF(C20="","",$C20*1000/$B$8)</f>
        <v/>
      </c>
      <c r="H20" s="207">
        <f>IF(D20="","",$D20*1000/$B$8)</f>
        <v>91.633466135458164</v>
      </c>
      <c r="I20" s="207">
        <f>IF(G20="",(IF(H20&lt;E20,0,IF(H20&lt;F20,1/(F20-E20)*H20+E20/(E20-F20),1))),(IF(G20&lt;E20,0,IF(G20&lt;F20,1/(F20-E20)*G20+E20/(E20-F20),1))))</f>
        <v>0.45816733067729082</v>
      </c>
    </row>
    <row r="21" spans="1:18" x14ac:dyDescent="0.35">
      <c r="A21" s="4" t="s">
        <v>215</v>
      </c>
      <c r="B21" s="4" t="s">
        <v>257</v>
      </c>
      <c r="C21" s="4">
        <v>254</v>
      </c>
      <c r="D21" s="4"/>
      <c r="E21" s="204">
        <v>50</v>
      </c>
      <c r="F21" s="205">
        <v>2000</v>
      </c>
      <c r="G21" s="206">
        <f>IF(C21="","",$C21*1000/$B$8)</f>
        <v>1011.9521912350598</v>
      </c>
      <c r="H21" s="207" t="str">
        <f>IF(D21="","",$D21*1000/$B$8)</f>
        <v/>
      </c>
      <c r="I21" s="207">
        <f>IF(G21="",(IF(H21&lt;E21,0,IF(H21&lt;F21,1/(F21-E21)*H21+E21/(E21-F21),1))),(IF(G21&lt;E21,0,IF(G21&lt;F21,1/(F21-E21)*G21+E21/(E21-F21),1))))</f>
        <v>0.49330881601797938</v>
      </c>
    </row>
    <row r="22" spans="1:18" x14ac:dyDescent="0.35">
      <c r="A22" s="4" t="s">
        <v>215</v>
      </c>
      <c r="B22" s="4" t="s">
        <v>257</v>
      </c>
      <c r="C22" s="4"/>
      <c r="D22" s="4">
        <v>64</v>
      </c>
      <c r="E22" s="204">
        <v>20</v>
      </c>
      <c r="F22" s="205">
        <v>300</v>
      </c>
      <c r="G22" s="206" t="str">
        <f>IF(C22="","",$C22*1000/$B$8)</f>
        <v/>
      </c>
      <c r="H22" s="207">
        <f>IF(D22="","",$D22*1000/$B$8)</f>
        <v>254.9800796812749</v>
      </c>
      <c r="I22" s="207">
        <f>IF(G22="",(IF(H22&lt;E22,0,IF(H22&lt;F22,1/(F22-E22)*H22+E22/(E22-F22),1))),(IF(G22&lt;E22,0,IF(G22&lt;F22,1/(F22-E22)*G22+E22/(E22-F22),1))))</f>
        <v>0.83921457029026747</v>
      </c>
    </row>
    <row r="23" spans="1:18" x14ac:dyDescent="0.35">
      <c r="A23" s="4" t="s">
        <v>215</v>
      </c>
      <c r="B23" s="4" t="s">
        <v>257</v>
      </c>
      <c r="C23" s="4">
        <v>5</v>
      </c>
      <c r="D23" s="4"/>
      <c r="E23" s="204">
        <v>0</v>
      </c>
      <c r="F23" s="205">
        <v>100</v>
      </c>
      <c r="G23" s="206">
        <f>IF(C23="","",$C23*1000/$B$8)</f>
        <v>19.920318725099602</v>
      </c>
      <c r="H23" s="207" t="str">
        <f>IF(D23="","",$D23*1000/$B$8)</f>
        <v/>
      </c>
      <c r="I23" s="207">
        <f>IF(G23="",(IF(H23&lt;E23,0,IF(H23&lt;F23,1/(F23-E23)*H23+E23/(E23-F23),1))),(IF(G23&lt;E23,0,IF(G23&lt;F23,1/(F23-E23)*G23+E23/(E23-F23),1))))</f>
        <v>0.19920318725099603</v>
      </c>
    </row>
    <row r="30" spans="1:18" x14ac:dyDescent="0.35">
      <c r="A30" s="198" t="s">
        <v>247</v>
      </c>
      <c r="B30" s="199"/>
      <c r="C30" s="200"/>
      <c r="D30" s="201"/>
      <c r="E30" s="199"/>
      <c r="F30" s="199"/>
      <c r="G30" s="200"/>
      <c r="H30" s="199"/>
      <c r="I30" s="199"/>
      <c r="J30" s="199"/>
      <c r="K30" s="199"/>
      <c r="L30" s="199"/>
      <c r="M30" s="199"/>
      <c r="N30" s="199"/>
      <c r="O30" s="199"/>
    </row>
    <row r="32" spans="1:18" x14ac:dyDescent="0.35">
      <c r="A32" s="202" t="s">
        <v>206</v>
      </c>
      <c r="B32" s="202" t="s">
        <v>207</v>
      </c>
      <c r="C32" s="202" t="s">
        <v>208</v>
      </c>
      <c r="D32" s="202" t="s">
        <v>209</v>
      </c>
      <c r="E32" s="202" t="s">
        <v>210</v>
      </c>
      <c r="F32" s="202" t="s">
        <v>211</v>
      </c>
      <c r="G32" s="202" t="s">
        <v>212</v>
      </c>
      <c r="H32" s="202" t="s">
        <v>213</v>
      </c>
      <c r="I32" s="202" t="s">
        <v>214</v>
      </c>
    </row>
    <row r="33" spans="1:10" ht="33.75" customHeight="1" x14ac:dyDescent="0.35">
      <c r="A33" s="230" t="s">
        <v>248</v>
      </c>
      <c r="B33" s="230" t="s">
        <v>249</v>
      </c>
      <c r="C33" s="230" t="s">
        <v>250</v>
      </c>
      <c r="D33" s="230" t="s">
        <v>251</v>
      </c>
      <c r="E33" s="230" t="s">
        <v>255</v>
      </c>
      <c r="F33" s="230" t="s">
        <v>256</v>
      </c>
      <c r="G33" s="230" t="s">
        <v>253</v>
      </c>
      <c r="H33" s="230" t="s">
        <v>254</v>
      </c>
      <c r="I33" s="230" t="s">
        <v>252</v>
      </c>
    </row>
    <row r="34" spans="1:10" x14ac:dyDescent="0.35">
      <c r="A34" s="4" t="s">
        <v>215</v>
      </c>
      <c r="B34" s="4" t="s">
        <v>258</v>
      </c>
      <c r="C34" s="4"/>
      <c r="D34" s="4">
        <v>357</v>
      </c>
      <c r="E34" s="204">
        <v>5000</v>
      </c>
      <c r="F34" s="205">
        <v>100</v>
      </c>
      <c r="G34" s="206" t="str">
        <f>IF(C34="","",$C34*1000/$B$8)</f>
        <v/>
      </c>
      <c r="H34" s="206">
        <f>IF(D34="","",$D34*1000/$B$8)</f>
        <v>1422.3107569721114</v>
      </c>
      <c r="I34" s="207">
        <f>IF(G34="",(IF(H34&lt;F34,1,IF(H34&lt;E34,1/(F34-E34)*H34+E34/(E34-F34),0))),(IF(G34&lt;F34,1,IF(G34&lt;E34,1/(F34-E34)*G34+E34/(E34-F34),0))))</f>
        <v>0.73014066184242621</v>
      </c>
      <c r="J34" s="170"/>
    </row>
    <row r="35" spans="1:10" x14ac:dyDescent="0.35">
      <c r="A35" s="4" t="s">
        <v>215</v>
      </c>
      <c r="B35" s="4" t="s">
        <v>258</v>
      </c>
      <c r="C35" s="4"/>
      <c r="D35" s="4">
        <v>5</v>
      </c>
      <c r="E35" s="204">
        <v>5000</v>
      </c>
      <c r="F35" s="205">
        <v>100</v>
      </c>
      <c r="G35" s="206" t="str">
        <f t="shared" ref="G35:G38" si="0">IF(C35="","",$C35*1000/$B$8)</f>
        <v/>
      </c>
      <c r="H35" s="206">
        <f t="shared" ref="H35:H38" si="1">IF(D35="","",$D35*1000/$B$8)</f>
        <v>19.920318725099602</v>
      </c>
      <c r="I35" s="207">
        <f t="shared" ref="I35:I38" si="2">IF(G35="",(IF(H35&lt;F35,1,IF(H35&lt;E35,1/(F35-E35)*H35+E35/(E35-F35),0))),(IF(G35&lt;F35,1,IF(G35&lt;E35,1/(F35-E35)*G35+E35/(E35-F35),0))))</f>
        <v>1</v>
      </c>
      <c r="J35" s="170"/>
    </row>
    <row r="36" spans="1:10" x14ac:dyDescent="0.35">
      <c r="A36" s="4" t="s">
        <v>215</v>
      </c>
      <c r="B36" s="4" t="s">
        <v>258</v>
      </c>
      <c r="C36" s="4">
        <v>38</v>
      </c>
      <c r="D36" s="4"/>
      <c r="E36" s="204">
        <v>1000</v>
      </c>
      <c r="F36" s="205">
        <v>0</v>
      </c>
      <c r="G36" s="206">
        <f t="shared" si="0"/>
        <v>151.39442231075697</v>
      </c>
      <c r="H36" s="206" t="str">
        <f t="shared" si="1"/>
        <v/>
      </c>
      <c r="I36" s="207">
        <f t="shared" si="2"/>
        <v>0.84860557768924305</v>
      </c>
      <c r="J36" s="170"/>
    </row>
    <row r="37" spans="1:10" x14ac:dyDescent="0.35">
      <c r="A37" s="4" t="s">
        <v>215</v>
      </c>
      <c r="B37" s="4" t="s">
        <v>258</v>
      </c>
      <c r="C37" s="4">
        <v>129</v>
      </c>
      <c r="D37" s="4"/>
      <c r="E37" s="204">
        <v>500</v>
      </c>
      <c r="F37" s="205">
        <v>0</v>
      </c>
      <c r="G37" s="206">
        <f t="shared" si="0"/>
        <v>513.94422310756977</v>
      </c>
      <c r="H37" s="206" t="str">
        <f t="shared" si="1"/>
        <v/>
      </c>
      <c r="I37" s="207">
        <f t="shared" si="2"/>
        <v>0</v>
      </c>
      <c r="J37" s="170"/>
    </row>
    <row r="38" spans="1:10" x14ac:dyDescent="0.35">
      <c r="A38" s="4" t="s">
        <v>215</v>
      </c>
      <c r="B38" s="4" t="s">
        <v>258</v>
      </c>
      <c r="C38" s="4"/>
      <c r="D38" s="4">
        <v>64</v>
      </c>
      <c r="E38" s="204">
        <v>3000</v>
      </c>
      <c r="F38" s="205">
        <v>150</v>
      </c>
      <c r="G38" s="206" t="str">
        <f t="shared" si="0"/>
        <v/>
      </c>
      <c r="H38" s="206">
        <f t="shared" si="1"/>
        <v>254.9800796812749</v>
      </c>
      <c r="I38" s="207">
        <f t="shared" si="2"/>
        <v>0.96316488432235969</v>
      </c>
      <c r="J38" s="170"/>
    </row>
    <row r="39" spans="1:10" s="6" customFormat="1" x14ac:dyDescent="0.35">
      <c r="E39" s="208"/>
      <c r="F39" s="208"/>
      <c r="G39" s="209"/>
      <c r="I39" s="210"/>
    </row>
    <row r="43" spans="1:10" x14ac:dyDescent="0.35">
      <c r="D43" s="211"/>
    </row>
    <row r="44" spans="1:10" x14ac:dyDescent="0.35">
      <c r="D44" s="211"/>
    </row>
  </sheetData>
  <dataValidations count="2">
    <dataValidation type="whole" allowBlank="1" showInputMessage="1" showErrorMessage="1" errorTitle="Attention plage de valeurs" error="0-999999 [m2 ou nombre d'individus]" sqref="E19:F23 E34:F39" xr:uid="{00000000-0002-0000-0500-000000000000}">
      <formula1>0</formula1>
      <formula2>999999</formula2>
    </dataValidation>
    <dataValidation type="decimal" allowBlank="1" showInputMessage="1" showErrorMessage="1" errorTitle="Achtung Eingabebereich" error="0 bis 1" sqref="I39" xr:uid="{00000000-0002-0000-0500-000001000000}">
      <formula1>0</formula1>
      <formula2>1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L10"/>
  <sheetViews>
    <sheetView zoomScaleNormal="100" workbookViewId="0">
      <selection activeCell="A9" sqref="A9"/>
    </sheetView>
  </sheetViews>
  <sheetFormatPr baseColWidth="10" defaultColWidth="11.453125" defaultRowHeight="14.5" x14ac:dyDescent="0.35"/>
  <cols>
    <col min="1" max="1" width="5.6328125" customWidth="1"/>
    <col min="2" max="2" width="42.54296875" customWidth="1"/>
  </cols>
  <sheetData>
    <row r="1" spans="1:12" ht="26" x14ac:dyDescent="0.6">
      <c r="A1" s="1" t="s">
        <v>239</v>
      </c>
      <c r="L1" s="1"/>
    </row>
    <row r="2" spans="1:12" x14ac:dyDescent="0.35">
      <c r="A2" s="129" t="s">
        <v>286</v>
      </c>
    </row>
    <row r="4" spans="1:12" x14ac:dyDescent="0.35">
      <c r="A4" t="s">
        <v>287</v>
      </c>
    </row>
    <row r="5" spans="1:12" x14ac:dyDescent="0.35">
      <c r="A5" s="38" t="s">
        <v>290</v>
      </c>
    </row>
    <row r="8" spans="1:12" x14ac:dyDescent="0.35">
      <c r="A8" s="2" t="s">
        <v>349</v>
      </c>
    </row>
    <row r="9" spans="1:12" x14ac:dyDescent="0.35">
      <c r="A9" s="4" t="s">
        <v>288</v>
      </c>
      <c r="B9" s="235" t="s">
        <v>291</v>
      </c>
      <c r="C9" s="4"/>
    </row>
    <row r="10" spans="1:12" x14ac:dyDescent="0.35">
      <c r="A10" s="4" t="s">
        <v>289</v>
      </c>
      <c r="B10" s="231" t="s">
        <v>292</v>
      </c>
      <c r="C10" s="234">
        <f>IF(C9&lt;0.100001,0,IF(C9&lt;0.51,(C9-0.1)*2.5,1))</f>
        <v>0</v>
      </c>
    </row>
  </sheetData>
  <dataValidations count="1">
    <dataValidation type="decimal" allowBlank="1" showInputMessage="1" showErrorMessage="1" errorTitle="Achtung Eingabebereich" error="0-1 [Dezimalzahl]" sqref="C10" xr:uid="{6DF6B282-AC73-4AE1-84AD-FC050990010D}">
      <formula1>0</formula1>
      <formula2>1</formula2>
    </dataValidation>
  </dataValidation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O27"/>
  <sheetViews>
    <sheetView zoomScaleNormal="100" workbookViewId="0">
      <selection activeCell="G25" sqref="G25"/>
    </sheetView>
  </sheetViews>
  <sheetFormatPr baseColWidth="10" defaultColWidth="11.453125" defaultRowHeight="14.5" x14ac:dyDescent="0.35"/>
  <cols>
    <col min="1" max="1" width="11.453125" style="42"/>
    <col min="2" max="2" width="61.1796875" style="42" bestFit="1" customWidth="1"/>
    <col min="3" max="6" width="11.453125" style="42"/>
    <col min="7" max="7" width="49.453125" style="42" bestFit="1" customWidth="1"/>
    <col min="8" max="10" width="11.453125" style="42"/>
    <col min="11" max="11" width="10.81640625" style="42" customWidth="1"/>
    <col min="12" max="12" width="45.7265625" style="42" customWidth="1"/>
    <col min="13" max="16384" width="11.453125" style="42"/>
  </cols>
  <sheetData>
    <row r="1" spans="1:15" ht="26" x14ac:dyDescent="0.35">
      <c r="A1" s="41" t="s">
        <v>240</v>
      </c>
      <c r="F1" s="41" t="s">
        <v>280</v>
      </c>
    </row>
    <row r="2" spans="1:15" x14ac:dyDescent="0.35">
      <c r="A2" s="129" t="s">
        <v>242</v>
      </c>
    </row>
    <row r="3" spans="1:15" x14ac:dyDescent="0.35">
      <c r="A3" s="212"/>
    </row>
    <row r="4" spans="1:15" x14ac:dyDescent="0.35">
      <c r="A4" s="38" t="s">
        <v>81</v>
      </c>
      <c r="H4" s="213"/>
    </row>
    <row r="5" spans="1:15" x14ac:dyDescent="0.35">
      <c r="O5" s="213"/>
    </row>
    <row r="6" spans="1:15" x14ac:dyDescent="0.35">
      <c r="A6" s="35" t="s">
        <v>244</v>
      </c>
      <c r="F6" s="43" t="s">
        <v>278</v>
      </c>
      <c r="K6" s="43" t="s">
        <v>279</v>
      </c>
    </row>
    <row r="7" spans="1:15" x14ac:dyDescent="0.35">
      <c r="A7" s="214" t="s">
        <v>216</v>
      </c>
      <c r="B7" s="231" t="s">
        <v>261</v>
      </c>
      <c r="C7" s="215">
        <v>50</v>
      </c>
      <c r="F7" s="214" t="s">
        <v>217</v>
      </c>
      <c r="G7" s="231" t="s">
        <v>268</v>
      </c>
      <c r="H7" s="27">
        <v>5</v>
      </c>
      <c r="K7" s="214" t="s">
        <v>218</v>
      </c>
      <c r="L7" s="231" t="s">
        <v>273</v>
      </c>
      <c r="M7" s="39">
        <f>SUM(C9:C10)</f>
        <v>30</v>
      </c>
    </row>
    <row r="8" spans="1:15" x14ac:dyDescent="0.35">
      <c r="A8" s="214" t="s">
        <v>219</v>
      </c>
      <c r="B8" s="231" t="s">
        <v>262</v>
      </c>
      <c r="C8" s="215">
        <v>0</v>
      </c>
      <c r="F8" s="214" t="s">
        <v>220</v>
      </c>
      <c r="G8" s="231" t="s">
        <v>269</v>
      </c>
      <c r="H8" s="39">
        <f>-(IF(C7=0,0,LN(C7/100)*C7/100)+IF(C8=0,0,LN(C8/100)*C8/100)+IF(C9=0,0,LN(C9/100)*C9/100)+IF(C10=0,0,LN(C10/100)*C10/100)+IF(C11=0,0,LN(C11/100)*C11/100)+IF(C12=0,0,LN(C12/100)*C12/100)+IF(C13=0,0,LN(C13/100)*C13/100))</f>
        <v>1.2007907475157076</v>
      </c>
      <c r="K8" s="214" t="s">
        <v>221</v>
      </c>
      <c r="L8" s="231" t="s">
        <v>274</v>
      </c>
      <c r="M8" s="169">
        <f>IF(M7&lt;10,0,IF(M7&lt;20,0.2,IF(M7&lt;30,0.4,IF(M7&lt;40,0.6,IF(M7&lt;50,0.8,IF(M7&lt;60,1,IF(M7&lt;70,0.8,IF(M7&lt;80,0.6,0.5))))))))</f>
        <v>0.6</v>
      </c>
      <c r="N8" s="216"/>
    </row>
    <row r="9" spans="1:15" x14ac:dyDescent="0.35">
      <c r="A9" s="214" t="s">
        <v>222</v>
      </c>
      <c r="B9" s="231" t="s">
        <v>263</v>
      </c>
      <c r="C9" s="215">
        <v>30</v>
      </c>
      <c r="G9" s="7" t="s">
        <v>271</v>
      </c>
      <c r="H9" s="33">
        <f>IF(H7=3,0.34,IF(H7=4,0.43,IF(H7=5,0.5,IF(H7=6,0.55,IF(H7=7,0.6,"NA")))))</f>
        <v>0.5</v>
      </c>
    </row>
    <row r="10" spans="1:15" x14ac:dyDescent="0.35">
      <c r="A10" s="214" t="s">
        <v>223</v>
      </c>
      <c r="B10" s="231" t="s">
        <v>264</v>
      </c>
      <c r="C10" s="215">
        <v>0</v>
      </c>
      <c r="G10" s="7" t="s">
        <v>272</v>
      </c>
      <c r="H10" s="33">
        <f>IF(H7=3,0.95,IF(H7=4,1.2,IF(H7=5,1.4,IF(H7=6,1.55,IF(H7=7,1.7,"NA")))))</f>
        <v>1.4</v>
      </c>
    </row>
    <row r="11" spans="1:15" x14ac:dyDescent="0.35">
      <c r="A11" s="214" t="s">
        <v>224</v>
      </c>
      <c r="B11" s="231" t="s">
        <v>265</v>
      </c>
      <c r="C11" s="215">
        <v>9</v>
      </c>
      <c r="F11" s="214" t="s">
        <v>225</v>
      </c>
      <c r="G11" s="231" t="s">
        <v>270</v>
      </c>
      <c r="H11" s="169">
        <f>IF(H8 &lt; H9,0,IF(H8&lt;H10,1/(H10-H9)*H8+H9/(H9-H10),1))</f>
        <v>0.77865638612856403</v>
      </c>
      <c r="K11" s="43" t="s">
        <v>275</v>
      </c>
      <c r="L11" s="217"/>
    </row>
    <row r="12" spans="1:15" x14ac:dyDescent="0.35">
      <c r="A12" s="214" t="s">
        <v>226</v>
      </c>
      <c r="B12" s="231" t="s">
        <v>266</v>
      </c>
      <c r="C12" s="215">
        <v>1</v>
      </c>
    </row>
    <row r="13" spans="1:15" x14ac:dyDescent="0.35">
      <c r="A13" s="214" t="s">
        <v>227</v>
      </c>
      <c r="B13" s="231" t="s">
        <v>267</v>
      </c>
      <c r="C13" s="215">
        <v>10</v>
      </c>
    </row>
    <row r="14" spans="1:15" x14ac:dyDescent="0.35">
      <c r="A14" s="7"/>
      <c r="B14" s="218" t="s">
        <v>260</v>
      </c>
      <c r="C14" s="33">
        <f>SUM(C7:C13)</f>
        <v>100</v>
      </c>
      <c r="F14" s="265" t="s">
        <v>277</v>
      </c>
      <c r="G14" s="265"/>
      <c r="H14" s="265"/>
    </row>
    <row r="15" spans="1:15" x14ac:dyDescent="0.35">
      <c r="C15" s="179"/>
      <c r="F15" s="265"/>
      <c r="G15" s="265"/>
      <c r="H15" s="265"/>
    </row>
    <row r="27" spans="6:6" x14ac:dyDescent="0.35">
      <c r="F27" s="43" t="s">
        <v>276</v>
      </c>
    </row>
  </sheetData>
  <mergeCells count="1">
    <mergeCell ref="F14:H15"/>
  </mergeCells>
  <dataValidations count="1">
    <dataValidation type="whole" errorStyle="warning" allowBlank="1" showInputMessage="1" showErrorMessage="1" errorTitle="Eingabebereich" error="0-100 [%]" sqref="L7" xr:uid="{00000000-0002-0000-0700-000000000000}">
      <formula1>0</formula1>
      <formula2>100</formula2>
    </dataValidation>
  </dataValidations>
  <pageMargins left="0.7" right="0.7" top="0.75" bottom="0.75" header="0.3" footer="0.3"/>
  <pageSetup paperSize="9" orientation="portrait" r:id="rId1"/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9C4D342-7068-4234-ADC8-F02D51B2BD7E}">
  <dimension ref="A1:AN61"/>
  <sheetViews>
    <sheetView tabSelected="1" zoomScaleNormal="100" workbookViewId="0">
      <selection activeCell="C6" sqref="C6"/>
    </sheetView>
  </sheetViews>
  <sheetFormatPr baseColWidth="10" defaultColWidth="11.453125" defaultRowHeight="14.5" x14ac:dyDescent="0.35"/>
  <cols>
    <col min="1" max="1" width="16.81640625" customWidth="1"/>
    <col min="2" max="2" width="51.54296875" bestFit="1" customWidth="1"/>
    <col min="3" max="3" width="11.453125" bestFit="1" customWidth="1"/>
    <col min="4" max="4" width="52.453125" customWidth="1"/>
    <col min="5" max="5" width="14.7265625" customWidth="1"/>
    <col min="6" max="6" width="18.453125" customWidth="1"/>
    <col min="7" max="7" width="14.54296875" customWidth="1"/>
    <col min="8" max="8" width="13.6328125" customWidth="1"/>
    <col min="9" max="9" width="8.54296875" customWidth="1"/>
    <col min="10" max="10" width="11.81640625" customWidth="1"/>
    <col min="11" max="11" width="14.7265625" customWidth="1"/>
    <col min="12" max="12" width="17.81640625" customWidth="1"/>
    <col min="13" max="13" width="14.36328125" customWidth="1"/>
    <col min="14" max="14" width="16.54296875" customWidth="1"/>
    <col min="15" max="15" width="8.54296875" customWidth="1"/>
    <col min="16" max="16" width="11.1796875" customWidth="1"/>
    <col min="17" max="17" width="14.7265625" customWidth="1"/>
    <col min="18" max="18" width="18.81640625" customWidth="1"/>
    <col min="19" max="19" width="14.26953125" customWidth="1"/>
    <col min="20" max="20" width="15.453125" customWidth="1"/>
    <col min="21" max="21" width="8.7265625" customWidth="1"/>
    <col min="22" max="22" width="11" bestFit="1" customWidth="1"/>
    <col min="23" max="23" width="14.7265625" customWidth="1"/>
    <col min="24" max="24" width="18.54296875" customWidth="1"/>
    <col min="25" max="25" width="14" customWidth="1"/>
    <col min="26" max="26" width="13.81640625" customWidth="1"/>
    <col min="29" max="29" width="14.7265625" customWidth="1"/>
    <col min="30" max="30" width="17.7265625" customWidth="1"/>
    <col min="31" max="31" width="14.7265625" customWidth="1"/>
    <col min="32" max="32" width="14.90625" customWidth="1"/>
    <col min="34" max="34" width="30.26953125" customWidth="1"/>
    <col min="35" max="35" width="14.7265625" customWidth="1"/>
    <col min="36" max="36" width="19.6328125" customWidth="1"/>
    <col min="37" max="37" width="14.81640625" customWidth="1"/>
    <col min="38" max="38" width="15.54296875" customWidth="1"/>
  </cols>
  <sheetData>
    <row r="1" spans="1:40" ht="26" x14ac:dyDescent="0.35">
      <c r="A1" s="236" t="s">
        <v>311</v>
      </c>
    </row>
    <row r="2" spans="1:40" x14ac:dyDescent="0.35">
      <c r="A2" s="129" t="s">
        <v>312</v>
      </c>
    </row>
    <row r="3" spans="1:40" ht="15.5" x14ac:dyDescent="0.35">
      <c r="A3" s="38" t="s">
        <v>81</v>
      </c>
      <c r="E3" s="237" t="s">
        <v>313</v>
      </c>
      <c r="F3" s="238"/>
      <c r="G3" s="238"/>
      <c r="H3" s="238"/>
      <c r="I3" s="238"/>
      <c r="J3" s="238"/>
      <c r="K3" s="238"/>
      <c r="L3" s="238"/>
      <c r="M3" s="238"/>
      <c r="N3" s="238"/>
      <c r="O3" s="238"/>
      <c r="P3" s="238"/>
      <c r="Q3" s="238"/>
      <c r="R3" s="238"/>
      <c r="S3" s="238"/>
      <c r="T3" s="238"/>
      <c r="U3" s="238"/>
      <c r="V3" s="238"/>
      <c r="W3" s="238"/>
      <c r="X3" s="238"/>
      <c r="Y3" s="238"/>
      <c r="Z3" s="238"/>
      <c r="AA3" s="238"/>
      <c r="AB3" s="238"/>
      <c r="AC3" s="238"/>
      <c r="AD3" s="238"/>
      <c r="AE3" s="238"/>
      <c r="AF3" s="238"/>
      <c r="AG3" s="238"/>
      <c r="AH3" s="238"/>
      <c r="AI3" s="238"/>
      <c r="AJ3" s="238"/>
      <c r="AK3" s="238"/>
      <c r="AL3" s="238"/>
      <c r="AM3" s="238"/>
      <c r="AN3" s="239"/>
    </row>
    <row r="4" spans="1:40" x14ac:dyDescent="0.35">
      <c r="E4" s="266" t="s">
        <v>343</v>
      </c>
      <c r="F4" s="266"/>
      <c r="G4" s="266"/>
      <c r="H4" s="266"/>
      <c r="I4" s="266"/>
      <c r="J4" s="266"/>
      <c r="K4" s="267" t="s">
        <v>344</v>
      </c>
      <c r="L4" s="267"/>
      <c r="M4" s="267"/>
      <c r="N4" s="267"/>
      <c r="O4" s="267"/>
      <c r="P4" s="267"/>
      <c r="Q4" s="240" t="s">
        <v>345</v>
      </c>
      <c r="R4" s="241"/>
      <c r="S4" s="241"/>
      <c r="T4" s="241"/>
      <c r="U4" s="241"/>
      <c r="V4" s="241"/>
      <c r="W4" s="268" t="s">
        <v>347</v>
      </c>
      <c r="X4" s="268"/>
      <c r="Y4" s="268"/>
      <c r="Z4" s="268"/>
      <c r="AA4" s="268"/>
      <c r="AB4" s="268"/>
      <c r="AC4" s="242" t="s">
        <v>348</v>
      </c>
      <c r="AD4" s="243"/>
      <c r="AE4" s="243"/>
      <c r="AF4" s="243"/>
      <c r="AG4" s="243"/>
      <c r="AH4" s="243"/>
      <c r="AI4" s="269" t="s">
        <v>293</v>
      </c>
      <c r="AJ4" s="269"/>
      <c r="AK4" s="269"/>
      <c r="AL4" s="269"/>
      <c r="AM4" s="269"/>
      <c r="AN4" s="269"/>
    </row>
    <row r="5" spans="1:40" ht="29" x14ac:dyDescent="0.35">
      <c r="A5" s="254" t="s">
        <v>143</v>
      </c>
      <c r="E5" s="244" t="s">
        <v>323</v>
      </c>
      <c r="F5" s="244" t="s">
        <v>322</v>
      </c>
      <c r="G5" s="244" t="s">
        <v>321</v>
      </c>
      <c r="H5" s="244" t="s">
        <v>328</v>
      </c>
      <c r="I5" s="244" t="s">
        <v>324</v>
      </c>
      <c r="J5" s="244" t="s">
        <v>325</v>
      </c>
      <c r="K5" s="244" t="s">
        <v>323</v>
      </c>
      <c r="L5" s="244" t="s">
        <v>322</v>
      </c>
      <c r="M5" s="244" t="s">
        <v>321</v>
      </c>
      <c r="N5" s="244" t="s">
        <v>328</v>
      </c>
      <c r="O5" s="244" t="s">
        <v>324</v>
      </c>
      <c r="P5" s="244" t="s">
        <v>325</v>
      </c>
      <c r="Q5" s="244" t="s">
        <v>323</v>
      </c>
      <c r="R5" s="244" t="s">
        <v>322</v>
      </c>
      <c r="S5" s="244" t="s">
        <v>321</v>
      </c>
      <c r="T5" s="244" t="s">
        <v>328</v>
      </c>
      <c r="U5" s="244" t="s">
        <v>324</v>
      </c>
      <c r="V5" s="244" t="s">
        <v>325</v>
      </c>
      <c r="W5" s="244" t="s">
        <v>323</v>
      </c>
      <c r="X5" s="244" t="s">
        <v>322</v>
      </c>
      <c r="Y5" s="244" t="s">
        <v>321</v>
      </c>
      <c r="Z5" s="244" t="s">
        <v>328</v>
      </c>
      <c r="AA5" s="244" t="s">
        <v>324</v>
      </c>
      <c r="AB5" s="244" t="s">
        <v>325</v>
      </c>
      <c r="AC5" s="244" t="s">
        <v>323</v>
      </c>
      <c r="AD5" s="244" t="s">
        <v>322</v>
      </c>
      <c r="AE5" s="244" t="s">
        <v>321</v>
      </c>
      <c r="AF5" s="244" t="s">
        <v>328</v>
      </c>
      <c r="AG5" s="244" t="s">
        <v>324</v>
      </c>
      <c r="AH5" s="244" t="s">
        <v>325</v>
      </c>
      <c r="AI5" s="244" t="s">
        <v>323</v>
      </c>
      <c r="AJ5" s="244" t="s">
        <v>322</v>
      </c>
      <c r="AK5" s="244" t="s">
        <v>321</v>
      </c>
      <c r="AL5" s="244" t="s">
        <v>328</v>
      </c>
      <c r="AM5" s="244" t="s">
        <v>324</v>
      </c>
      <c r="AN5" s="244" t="s">
        <v>325</v>
      </c>
    </row>
    <row r="6" spans="1:40" x14ac:dyDescent="0.35">
      <c r="A6" s="245" t="s">
        <v>294</v>
      </c>
      <c r="B6" s="255" t="s">
        <v>315</v>
      </c>
      <c r="C6" s="246" t="s">
        <v>295</v>
      </c>
      <c r="D6" s="247" t="s">
        <v>342</v>
      </c>
      <c r="E6" s="109">
        <v>0</v>
      </c>
      <c r="F6" s="67">
        <v>0</v>
      </c>
      <c r="G6" s="109">
        <v>0</v>
      </c>
      <c r="H6" s="67">
        <v>0</v>
      </c>
      <c r="I6" s="109">
        <v>0</v>
      </c>
      <c r="J6" s="67">
        <v>0</v>
      </c>
      <c r="K6" s="109">
        <v>0</v>
      </c>
      <c r="L6" s="67">
        <v>0</v>
      </c>
      <c r="M6" s="109">
        <v>0</v>
      </c>
      <c r="N6" s="67">
        <v>0</v>
      </c>
      <c r="O6" s="109">
        <v>0</v>
      </c>
      <c r="P6" s="67">
        <v>0</v>
      </c>
      <c r="Q6" s="109">
        <v>0</v>
      </c>
      <c r="R6" s="67">
        <v>0</v>
      </c>
      <c r="S6" s="109">
        <v>0</v>
      </c>
      <c r="T6" s="67">
        <v>0</v>
      </c>
      <c r="U6" s="109">
        <v>0</v>
      </c>
      <c r="V6" s="67">
        <v>0</v>
      </c>
      <c r="W6" s="109">
        <v>0</v>
      </c>
      <c r="X6" s="67">
        <v>0</v>
      </c>
      <c r="Y6" s="109">
        <v>0</v>
      </c>
      <c r="Z6" s="67">
        <v>0</v>
      </c>
      <c r="AA6" s="109">
        <v>0</v>
      </c>
      <c r="AB6" s="67">
        <v>0</v>
      </c>
      <c r="AC6" s="109">
        <v>0</v>
      </c>
      <c r="AD6" s="67">
        <v>0</v>
      </c>
      <c r="AE6" s="109">
        <v>0</v>
      </c>
      <c r="AF6" s="67">
        <v>0</v>
      </c>
      <c r="AG6" s="109">
        <v>0</v>
      </c>
      <c r="AH6" s="67">
        <v>0</v>
      </c>
      <c r="AI6" s="109">
        <v>0</v>
      </c>
      <c r="AJ6" s="67">
        <v>0</v>
      </c>
      <c r="AK6" s="109">
        <v>0</v>
      </c>
      <c r="AL6" s="67">
        <v>0</v>
      </c>
      <c r="AM6" s="109">
        <v>0</v>
      </c>
      <c r="AN6" s="67">
        <v>0</v>
      </c>
    </row>
    <row r="7" spans="1:40" x14ac:dyDescent="0.35">
      <c r="A7" s="245" t="s">
        <v>296</v>
      </c>
      <c r="B7" s="255" t="s">
        <v>316</v>
      </c>
      <c r="C7" s="246" t="s">
        <v>346</v>
      </c>
      <c r="D7" s="247" t="s">
        <v>342</v>
      </c>
      <c r="E7" s="109">
        <v>1</v>
      </c>
      <c r="F7" s="67">
        <v>1.8499999999999999E-2</v>
      </c>
      <c r="G7" s="109">
        <v>1</v>
      </c>
      <c r="H7" s="67">
        <v>0.111</v>
      </c>
      <c r="I7" s="109">
        <v>1</v>
      </c>
      <c r="J7" s="67">
        <v>3.85E-2</v>
      </c>
      <c r="K7" s="109">
        <v>1</v>
      </c>
      <c r="L7" s="67">
        <v>1.8499999999999999E-2</v>
      </c>
      <c r="M7" s="109">
        <v>1</v>
      </c>
      <c r="N7" s="67">
        <v>0.1</v>
      </c>
      <c r="O7" s="109">
        <v>1</v>
      </c>
      <c r="P7" s="67">
        <v>3.85E-2</v>
      </c>
      <c r="Q7" s="109">
        <v>1</v>
      </c>
      <c r="R7" s="67">
        <v>1.8499999999999999E-2</v>
      </c>
      <c r="S7" s="109">
        <v>1</v>
      </c>
      <c r="T7" s="67">
        <v>0.111</v>
      </c>
      <c r="U7" s="109">
        <v>1</v>
      </c>
      <c r="V7" s="67">
        <v>3.85E-2</v>
      </c>
      <c r="W7" s="109">
        <v>1</v>
      </c>
      <c r="X7" s="67">
        <v>1.8499999999999999E-2</v>
      </c>
      <c r="Y7" s="109">
        <v>1</v>
      </c>
      <c r="Z7" s="67">
        <v>0.14285700000000001</v>
      </c>
      <c r="AA7" s="109">
        <v>1</v>
      </c>
      <c r="AB7" s="67">
        <v>3.85E-2</v>
      </c>
      <c r="AC7" s="109">
        <v>1</v>
      </c>
      <c r="AD7" s="67">
        <v>1.8499999999999999E-2</v>
      </c>
      <c r="AE7" s="109">
        <v>1</v>
      </c>
      <c r="AF7" s="67">
        <v>0.1666</v>
      </c>
      <c r="AG7" s="109">
        <v>1</v>
      </c>
      <c r="AH7" s="67">
        <v>3.85E-2</v>
      </c>
      <c r="AI7" s="109">
        <v>1</v>
      </c>
      <c r="AJ7" s="67">
        <v>1.8499999999999999E-2</v>
      </c>
      <c r="AK7" s="109">
        <v>1</v>
      </c>
      <c r="AL7" s="67">
        <v>0.1666</v>
      </c>
      <c r="AM7" s="109">
        <v>1</v>
      </c>
      <c r="AN7" s="67">
        <v>3.85E-2</v>
      </c>
    </row>
    <row r="8" spans="1:40" ht="15" customHeight="1" x14ac:dyDescent="0.35">
      <c r="A8" s="4" t="s">
        <v>297</v>
      </c>
      <c r="B8" s="255" t="s">
        <v>317</v>
      </c>
      <c r="C8" s="248">
        <v>486350</v>
      </c>
      <c r="E8" s="109">
        <v>2</v>
      </c>
      <c r="F8" s="67">
        <v>3.6999999999999998E-2</v>
      </c>
      <c r="G8" s="109">
        <v>2</v>
      </c>
      <c r="H8" s="67">
        <v>0.222</v>
      </c>
      <c r="I8" s="109">
        <v>2</v>
      </c>
      <c r="J8" s="67">
        <v>7.6999999999999999E-2</v>
      </c>
      <c r="K8" s="109">
        <v>2</v>
      </c>
      <c r="L8" s="67">
        <v>3.6999999999999998E-2</v>
      </c>
      <c r="M8" s="109">
        <v>2</v>
      </c>
      <c r="N8" s="67">
        <v>0.2</v>
      </c>
      <c r="O8" s="109">
        <v>2</v>
      </c>
      <c r="P8" s="67">
        <v>7.6999999999999999E-2</v>
      </c>
      <c r="Q8" s="109">
        <v>2</v>
      </c>
      <c r="R8" s="67">
        <v>3.6999999999999998E-2</v>
      </c>
      <c r="S8" s="109">
        <v>2</v>
      </c>
      <c r="T8" s="67">
        <v>0.222</v>
      </c>
      <c r="U8" s="109">
        <v>2</v>
      </c>
      <c r="V8" s="67">
        <v>7.6999999999999999E-2</v>
      </c>
      <c r="W8" s="109">
        <v>2</v>
      </c>
      <c r="X8" s="67">
        <v>3.6999999999999998E-2</v>
      </c>
      <c r="Y8" s="109">
        <v>2</v>
      </c>
      <c r="Z8" s="67">
        <v>0.28571400000000002</v>
      </c>
      <c r="AA8" s="109">
        <v>2</v>
      </c>
      <c r="AB8" s="67">
        <v>7.6999999999999999E-2</v>
      </c>
      <c r="AC8" s="109">
        <v>2</v>
      </c>
      <c r="AD8" s="67">
        <v>3.6999999999999998E-2</v>
      </c>
      <c r="AE8" s="109">
        <v>2</v>
      </c>
      <c r="AF8" s="67">
        <v>0.3332</v>
      </c>
      <c r="AG8" s="109">
        <v>2</v>
      </c>
      <c r="AH8" s="67">
        <v>7.6999999999999999E-2</v>
      </c>
      <c r="AI8" s="109">
        <v>2</v>
      </c>
      <c r="AJ8" s="67">
        <v>3.6999999999999998E-2</v>
      </c>
      <c r="AK8" s="109">
        <v>2</v>
      </c>
      <c r="AL8" s="67">
        <v>0.3332</v>
      </c>
      <c r="AM8" s="109">
        <v>2</v>
      </c>
      <c r="AN8" s="67">
        <v>7.6999999999999999E-2</v>
      </c>
    </row>
    <row r="9" spans="1:40" x14ac:dyDescent="0.35">
      <c r="A9" s="245" t="s">
        <v>298</v>
      </c>
      <c r="B9" s="255" t="s">
        <v>318</v>
      </c>
      <c r="C9" s="246">
        <v>22</v>
      </c>
      <c r="E9" s="109">
        <v>3</v>
      </c>
      <c r="F9" s="67">
        <v>5.5500000000000001E-2</v>
      </c>
      <c r="G9" s="109">
        <v>3</v>
      </c>
      <c r="H9" s="67">
        <v>0.33300000000000002</v>
      </c>
      <c r="I9" s="109">
        <v>3</v>
      </c>
      <c r="J9" s="67">
        <v>0.11550000000000001</v>
      </c>
      <c r="K9" s="109">
        <v>3</v>
      </c>
      <c r="L9" s="67">
        <v>5.5500000000000001E-2</v>
      </c>
      <c r="M9" s="109">
        <v>3</v>
      </c>
      <c r="N9" s="67">
        <v>0.3</v>
      </c>
      <c r="O9" s="109">
        <v>3</v>
      </c>
      <c r="P9" s="67">
        <v>0.11550000000000001</v>
      </c>
      <c r="Q9" s="109">
        <v>3</v>
      </c>
      <c r="R9" s="67">
        <v>5.5500000000000001E-2</v>
      </c>
      <c r="S9" s="109">
        <v>3</v>
      </c>
      <c r="T9" s="67">
        <v>0.33300000000000002</v>
      </c>
      <c r="U9" s="109">
        <v>3</v>
      </c>
      <c r="V9" s="67">
        <v>0.11550000000000001</v>
      </c>
      <c r="W9" s="109">
        <v>3</v>
      </c>
      <c r="X9" s="67">
        <v>5.5500000000000001E-2</v>
      </c>
      <c r="Y9" s="109">
        <v>3</v>
      </c>
      <c r="Z9" s="67">
        <v>0.42857099999999998</v>
      </c>
      <c r="AA9" s="109">
        <v>3</v>
      </c>
      <c r="AB9" s="67">
        <v>0.11550000000000001</v>
      </c>
      <c r="AC9" s="109">
        <v>3</v>
      </c>
      <c r="AD9" s="67">
        <v>5.5500000000000001E-2</v>
      </c>
      <c r="AE9" s="109">
        <v>3</v>
      </c>
      <c r="AF9" s="67">
        <v>0.49980000000000002</v>
      </c>
      <c r="AG9" s="109">
        <v>3</v>
      </c>
      <c r="AH9" s="67">
        <v>0.11550000000000001</v>
      </c>
      <c r="AI9" s="109">
        <v>3</v>
      </c>
      <c r="AJ9" s="67">
        <v>5.5500000000000001E-2</v>
      </c>
      <c r="AK9" s="109">
        <v>3</v>
      </c>
      <c r="AL9" s="67">
        <v>0.49980000000000002</v>
      </c>
      <c r="AM9" s="109">
        <v>3</v>
      </c>
      <c r="AN9" s="67">
        <v>0.11550000000000001</v>
      </c>
    </row>
    <row r="10" spans="1:40" x14ac:dyDescent="0.35">
      <c r="A10" s="245" t="s">
        <v>299</v>
      </c>
      <c r="B10" s="255" t="s">
        <v>319</v>
      </c>
      <c r="C10" s="246">
        <v>111</v>
      </c>
      <c r="E10" s="109">
        <v>4</v>
      </c>
      <c r="F10" s="67">
        <v>7.3999999999999996E-2</v>
      </c>
      <c r="G10" s="109">
        <v>4</v>
      </c>
      <c r="H10" s="67">
        <v>0.44400000000000001</v>
      </c>
      <c r="I10" s="109">
        <v>4</v>
      </c>
      <c r="J10" s="67">
        <v>0.154</v>
      </c>
      <c r="K10" s="109">
        <v>4</v>
      </c>
      <c r="L10" s="67">
        <v>7.3999999999999996E-2</v>
      </c>
      <c r="M10" s="109">
        <v>4</v>
      </c>
      <c r="N10" s="67">
        <v>0.4</v>
      </c>
      <c r="O10" s="109">
        <v>4</v>
      </c>
      <c r="P10" s="67">
        <v>0.154</v>
      </c>
      <c r="Q10" s="109">
        <v>4</v>
      </c>
      <c r="R10" s="67">
        <v>7.3999999999999996E-2</v>
      </c>
      <c r="S10" s="109">
        <v>4</v>
      </c>
      <c r="T10" s="67">
        <v>0.44400000000000001</v>
      </c>
      <c r="U10" s="109">
        <v>4</v>
      </c>
      <c r="V10" s="67">
        <v>0.154</v>
      </c>
      <c r="W10" s="109">
        <v>4</v>
      </c>
      <c r="X10" s="67">
        <v>7.3999999999999996E-2</v>
      </c>
      <c r="Y10" s="109">
        <v>4</v>
      </c>
      <c r="Z10" s="67">
        <v>0.57142800000000005</v>
      </c>
      <c r="AA10" s="109">
        <v>4</v>
      </c>
      <c r="AB10" s="67">
        <v>0.154</v>
      </c>
      <c r="AC10" s="109">
        <v>4</v>
      </c>
      <c r="AD10" s="67">
        <v>7.3999999999999996E-2</v>
      </c>
      <c r="AE10" s="109">
        <v>4</v>
      </c>
      <c r="AF10" s="67">
        <v>0.66639999999999999</v>
      </c>
      <c r="AG10" s="109">
        <v>4</v>
      </c>
      <c r="AH10" s="67">
        <v>0.154</v>
      </c>
      <c r="AI10" s="109">
        <v>4</v>
      </c>
      <c r="AJ10" s="67">
        <v>7.3999999999999996E-2</v>
      </c>
      <c r="AK10" s="109">
        <v>4</v>
      </c>
      <c r="AL10" s="67">
        <v>0.66639999999999999</v>
      </c>
      <c r="AM10" s="109">
        <v>4</v>
      </c>
      <c r="AN10" s="67">
        <v>0.154</v>
      </c>
    </row>
    <row r="11" spans="1:40" x14ac:dyDescent="0.35">
      <c r="A11" s="245" t="s">
        <v>300</v>
      </c>
      <c r="B11" s="231" t="s">
        <v>320</v>
      </c>
      <c r="C11" s="4">
        <v>5</v>
      </c>
      <c r="E11" s="109">
        <v>5</v>
      </c>
      <c r="F11" s="67">
        <v>9.2499999999999999E-2</v>
      </c>
      <c r="G11" s="109">
        <v>5</v>
      </c>
      <c r="H11" s="67">
        <v>0.55500000000000005</v>
      </c>
      <c r="I11" s="109">
        <v>5</v>
      </c>
      <c r="J11" s="67">
        <v>0.1925</v>
      </c>
      <c r="K11" s="109">
        <v>5</v>
      </c>
      <c r="L11" s="67">
        <v>9.2499999999999999E-2</v>
      </c>
      <c r="M11" s="109">
        <v>5</v>
      </c>
      <c r="N11" s="67">
        <v>0.5</v>
      </c>
      <c r="O11" s="109">
        <v>5</v>
      </c>
      <c r="P11" s="67">
        <v>0.1925</v>
      </c>
      <c r="Q11" s="109">
        <v>5</v>
      </c>
      <c r="R11" s="67">
        <v>9.2499999999999999E-2</v>
      </c>
      <c r="S11" s="109">
        <v>5</v>
      </c>
      <c r="T11" s="67">
        <v>0.55500000000000005</v>
      </c>
      <c r="U11" s="109">
        <v>5</v>
      </c>
      <c r="V11" s="67">
        <v>0.1925</v>
      </c>
      <c r="W11" s="109">
        <v>5</v>
      </c>
      <c r="X11" s="67">
        <v>9.2499999999999999E-2</v>
      </c>
      <c r="Y11" s="109">
        <v>5</v>
      </c>
      <c r="Z11" s="67">
        <v>0.71428499999999995</v>
      </c>
      <c r="AA11" s="109">
        <v>5</v>
      </c>
      <c r="AB11" s="67">
        <v>0.1925</v>
      </c>
      <c r="AC11" s="109">
        <v>5</v>
      </c>
      <c r="AD11" s="67">
        <v>9.2499999999999999E-2</v>
      </c>
      <c r="AE11" s="109">
        <v>5</v>
      </c>
      <c r="AF11" s="67">
        <v>0.83299999999999996</v>
      </c>
      <c r="AG11" s="109">
        <v>5</v>
      </c>
      <c r="AH11" s="67">
        <v>0.1925</v>
      </c>
      <c r="AI11" s="109">
        <v>5</v>
      </c>
      <c r="AJ11" s="67">
        <v>9.2499999999999999E-2</v>
      </c>
      <c r="AK11" s="109">
        <v>5</v>
      </c>
      <c r="AL11" s="67">
        <v>0.83299999999999996</v>
      </c>
      <c r="AM11" s="109">
        <v>5</v>
      </c>
      <c r="AN11" s="67">
        <v>0.1925</v>
      </c>
    </row>
    <row r="12" spans="1:40" x14ac:dyDescent="0.35">
      <c r="E12" s="109">
        <v>6</v>
      </c>
      <c r="F12" s="67">
        <v>0.111</v>
      </c>
      <c r="G12" s="109">
        <v>6</v>
      </c>
      <c r="H12" s="67">
        <v>0.66600000000000004</v>
      </c>
      <c r="I12" s="109">
        <v>6</v>
      </c>
      <c r="J12" s="67">
        <v>0.23100000000000001</v>
      </c>
      <c r="K12" s="109">
        <v>6</v>
      </c>
      <c r="L12" s="67">
        <v>0.111</v>
      </c>
      <c r="M12" s="109">
        <v>6</v>
      </c>
      <c r="N12" s="67">
        <v>0.6</v>
      </c>
      <c r="O12" s="109">
        <v>6</v>
      </c>
      <c r="P12" s="67">
        <v>0.23100000000000001</v>
      </c>
      <c r="Q12" s="109">
        <v>6</v>
      </c>
      <c r="R12" s="67">
        <v>0.111</v>
      </c>
      <c r="S12" s="109">
        <v>6</v>
      </c>
      <c r="T12" s="67">
        <v>0.66600000000000004</v>
      </c>
      <c r="U12" s="109">
        <v>6</v>
      </c>
      <c r="V12" s="67">
        <v>0.23100000000000001</v>
      </c>
      <c r="W12" s="109">
        <v>6</v>
      </c>
      <c r="X12" s="67">
        <v>0.111</v>
      </c>
      <c r="Y12" s="109">
        <v>6</v>
      </c>
      <c r="Z12" s="67">
        <v>0.85714199999999996</v>
      </c>
      <c r="AA12" s="109">
        <v>6</v>
      </c>
      <c r="AB12" s="67">
        <v>0.23100000000000001</v>
      </c>
      <c r="AC12" s="109">
        <v>6</v>
      </c>
      <c r="AD12" s="67">
        <v>0.111</v>
      </c>
      <c r="AE12" s="109">
        <v>6</v>
      </c>
      <c r="AF12" s="67">
        <v>0.99960000000000004</v>
      </c>
      <c r="AG12" s="109">
        <v>6</v>
      </c>
      <c r="AH12" s="67">
        <v>0.23100000000000001</v>
      </c>
      <c r="AI12" s="109">
        <v>6</v>
      </c>
      <c r="AJ12" s="67">
        <v>0.111</v>
      </c>
      <c r="AK12" s="109">
        <v>6</v>
      </c>
      <c r="AL12" s="67">
        <v>0.99960000000000004</v>
      </c>
      <c r="AM12" s="109">
        <v>6</v>
      </c>
      <c r="AN12" s="67">
        <v>0.23100000000000001</v>
      </c>
    </row>
    <row r="13" spans="1:40" x14ac:dyDescent="0.35">
      <c r="A13" s="4" t="s">
        <v>301</v>
      </c>
      <c r="B13" s="4" t="s">
        <v>326</v>
      </c>
      <c r="C13" s="250">
        <f>IF(AND(C7="Subalpin",OR(C6="Jura",C6="Plateau")),"Attention : la combinaison biogéographie/étage altitudinal n'existe pas.",IF(AND(C7="Subalpin",OR(C6="Versant nord des Alpes",C6="Alpes centrales occidentales",C6="Alpes centrales orientales",C6="Versant sud des Alpes")),_xlfn.XLOOKUP(C9,AI6:AI60,AJ6:AJ60,$F$61,0,1),IF(AND(C7="Alpin",OR(C6="Jura",C6="Plateau",C6="Versant nord des Alpes",C6="Alpes centrales occidentales",C6="Alpes centrales orientales",C6="Versant sud des Alpes")),"Attention : l'évaluation de l'étage altitudinal alpin n'existe pas encore -&gt; veuillez prendre contact avec la Station ornithologique de Sempach.",IF(AND(C6="Jura",C7="Collinéen"),_xlfn.XLOOKUP(C9,E6:E60,F6:F60,$F$61,0,1),IF(AND(C6="Jura",C7="Montagnard"),_xlfn.XLOOKUP(C9,W6:W60,X6:X60,$F$61,0,1),IF(AND(C6="Plateau",C7="Collinéen"),_xlfn.XLOOKUP(C9,K6:K60,L6:L60,$F$61,0,1),IF(AND(C6="Plateau",C7="Montagnard"),_xlfn.XLOOKUP(C9,AC6:AC60,AD6:AD60,$F$61,0,1),IF(AND(C6="Versant nord des Alpes",C7="Collinéen"),_xlfn.XLOOKUP(C9,K6:K60,L6:L60,$F$61,0,1),IF(AND(C6="Versant nord des Alpes",C7="Montagnard"),_xlfn.XLOOKUP(C9,AC6:AC60,AD6:AD60,$F$61,0,1),IF(AND(C6="Alpes centrales occidentales",C7="Collinéen"),_xlfn.XLOOKUP(C9,Q6:Q60,R6:R60,$F$61,0,1),IF(AND(C6="Alpes centrales occidentales",C7="Montagnard"),_xlfn.XLOOKUP(C9,AC6:AC60,AD6:AD60,$F$61,0,1),IF(AND(C6="Alpes centrales orientales",C7="Collinéen"),_xlfn.XLOOKUP(C9,Q6:Q60,R6:R60,$F$61,0,1),IF(AND(C6="Alpes centrales orientales",C7="Montagnard"),_xlfn.XLOOKUP(C9,AC6:AC60,AD6:AD60,$F$61,0,1),IF(AND(C6="Versant sud des Alpes",C7="Collinéen"),_xlfn.XLOOKUP(C9,Q6:Q60,R6:R60,$F$61,0,1),IF(AND(C6="Versant sud des Alpes",C7="Montagnard"),_xlfn.XLOOKUP(C9,AC6:AC60,AD6:AD60,$F$61,0,1),$F$61)))))))))))))))</f>
        <v>0.40699999999999997</v>
      </c>
      <c r="E13" s="109">
        <v>7</v>
      </c>
      <c r="F13" s="67">
        <v>0.1295</v>
      </c>
      <c r="G13" s="109">
        <v>7</v>
      </c>
      <c r="H13" s="67">
        <v>0.77700000000000002</v>
      </c>
      <c r="I13" s="109">
        <v>7</v>
      </c>
      <c r="J13" s="67">
        <v>0.26950000000000002</v>
      </c>
      <c r="K13" s="109">
        <v>7</v>
      </c>
      <c r="L13" s="67">
        <v>0.1295</v>
      </c>
      <c r="M13" s="109">
        <v>7</v>
      </c>
      <c r="N13" s="67">
        <v>0.7</v>
      </c>
      <c r="O13" s="109">
        <v>7</v>
      </c>
      <c r="P13" s="67">
        <v>0.26950000000000002</v>
      </c>
      <c r="Q13" s="109">
        <v>7</v>
      </c>
      <c r="R13" s="67">
        <v>0.1295</v>
      </c>
      <c r="S13" s="109">
        <v>7</v>
      </c>
      <c r="T13" s="67">
        <v>0.77700000000000002</v>
      </c>
      <c r="U13" s="109">
        <v>7</v>
      </c>
      <c r="V13" s="67">
        <v>0.26950000000000002</v>
      </c>
      <c r="W13" s="109">
        <v>7</v>
      </c>
      <c r="X13" s="67">
        <v>0.1295</v>
      </c>
      <c r="Y13" s="109">
        <v>7</v>
      </c>
      <c r="Z13" s="67">
        <v>0.99999899999999997</v>
      </c>
      <c r="AA13" s="109">
        <v>7</v>
      </c>
      <c r="AB13" s="67">
        <v>0.26950000000000002</v>
      </c>
      <c r="AC13" s="109">
        <v>7</v>
      </c>
      <c r="AD13" s="67">
        <v>0.1295</v>
      </c>
      <c r="AE13" s="251" t="s">
        <v>302</v>
      </c>
      <c r="AF13" s="252" t="s">
        <v>314</v>
      </c>
      <c r="AG13" s="109">
        <v>7</v>
      </c>
      <c r="AH13" s="67">
        <v>0.26950000000000002</v>
      </c>
      <c r="AI13" s="109">
        <v>7</v>
      </c>
      <c r="AJ13" s="67">
        <v>0.1295</v>
      </c>
      <c r="AK13" s="251" t="s">
        <v>302</v>
      </c>
      <c r="AL13" s="252" t="s">
        <v>314</v>
      </c>
      <c r="AM13" s="109">
        <v>7</v>
      </c>
      <c r="AN13" s="67">
        <v>0.26950000000000002</v>
      </c>
    </row>
    <row r="14" spans="1:40" x14ac:dyDescent="0.35">
      <c r="A14" s="4" t="s">
        <v>303</v>
      </c>
      <c r="B14" s="249" t="s">
        <v>327</v>
      </c>
      <c r="C14" s="250">
        <f>IF(AND(C7="Subalpin",OR(C6="Jura",C6="Plateau")),"Attention : la combinaison biogéographie/étage altitudinal n'existe pas.",IF(AND(C7="Subalpin",OR(C6="Versant nord des Alpes",C6="Alpes centrales occidentales",C6="Alpes centrales orientales",C6="Versant sud des Alpes")),_xlfn.XLOOKUP(C11,AK6:AK12,AL6:AL12,$F$61,0,1),IF(AND(C7="Alpin",OR(C6="Jura",C6="Plateau",C6="Versant nord des Alpes",C6="Alpes centrales occidentales",C6="Alpes centrales orientales",C6="Versant sud des Alpes")),"Attention : l'évaluation de l'étage altitudinal alpin n'existe pas encore -&gt; veuillez prendre contact avec la Station ornithologique de Sempach.",IF(AND(C6="Jura",C7="Collinéen"),_xlfn.XLOOKUP(C11,G6:G15,H6:H15,$F$61,0,1),IF(AND(C6="Jura",C7="Montagnard"),_xlfn.XLOOKUP(C11,Y6:Y13,Z6:Z13,$F$61,0,1),IF(AND(C6="Plateau",C7="Collinéen"),_xlfn.XLOOKUP(C11,M6:M16,N6:N16,$F$61,0,1),IF(AND(C6="Plateau",C7="Montagnard"),_xlfn.XLOOKUP(C11,AE6:AE12,AF6:AF12,$F$61,0,1),IF(AND(C6="Versant nord des Alpes",C7="Collinéen"),_xlfn.XLOOKUP(C11,M6:M16,N6:N16,$F$61,0,1),IF(AND(C6="Versant nord des Alpes",C7="Montagnard"),_xlfn.XLOOKUP(C11,AE6:AE12,AF6:AF12,$F$61,0,1),IF(AND(C6="Alpes centrales occidentales",C7="Collinéen"),_xlfn.XLOOKUP(C11,S6:S15,T6:T15,$F$61,0,1),IF(AND(C6="Alpes centrales occidentales",C7="Montagnard"),_xlfn.XLOOKUP(C11,AE6:AE12,AF6:AF12,$F$61,0,1),IF(AND(C6="Alpes centrales orientales",C7="Collinéen"),_xlfn.XLOOKUP(C11,S6:S15,T6:T15,$F$61,0,1),IF(AND(C6="Alpes centrales orientales",C7="Montagnard"),_xlfn.XLOOKUP(C11,AE6:AE12,AF6:AF12,$F$61,0,1),IF(AND(C6="Versant sud des Alpes",C7="Collinéen"),_xlfn.XLOOKUP(C11,S6:S15,T6:T15,$F$61,0,1),IF(AND(C6="Versant sud des Alpes",C7="Montagnard"),_xlfn.XLOOKUP(C11,AE6:AE12,AF6:AF12,$F$61,0,1),$F$61)))))))))))))))</f>
        <v>0.55500000000000005</v>
      </c>
      <c r="E14" s="109">
        <v>8</v>
      </c>
      <c r="F14" s="67">
        <v>0.14799999999999999</v>
      </c>
      <c r="G14" s="109">
        <v>8</v>
      </c>
      <c r="H14" s="67">
        <v>0.88800000000000001</v>
      </c>
      <c r="I14" s="109">
        <v>8</v>
      </c>
      <c r="J14" s="67">
        <v>0.308</v>
      </c>
      <c r="K14" s="109">
        <v>8</v>
      </c>
      <c r="L14" s="67">
        <v>0.14799999999999999</v>
      </c>
      <c r="M14" s="109">
        <v>8</v>
      </c>
      <c r="N14" s="67">
        <v>0.8</v>
      </c>
      <c r="O14" s="109">
        <v>8</v>
      </c>
      <c r="P14" s="67">
        <v>0.308</v>
      </c>
      <c r="Q14" s="109">
        <v>8</v>
      </c>
      <c r="R14" s="67">
        <v>0.14799999999999999</v>
      </c>
      <c r="S14" s="109">
        <v>8</v>
      </c>
      <c r="T14" s="67">
        <v>0.88800000000000001</v>
      </c>
      <c r="U14" s="109">
        <v>8</v>
      </c>
      <c r="V14" s="67">
        <v>0.308</v>
      </c>
      <c r="W14" s="109">
        <v>8</v>
      </c>
      <c r="X14" s="67">
        <v>0.14799999999999999</v>
      </c>
      <c r="Y14" s="251" t="s">
        <v>304</v>
      </c>
      <c r="Z14" s="252" t="s">
        <v>314</v>
      </c>
      <c r="AA14" s="109">
        <v>8</v>
      </c>
      <c r="AB14" s="67">
        <v>0.308</v>
      </c>
      <c r="AC14" s="109">
        <v>8</v>
      </c>
      <c r="AD14" s="67">
        <v>0.14799999999999999</v>
      </c>
      <c r="AE14" s="109"/>
      <c r="AF14" s="67"/>
      <c r="AG14" s="109">
        <v>8</v>
      </c>
      <c r="AH14" s="67">
        <v>0.308</v>
      </c>
      <c r="AI14" s="109">
        <v>8</v>
      </c>
      <c r="AJ14" s="67">
        <v>0.14799999999999999</v>
      </c>
      <c r="AK14" s="109"/>
      <c r="AL14" s="67"/>
      <c r="AM14" s="109">
        <v>8</v>
      </c>
      <c r="AN14" s="67">
        <v>0.308</v>
      </c>
    </row>
    <row r="15" spans="1:40" x14ac:dyDescent="0.35">
      <c r="B15" s="253" t="s">
        <v>330</v>
      </c>
      <c r="C15" s="233">
        <f>ROUND(C10/(C8/10000),0)</f>
        <v>2</v>
      </c>
      <c r="E15" s="109">
        <v>9</v>
      </c>
      <c r="F15" s="67">
        <v>0.16650000000000001</v>
      </c>
      <c r="G15" s="109">
        <v>9</v>
      </c>
      <c r="H15" s="67">
        <v>0.999</v>
      </c>
      <c r="I15" s="109">
        <v>9</v>
      </c>
      <c r="J15" s="67">
        <v>0.34649999999999997</v>
      </c>
      <c r="K15" s="109">
        <v>9</v>
      </c>
      <c r="L15" s="67">
        <v>0.16650000000000001</v>
      </c>
      <c r="M15" s="109">
        <v>9</v>
      </c>
      <c r="N15" s="67">
        <v>0.9</v>
      </c>
      <c r="O15" s="109">
        <v>9</v>
      </c>
      <c r="P15" s="67">
        <v>0.34649999999999997</v>
      </c>
      <c r="Q15" s="109">
        <v>9</v>
      </c>
      <c r="R15" s="67">
        <v>0.16650000000000001</v>
      </c>
      <c r="S15" s="109">
        <v>9</v>
      </c>
      <c r="T15" s="67">
        <v>0.999</v>
      </c>
      <c r="U15" s="109">
        <v>9</v>
      </c>
      <c r="V15" s="67">
        <v>0.34649999999999997</v>
      </c>
      <c r="W15" s="109">
        <v>9</v>
      </c>
      <c r="X15" s="67">
        <v>0.16650000000000001</v>
      </c>
      <c r="Y15" s="109"/>
      <c r="Z15" s="67"/>
      <c r="AA15" s="109">
        <v>9</v>
      </c>
      <c r="AB15" s="67">
        <v>0.34649999999999997</v>
      </c>
      <c r="AC15" s="109">
        <v>9</v>
      </c>
      <c r="AD15" s="67">
        <v>0.16650000000000001</v>
      </c>
      <c r="AE15" s="109"/>
      <c r="AF15" s="67"/>
      <c r="AG15" s="109">
        <v>9</v>
      </c>
      <c r="AH15" s="67">
        <v>0.34649999999999997</v>
      </c>
      <c r="AI15" s="109">
        <v>9</v>
      </c>
      <c r="AJ15" s="67">
        <v>0.16650000000000001</v>
      </c>
      <c r="AK15" s="109"/>
      <c r="AL15" s="67"/>
      <c r="AM15" s="109">
        <v>9</v>
      </c>
      <c r="AN15" s="67">
        <v>0.34649999999999997</v>
      </c>
    </row>
    <row r="16" spans="1:40" x14ac:dyDescent="0.35">
      <c r="A16" s="4" t="s">
        <v>305</v>
      </c>
      <c r="B16" s="249" t="s">
        <v>329</v>
      </c>
      <c r="C16" s="250">
        <f>IF(AND(C7="Subalpin",OR(C6="Jura",C6="Plateau")),"Attention : la combinaison biogéographie/étage altitudinal n'existe pas.",IF(AND(C7="Subalpin",OR(C6="Versant nord des Alpes",C6="Alpes centrales occidentales",C6="Alpes centrales orientales",C6="Versant sud des Alpes")),_xlfn.XLOOKUP(C15,AM6:AM32,AN6:AN32,$F$61,0,1),IF(AND(C6="Jura",C7="Collinéen"),_xlfn.XLOOKUP(C15,I6:I32,J6:J32,$F$61,0,1),IF(AND(C6="Jura",C7="Montagnard"),_xlfn.XLOOKUP(C15,AA6:AA32,AB6:AB32,$F$61,0,1),IF(AND(C6="Plateau",C7="Collinéen"),_xlfn.XLOOKUP(C15,O6:O32,P6:P32,$F$61,0,1),IF(AND(C6="Plateau",C7="Montagnard"),_xlfn.XLOOKUP(C15,AG6:AG32,AH6:AH32,$F$61,0,1),IF(AND(C6="Versant nord des Alpes",C7="Collinéen"),_xlfn.XLOOKUP(C15,O6:O32,P6:P32,$F$61,0,1),IF(AND(C6="Versant nord des Alpes",C7="Montagnard"),_xlfn.XLOOKUP(C15,AG6:AG32,AH6:AH32,$F$61,0,1),IF(AND(C6="Alpes centrales occidentales",C7="Collinéen"),_xlfn.XLOOKUP(C15,U6:U32,V6:V32,$F$61,0,1),IF(AND(C6="Alpes centrales occidentales",C7="Montagnard"),_xlfn.XLOOKUP(C15,AG6:AG32,AH6:AH32,$F$61,0,1),IF(AND(C6="Alpes centrales orientales",C7="Collinéen"),_xlfn.XLOOKUP(C15,U6:U32,V6:V32,$F$61,0,1),IF(AND(C6="Alpes centrales orientales",C7="Montagnard"),_xlfn.XLOOKUP(C15,AG6:AG32,AH6:AH32,$F$61,0,1),IF(AND(C6="Versant sud des Alpes",C7="Collinéen"),_xlfn.XLOOKUP(C15,U6:U32,V6:V32,$F$61,0,1),IF(AND(C6="Versant sud des Alpes",C7="Montagnard"),_xlfn.XLOOKUP(C15,AG6:AG32,AH6:AH32,$F$61,0,1),"Attention : l'évaluation de l'étage altitudinal alpin n'existe pas encore -&gt; veuillez prendre contact avec la Station ornithologique de Sempach."))))))))))))))</f>
        <v>7.6999999999999999E-2</v>
      </c>
      <c r="E16" s="109">
        <v>10</v>
      </c>
      <c r="F16" s="67">
        <v>0.185</v>
      </c>
      <c r="G16" s="251" t="s">
        <v>306</v>
      </c>
      <c r="H16" s="252" t="s">
        <v>314</v>
      </c>
      <c r="I16" s="109">
        <v>10</v>
      </c>
      <c r="J16" s="67">
        <v>0.38500000000000001</v>
      </c>
      <c r="K16" s="109">
        <v>10</v>
      </c>
      <c r="L16" s="67">
        <v>0.185</v>
      </c>
      <c r="M16" s="109">
        <v>10</v>
      </c>
      <c r="N16" s="67">
        <v>1</v>
      </c>
      <c r="O16" s="109">
        <v>10</v>
      </c>
      <c r="P16" s="67">
        <v>0.38500000000000001</v>
      </c>
      <c r="Q16" s="109">
        <v>10</v>
      </c>
      <c r="R16" s="67">
        <v>0.185</v>
      </c>
      <c r="S16" s="251" t="s">
        <v>306</v>
      </c>
      <c r="T16" s="252" t="s">
        <v>314</v>
      </c>
      <c r="U16" s="109">
        <v>10</v>
      </c>
      <c r="V16" s="67">
        <v>0.38500000000000001</v>
      </c>
      <c r="W16" s="109">
        <v>10</v>
      </c>
      <c r="X16" s="67">
        <v>0.185</v>
      </c>
      <c r="Y16" s="109"/>
      <c r="Z16" s="67"/>
      <c r="AA16" s="109">
        <v>10</v>
      </c>
      <c r="AB16" s="67">
        <v>0.38500000000000001</v>
      </c>
      <c r="AC16" s="109">
        <v>10</v>
      </c>
      <c r="AD16" s="67">
        <v>0.185</v>
      </c>
      <c r="AE16" s="109"/>
      <c r="AF16" s="67"/>
      <c r="AG16" s="109">
        <v>10</v>
      </c>
      <c r="AH16" s="67">
        <v>0.38500000000000001</v>
      </c>
      <c r="AI16" s="109">
        <v>10</v>
      </c>
      <c r="AJ16" s="67">
        <v>0.185</v>
      </c>
      <c r="AK16" s="109"/>
      <c r="AL16" s="67"/>
      <c r="AM16" s="109">
        <v>10</v>
      </c>
      <c r="AN16" s="67">
        <v>0.38500000000000001</v>
      </c>
    </row>
    <row r="17" spans="1:40" x14ac:dyDescent="0.35">
      <c r="A17" s="4" t="s">
        <v>307</v>
      </c>
      <c r="B17" s="249" t="s">
        <v>350</v>
      </c>
      <c r="C17" s="250">
        <f>(C13*35+C14*50+C16*15)/100</f>
        <v>0.43150000000000005</v>
      </c>
      <c r="E17" s="109">
        <v>11</v>
      </c>
      <c r="F17" s="67">
        <v>0.20349999999999999</v>
      </c>
      <c r="G17" s="67"/>
      <c r="H17" s="67"/>
      <c r="I17" s="109">
        <v>11</v>
      </c>
      <c r="J17" s="67">
        <v>0.42349999999999999</v>
      </c>
      <c r="K17" s="109">
        <v>11</v>
      </c>
      <c r="L17" s="67">
        <v>0.20349999999999999</v>
      </c>
      <c r="M17" s="251" t="s">
        <v>308</v>
      </c>
      <c r="N17" s="252" t="s">
        <v>314</v>
      </c>
      <c r="O17" s="109">
        <v>11</v>
      </c>
      <c r="P17" s="67">
        <v>0.42349999999999999</v>
      </c>
      <c r="Q17" s="109">
        <v>11</v>
      </c>
      <c r="R17" s="67">
        <v>0.20349999999999999</v>
      </c>
      <c r="S17" s="67"/>
      <c r="T17" s="67"/>
      <c r="U17" s="109">
        <v>11</v>
      </c>
      <c r="V17" s="67">
        <v>0.42349999999999999</v>
      </c>
      <c r="W17" s="109">
        <v>11</v>
      </c>
      <c r="X17" s="67">
        <v>0.20349999999999999</v>
      </c>
      <c r="Y17" s="67"/>
      <c r="Z17" s="67"/>
      <c r="AA17" s="109">
        <v>11</v>
      </c>
      <c r="AB17" s="67">
        <v>0.42349999999999999</v>
      </c>
      <c r="AC17" s="109">
        <v>11</v>
      </c>
      <c r="AD17" s="67">
        <v>0.20349999999999999</v>
      </c>
      <c r="AE17" s="67"/>
      <c r="AF17" s="67"/>
      <c r="AG17" s="109">
        <v>11</v>
      </c>
      <c r="AH17" s="67">
        <v>0.42349999999999999</v>
      </c>
      <c r="AI17" s="109">
        <v>11</v>
      </c>
      <c r="AJ17" s="67">
        <v>0.20349999999999999</v>
      </c>
      <c r="AK17" s="67"/>
      <c r="AL17" s="67"/>
      <c r="AM17" s="109">
        <v>11</v>
      </c>
      <c r="AN17" s="67">
        <v>0.42349999999999999</v>
      </c>
    </row>
    <row r="18" spans="1:40" x14ac:dyDescent="0.35">
      <c r="E18" s="109">
        <v>12</v>
      </c>
      <c r="F18" s="67">
        <v>0.222</v>
      </c>
      <c r="G18" s="67"/>
      <c r="H18" s="67"/>
      <c r="I18" s="109">
        <v>12</v>
      </c>
      <c r="J18" s="67">
        <v>0.46200000000000002</v>
      </c>
      <c r="K18" s="109">
        <v>12</v>
      </c>
      <c r="L18" s="67">
        <v>0.222</v>
      </c>
      <c r="M18" s="67"/>
      <c r="N18" s="67"/>
      <c r="O18" s="109">
        <v>12</v>
      </c>
      <c r="P18" s="67">
        <v>0.46200000000000002</v>
      </c>
      <c r="Q18" s="109">
        <v>12</v>
      </c>
      <c r="R18" s="67">
        <v>0.222</v>
      </c>
      <c r="S18" s="67"/>
      <c r="T18" s="67"/>
      <c r="U18" s="109">
        <v>12</v>
      </c>
      <c r="V18" s="67">
        <v>0.46200000000000002</v>
      </c>
      <c r="W18" s="109">
        <v>12</v>
      </c>
      <c r="X18" s="67">
        <v>0.222</v>
      </c>
      <c r="Y18" s="67"/>
      <c r="Z18" s="67"/>
      <c r="AA18" s="109">
        <v>12</v>
      </c>
      <c r="AB18" s="67">
        <v>0.46200000000000002</v>
      </c>
      <c r="AC18" s="109">
        <v>12</v>
      </c>
      <c r="AD18" s="67">
        <v>0.222</v>
      </c>
      <c r="AE18" s="67"/>
      <c r="AF18" s="67"/>
      <c r="AG18" s="109">
        <v>12</v>
      </c>
      <c r="AH18" s="67">
        <v>0.46200000000000002</v>
      </c>
      <c r="AI18" s="109">
        <v>12</v>
      </c>
      <c r="AJ18" s="67">
        <v>0.222</v>
      </c>
      <c r="AK18" s="67"/>
      <c r="AL18" s="67"/>
      <c r="AM18" s="109">
        <v>12</v>
      </c>
      <c r="AN18" s="67">
        <v>0.46200000000000002</v>
      </c>
    </row>
    <row r="19" spans="1:40" x14ac:dyDescent="0.35">
      <c r="E19" s="109">
        <v>13</v>
      </c>
      <c r="F19" s="67">
        <v>0.24049999999999999</v>
      </c>
      <c r="G19" s="67"/>
      <c r="H19" s="67"/>
      <c r="I19" s="109">
        <v>13</v>
      </c>
      <c r="J19" s="67">
        <v>0.50049999999999994</v>
      </c>
      <c r="K19" s="109">
        <v>13</v>
      </c>
      <c r="L19" s="67">
        <v>0.24049999999999999</v>
      </c>
      <c r="M19" s="67"/>
      <c r="N19" s="67"/>
      <c r="O19" s="109">
        <v>13</v>
      </c>
      <c r="P19" s="67">
        <v>0.50049999999999994</v>
      </c>
      <c r="Q19" s="109">
        <v>13</v>
      </c>
      <c r="R19" s="67">
        <v>0.24049999999999999</v>
      </c>
      <c r="S19" s="67"/>
      <c r="T19" s="67"/>
      <c r="U19" s="109">
        <v>13</v>
      </c>
      <c r="V19" s="67">
        <v>0.50049999999999994</v>
      </c>
      <c r="W19" s="109">
        <v>13</v>
      </c>
      <c r="X19" s="67">
        <v>0.24049999999999999</v>
      </c>
      <c r="Y19" s="67"/>
      <c r="Z19" s="67"/>
      <c r="AA19" s="109">
        <v>13</v>
      </c>
      <c r="AB19" s="67">
        <v>0.50049999999999994</v>
      </c>
      <c r="AC19" s="109">
        <v>13</v>
      </c>
      <c r="AD19" s="67">
        <v>0.24049999999999999</v>
      </c>
      <c r="AE19" s="67"/>
      <c r="AF19" s="67"/>
      <c r="AG19" s="109">
        <v>13</v>
      </c>
      <c r="AH19" s="67">
        <v>0.50049999999999994</v>
      </c>
      <c r="AI19" s="109">
        <v>13</v>
      </c>
      <c r="AJ19" s="67">
        <v>0.24049999999999999</v>
      </c>
      <c r="AK19" s="67"/>
      <c r="AL19" s="67"/>
      <c r="AM19" s="109">
        <v>13</v>
      </c>
      <c r="AN19" s="67">
        <v>0.50049999999999994</v>
      </c>
    </row>
    <row r="20" spans="1:40" x14ac:dyDescent="0.35">
      <c r="B20" s="43"/>
      <c r="C20" s="43"/>
      <c r="E20" s="109">
        <v>14</v>
      </c>
      <c r="F20" s="67">
        <v>0.25900000000000001</v>
      </c>
      <c r="G20" s="67"/>
      <c r="H20" s="67"/>
      <c r="I20" s="109">
        <v>14</v>
      </c>
      <c r="J20" s="67">
        <v>0.53900000000000003</v>
      </c>
      <c r="K20" s="109">
        <v>14</v>
      </c>
      <c r="L20" s="67">
        <v>0.25900000000000001</v>
      </c>
      <c r="M20" s="67"/>
      <c r="N20" s="67"/>
      <c r="O20" s="109">
        <v>14</v>
      </c>
      <c r="P20" s="67">
        <v>0.53900000000000003</v>
      </c>
      <c r="Q20" s="109">
        <v>14</v>
      </c>
      <c r="R20" s="67">
        <v>0.25900000000000001</v>
      </c>
      <c r="S20" s="67"/>
      <c r="T20" s="67"/>
      <c r="U20" s="109">
        <v>14</v>
      </c>
      <c r="V20" s="67">
        <v>0.53900000000000003</v>
      </c>
      <c r="W20" s="109">
        <v>14</v>
      </c>
      <c r="X20" s="67">
        <v>0.25900000000000001</v>
      </c>
      <c r="Y20" s="67"/>
      <c r="Z20" s="67"/>
      <c r="AA20" s="109">
        <v>14</v>
      </c>
      <c r="AB20" s="67">
        <v>0.53900000000000003</v>
      </c>
      <c r="AC20" s="109">
        <v>14</v>
      </c>
      <c r="AD20" s="67">
        <v>0.25900000000000001</v>
      </c>
      <c r="AE20" s="67"/>
      <c r="AF20" s="67"/>
      <c r="AG20" s="109">
        <v>14</v>
      </c>
      <c r="AH20" s="67">
        <v>0.53900000000000003</v>
      </c>
      <c r="AI20" s="109">
        <v>14</v>
      </c>
      <c r="AJ20" s="67">
        <v>0.25900000000000001</v>
      </c>
      <c r="AK20" s="67"/>
      <c r="AL20" s="67"/>
      <c r="AM20" s="109">
        <v>14</v>
      </c>
      <c r="AN20" s="67">
        <v>0.53900000000000003</v>
      </c>
    </row>
    <row r="21" spans="1:40" x14ac:dyDescent="0.35">
      <c r="E21" s="109">
        <v>15</v>
      </c>
      <c r="F21" s="67">
        <v>0.27750000000000002</v>
      </c>
      <c r="G21" s="67"/>
      <c r="H21" s="67"/>
      <c r="I21" s="109">
        <v>15</v>
      </c>
      <c r="J21" s="67">
        <v>0.57750000000000001</v>
      </c>
      <c r="K21" s="109">
        <v>15</v>
      </c>
      <c r="L21" s="67">
        <v>0.27750000000000002</v>
      </c>
      <c r="M21" s="67"/>
      <c r="N21" s="67"/>
      <c r="O21" s="109">
        <v>15</v>
      </c>
      <c r="P21" s="67">
        <v>0.57750000000000001</v>
      </c>
      <c r="Q21" s="109">
        <v>15</v>
      </c>
      <c r="R21" s="67">
        <v>0.27750000000000002</v>
      </c>
      <c r="S21" s="67"/>
      <c r="T21" s="67"/>
      <c r="U21" s="109">
        <v>15</v>
      </c>
      <c r="V21" s="67">
        <v>0.57750000000000001</v>
      </c>
      <c r="W21" s="109">
        <v>15</v>
      </c>
      <c r="X21" s="67">
        <v>0.27750000000000002</v>
      </c>
      <c r="Y21" s="67"/>
      <c r="Z21" s="67"/>
      <c r="AA21" s="109">
        <v>15</v>
      </c>
      <c r="AB21" s="67">
        <v>0.57750000000000001</v>
      </c>
      <c r="AC21" s="109">
        <v>15</v>
      </c>
      <c r="AD21" s="67">
        <v>0.27750000000000002</v>
      </c>
      <c r="AE21" s="67"/>
      <c r="AF21" s="67"/>
      <c r="AG21" s="109">
        <v>15</v>
      </c>
      <c r="AH21" s="67">
        <v>0.57750000000000001</v>
      </c>
      <c r="AI21" s="109">
        <v>15</v>
      </c>
      <c r="AJ21" s="67">
        <v>0.27750000000000002</v>
      </c>
      <c r="AK21" s="67"/>
      <c r="AL21" s="67"/>
      <c r="AM21" s="109">
        <v>15</v>
      </c>
      <c r="AN21" s="67">
        <v>0.57750000000000001</v>
      </c>
    </row>
    <row r="22" spans="1:40" x14ac:dyDescent="0.35">
      <c r="E22" s="109">
        <v>16</v>
      </c>
      <c r="F22" s="67">
        <v>0.29599999999999999</v>
      </c>
      <c r="G22" s="67"/>
      <c r="H22" s="67"/>
      <c r="I22" s="109">
        <v>16</v>
      </c>
      <c r="J22" s="67">
        <v>0.61599999999999999</v>
      </c>
      <c r="K22" s="109">
        <v>16</v>
      </c>
      <c r="L22" s="67">
        <v>0.29599999999999999</v>
      </c>
      <c r="M22" s="67"/>
      <c r="N22" s="67"/>
      <c r="O22" s="109">
        <v>16</v>
      </c>
      <c r="P22" s="67">
        <v>0.61599999999999999</v>
      </c>
      <c r="Q22" s="109">
        <v>16</v>
      </c>
      <c r="R22" s="67">
        <v>0.29599999999999999</v>
      </c>
      <c r="S22" s="67"/>
      <c r="T22" s="67"/>
      <c r="U22" s="109">
        <v>16</v>
      </c>
      <c r="V22" s="67">
        <v>0.61599999999999999</v>
      </c>
      <c r="W22" s="109">
        <v>16</v>
      </c>
      <c r="X22" s="67">
        <v>0.29599999999999999</v>
      </c>
      <c r="Y22" s="67"/>
      <c r="Z22" s="67"/>
      <c r="AA22" s="109">
        <v>16</v>
      </c>
      <c r="AB22" s="67">
        <v>0.61599999999999999</v>
      </c>
      <c r="AC22" s="109">
        <v>16</v>
      </c>
      <c r="AD22" s="67">
        <v>0.29599999999999999</v>
      </c>
      <c r="AE22" s="67"/>
      <c r="AF22" s="67"/>
      <c r="AG22" s="109">
        <v>16</v>
      </c>
      <c r="AH22" s="67">
        <v>0.61599999999999999</v>
      </c>
      <c r="AI22" s="109">
        <v>16</v>
      </c>
      <c r="AJ22" s="67">
        <v>0.29599999999999999</v>
      </c>
      <c r="AK22" s="67"/>
      <c r="AL22" s="67"/>
      <c r="AM22" s="109">
        <v>16</v>
      </c>
      <c r="AN22" s="67">
        <v>0.61599999999999999</v>
      </c>
    </row>
    <row r="23" spans="1:40" x14ac:dyDescent="0.35">
      <c r="E23" s="109">
        <v>17</v>
      </c>
      <c r="F23" s="67">
        <v>0.3145</v>
      </c>
      <c r="G23" s="67"/>
      <c r="H23" s="67"/>
      <c r="I23" s="109">
        <v>17</v>
      </c>
      <c r="J23" s="67">
        <v>0.65449999999999997</v>
      </c>
      <c r="K23" s="109">
        <v>17</v>
      </c>
      <c r="L23" s="67">
        <v>0.3145</v>
      </c>
      <c r="M23" s="67"/>
      <c r="N23" s="67"/>
      <c r="O23" s="109">
        <v>17</v>
      </c>
      <c r="P23" s="67">
        <v>0.65449999999999997</v>
      </c>
      <c r="Q23" s="109">
        <v>17</v>
      </c>
      <c r="R23" s="67">
        <v>0.3145</v>
      </c>
      <c r="S23" s="67"/>
      <c r="T23" s="67"/>
      <c r="U23" s="109">
        <v>17</v>
      </c>
      <c r="V23" s="67">
        <v>0.65449999999999997</v>
      </c>
      <c r="W23" s="109">
        <v>17</v>
      </c>
      <c r="X23" s="67">
        <v>0.3145</v>
      </c>
      <c r="Y23" s="67"/>
      <c r="Z23" s="67"/>
      <c r="AA23" s="109">
        <v>17</v>
      </c>
      <c r="AB23" s="67">
        <v>0.65449999999999997</v>
      </c>
      <c r="AC23" s="109">
        <v>17</v>
      </c>
      <c r="AD23" s="67">
        <v>0.3145</v>
      </c>
      <c r="AE23" s="67"/>
      <c r="AF23" s="67"/>
      <c r="AG23" s="109">
        <v>17</v>
      </c>
      <c r="AH23" s="67">
        <v>0.65449999999999997</v>
      </c>
      <c r="AI23" s="109">
        <v>17</v>
      </c>
      <c r="AJ23" s="67">
        <v>0.3145</v>
      </c>
      <c r="AK23" s="67"/>
      <c r="AL23" s="67"/>
      <c r="AM23" s="109">
        <v>17</v>
      </c>
      <c r="AN23" s="67">
        <v>0.65449999999999997</v>
      </c>
    </row>
    <row r="24" spans="1:40" x14ac:dyDescent="0.35">
      <c r="E24" s="109">
        <v>18</v>
      </c>
      <c r="F24" s="67">
        <v>0.33300000000000002</v>
      </c>
      <c r="G24" s="67"/>
      <c r="H24" s="67"/>
      <c r="I24" s="109">
        <v>18</v>
      </c>
      <c r="J24" s="67">
        <v>0.69299999999999995</v>
      </c>
      <c r="K24" s="109">
        <v>18</v>
      </c>
      <c r="L24" s="67">
        <v>0.33300000000000002</v>
      </c>
      <c r="M24" s="67"/>
      <c r="N24" s="67"/>
      <c r="O24" s="109">
        <v>18</v>
      </c>
      <c r="P24" s="67">
        <v>0.69299999999999995</v>
      </c>
      <c r="Q24" s="109">
        <v>18</v>
      </c>
      <c r="R24" s="67">
        <v>0.33300000000000002</v>
      </c>
      <c r="S24" s="67"/>
      <c r="T24" s="67"/>
      <c r="U24" s="109">
        <v>18</v>
      </c>
      <c r="V24" s="67">
        <v>0.69299999999999995</v>
      </c>
      <c r="W24" s="109">
        <v>18</v>
      </c>
      <c r="X24" s="67">
        <v>0.33300000000000002</v>
      </c>
      <c r="Y24" s="67"/>
      <c r="Z24" s="67"/>
      <c r="AA24" s="109">
        <v>18</v>
      </c>
      <c r="AB24" s="67">
        <v>0.69299999999999995</v>
      </c>
      <c r="AC24" s="109">
        <v>18</v>
      </c>
      <c r="AD24" s="67">
        <v>0.33300000000000002</v>
      </c>
      <c r="AE24" s="67"/>
      <c r="AF24" s="67"/>
      <c r="AG24" s="109">
        <v>18</v>
      </c>
      <c r="AH24" s="67">
        <v>0.69299999999999995</v>
      </c>
      <c r="AI24" s="109">
        <v>18</v>
      </c>
      <c r="AJ24" s="67">
        <v>0.33300000000000002</v>
      </c>
      <c r="AK24" s="67"/>
      <c r="AL24" s="67"/>
      <c r="AM24" s="109">
        <v>18</v>
      </c>
      <c r="AN24" s="67">
        <v>0.69299999999999995</v>
      </c>
    </row>
    <row r="25" spans="1:40" x14ac:dyDescent="0.35">
      <c r="E25" s="109">
        <v>19</v>
      </c>
      <c r="F25" s="67">
        <v>0.35149999999999998</v>
      </c>
      <c r="G25" s="67"/>
      <c r="H25" s="67"/>
      <c r="I25" s="109">
        <v>19</v>
      </c>
      <c r="J25" s="67">
        <v>0.73150000000000004</v>
      </c>
      <c r="K25" s="109">
        <v>19</v>
      </c>
      <c r="L25" s="67">
        <v>0.35149999999999998</v>
      </c>
      <c r="M25" s="67"/>
      <c r="N25" s="67"/>
      <c r="O25" s="109">
        <v>19</v>
      </c>
      <c r="P25" s="67">
        <v>0.73150000000000004</v>
      </c>
      <c r="Q25" s="109">
        <v>19</v>
      </c>
      <c r="R25" s="67">
        <v>0.35149999999999998</v>
      </c>
      <c r="S25" s="67"/>
      <c r="T25" s="67"/>
      <c r="U25" s="109">
        <v>19</v>
      </c>
      <c r="V25" s="67">
        <v>0.73150000000000004</v>
      </c>
      <c r="W25" s="109">
        <v>19</v>
      </c>
      <c r="X25" s="67">
        <v>0.35149999999999998</v>
      </c>
      <c r="Y25" s="67"/>
      <c r="Z25" s="67"/>
      <c r="AA25" s="109">
        <v>19</v>
      </c>
      <c r="AB25" s="67">
        <v>0.73150000000000004</v>
      </c>
      <c r="AC25" s="109">
        <v>19</v>
      </c>
      <c r="AD25" s="67">
        <v>0.35149999999999998</v>
      </c>
      <c r="AE25" s="67"/>
      <c r="AF25" s="67"/>
      <c r="AG25" s="109">
        <v>19</v>
      </c>
      <c r="AH25" s="67">
        <v>0.73150000000000004</v>
      </c>
      <c r="AI25" s="109">
        <v>19</v>
      </c>
      <c r="AJ25" s="67">
        <v>0.35149999999999998</v>
      </c>
      <c r="AK25" s="67"/>
      <c r="AL25" s="67"/>
      <c r="AM25" s="109">
        <v>19</v>
      </c>
      <c r="AN25" s="67">
        <v>0.73150000000000004</v>
      </c>
    </row>
    <row r="26" spans="1:40" x14ac:dyDescent="0.35">
      <c r="E26" s="109">
        <v>20</v>
      </c>
      <c r="F26" s="67">
        <v>0.37</v>
      </c>
      <c r="G26" s="67"/>
      <c r="H26" s="67"/>
      <c r="I26" s="109">
        <v>20</v>
      </c>
      <c r="J26" s="67">
        <v>0.77</v>
      </c>
      <c r="K26" s="109">
        <v>20</v>
      </c>
      <c r="L26" s="67">
        <v>0.37</v>
      </c>
      <c r="M26" s="67"/>
      <c r="N26" s="67"/>
      <c r="O26" s="109">
        <v>20</v>
      </c>
      <c r="P26" s="67">
        <v>0.77</v>
      </c>
      <c r="Q26" s="109">
        <v>20</v>
      </c>
      <c r="R26" s="67">
        <v>0.37</v>
      </c>
      <c r="S26" s="67"/>
      <c r="T26" s="67"/>
      <c r="U26" s="109">
        <v>20</v>
      </c>
      <c r="V26" s="67">
        <v>0.77</v>
      </c>
      <c r="W26" s="109">
        <v>20</v>
      </c>
      <c r="X26" s="67">
        <v>0.37</v>
      </c>
      <c r="Y26" s="67"/>
      <c r="Z26" s="67"/>
      <c r="AA26" s="109">
        <v>20</v>
      </c>
      <c r="AB26" s="67">
        <v>0.77</v>
      </c>
      <c r="AC26" s="109">
        <v>20</v>
      </c>
      <c r="AD26" s="67">
        <v>0.37</v>
      </c>
      <c r="AE26" s="67"/>
      <c r="AF26" s="67"/>
      <c r="AG26" s="109">
        <v>20</v>
      </c>
      <c r="AH26" s="67">
        <v>0.77</v>
      </c>
      <c r="AI26" s="109">
        <v>20</v>
      </c>
      <c r="AJ26" s="67">
        <v>0.37</v>
      </c>
      <c r="AK26" s="67"/>
      <c r="AL26" s="67"/>
      <c r="AM26" s="109">
        <v>20</v>
      </c>
      <c r="AN26" s="67">
        <v>0.77</v>
      </c>
    </row>
    <row r="27" spans="1:40" x14ac:dyDescent="0.35">
      <c r="E27" s="109">
        <v>21</v>
      </c>
      <c r="F27" s="67">
        <v>0.38850000000000001</v>
      </c>
      <c r="G27" s="67"/>
      <c r="H27" s="67"/>
      <c r="I27" s="109">
        <v>21</v>
      </c>
      <c r="J27" s="67">
        <v>0.8085</v>
      </c>
      <c r="K27" s="109">
        <v>21</v>
      </c>
      <c r="L27" s="67">
        <v>0.38850000000000001</v>
      </c>
      <c r="M27" s="67"/>
      <c r="N27" s="67"/>
      <c r="O27" s="109">
        <v>21</v>
      </c>
      <c r="P27" s="67">
        <v>0.8085</v>
      </c>
      <c r="Q27" s="109">
        <v>21</v>
      </c>
      <c r="R27" s="67">
        <v>0.38850000000000001</v>
      </c>
      <c r="S27" s="67"/>
      <c r="T27" s="67"/>
      <c r="U27" s="109">
        <v>21</v>
      </c>
      <c r="V27" s="67">
        <v>0.8085</v>
      </c>
      <c r="W27" s="109">
        <v>21</v>
      </c>
      <c r="X27" s="67">
        <v>0.38850000000000001</v>
      </c>
      <c r="Y27" s="67"/>
      <c r="Z27" s="67"/>
      <c r="AA27" s="109">
        <v>21</v>
      </c>
      <c r="AB27" s="67">
        <v>0.8085</v>
      </c>
      <c r="AC27" s="109">
        <v>21</v>
      </c>
      <c r="AD27" s="67">
        <v>0.38850000000000001</v>
      </c>
      <c r="AE27" s="67"/>
      <c r="AF27" s="67"/>
      <c r="AG27" s="109">
        <v>21</v>
      </c>
      <c r="AH27" s="67">
        <v>0.8085</v>
      </c>
      <c r="AI27" s="109">
        <v>21</v>
      </c>
      <c r="AJ27" s="67">
        <v>0.38850000000000001</v>
      </c>
      <c r="AK27" s="67"/>
      <c r="AL27" s="67"/>
      <c r="AM27" s="109">
        <v>21</v>
      </c>
      <c r="AN27" s="67">
        <v>0.8085</v>
      </c>
    </row>
    <row r="28" spans="1:40" x14ac:dyDescent="0.35">
      <c r="E28" s="109">
        <v>22</v>
      </c>
      <c r="F28" s="67">
        <v>0.40699999999999997</v>
      </c>
      <c r="G28" s="67"/>
      <c r="H28" s="67"/>
      <c r="I28" s="109">
        <v>22</v>
      </c>
      <c r="J28" s="67">
        <v>0.84699999999999998</v>
      </c>
      <c r="K28" s="109">
        <v>22</v>
      </c>
      <c r="L28" s="67">
        <v>0.40699999999999997</v>
      </c>
      <c r="M28" s="67"/>
      <c r="N28" s="67"/>
      <c r="O28" s="109">
        <v>22</v>
      </c>
      <c r="P28" s="67">
        <v>0.84699999999999998</v>
      </c>
      <c r="Q28" s="109">
        <v>22</v>
      </c>
      <c r="R28" s="67">
        <v>0.40699999999999997</v>
      </c>
      <c r="S28" s="67"/>
      <c r="T28" s="67"/>
      <c r="U28" s="109">
        <v>22</v>
      </c>
      <c r="V28" s="67">
        <v>0.84699999999999998</v>
      </c>
      <c r="W28" s="109">
        <v>22</v>
      </c>
      <c r="X28" s="67">
        <v>0.40699999999999997</v>
      </c>
      <c r="Y28" s="67"/>
      <c r="Z28" s="67"/>
      <c r="AA28" s="109">
        <v>22</v>
      </c>
      <c r="AB28" s="67">
        <v>0.84699999999999998</v>
      </c>
      <c r="AC28" s="109">
        <v>22</v>
      </c>
      <c r="AD28" s="67">
        <v>0.40699999999999997</v>
      </c>
      <c r="AE28" s="67"/>
      <c r="AF28" s="67"/>
      <c r="AG28" s="109">
        <v>22</v>
      </c>
      <c r="AH28" s="67">
        <v>0.84699999999999998</v>
      </c>
      <c r="AI28" s="109">
        <v>22</v>
      </c>
      <c r="AJ28" s="67">
        <v>0.40699999999999997</v>
      </c>
      <c r="AK28" s="67"/>
      <c r="AL28" s="67"/>
      <c r="AM28" s="109">
        <v>22</v>
      </c>
      <c r="AN28" s="67">
        <v>0.84699999999999998</v>
      </c>
    </row>
    <row r="29" spans="1:40" x14ac:dyDescent="0.35">
      <c r="E29" s="109">
        <v>23</v>
      </c>
      <c r="F29" s="67">
        <v>0.42549999999999999</v>
      </c>
      <c r="G29" s="67"/>
      <c r="H29" s="67"/>
      <c r="I29" s="109">
        <v>23</v>
      </c>
      <c r="J29" s="67">
        <v>0.88549999999999995</v>
      </c>
      <c r="K29" s="109">
        <v>23</v>
      </c>
      <c r="L29" s="67">
        <v>0.42549999999999999</v>
      </c>
      <c r="M29" s="67"/>
      <c r="N29" s="67"/>
      <c r="O29" s="109">
        <v>23</v>
      </c>
      <c r="P29" s="67">
        <v>0.88549999999999995</v>
      </c>
      <c r="Q29" s="109">
        <v>23</v>
      </c>
      <c r="R29" s="67">
        <v>0.42549999999999999</v>
      </c>
      <c r="S29" s="67"/>
      <c r="T29" s="67"/>
      <c r="U29" s="109">
        <v>23</v>
      </c>
      <c r="V29" s="67">
        <v>0.88549999999999995</v>
      </c>
      <c r="W29" s="109">
        <v>23</v>
      </c>
      <c r="X29" s="67">
        <v>0.42549999999999999</v>
      </c>
      <c r="Y29" s="67"/>
      <c r="Z29" s="67"/>
      <c r="AA29" s="109">
        <v>23</v>
      </c>
      <c r="AB29" s="67">
        <v>0.88549999999999995</v>
      </c>
      <c r="AC29" s="109">
        <v>23</v>
      </c>
      <c r="AD29" s="67">
        <v>0.42549999999999999</v>
      </c>
      <c r="AE29" s="67"/>
      <c r="AF29" s="67"/>
      <c r="AG29" s="109">
        <v>23</v>
      </c>
      <c r="AH29" s="67">
        <v>0.88549999999999995</v>
      </c>
      <c r="AI29" s="109">
        <v>23</v>
      </c>
      <c r="AJ29" s="67">
        <v>0.42549999999999999</v>
      </c>
      <c r="AK29" s="67"/>
      <c r="AL29" s="67"/>
      <c r="AM29" s="109">
        <v>23</v>
      </c>
      <c r="AN29" s="67">
        <v>0.88549999999999995</v>
      </c>
    </row>
    <row r="30" spans="1:40" x14ac:dyDescent="0.35">
      <c r="E30" s="109">
        <v>24</v>
      </c>
      <c r="F30" s="67">
        <v>0.44400000000000001</v>
      </c>
      <c r="G30" s="67"/>
      <c r="H30" s="67"/>
      <c r="I30" s="109">
        <v>24</v>
      </c>
      <c r="J30" s="67">
        <v>0.92400000000000004</v>
      </c>
      <c r="K30" s="109">
        <v>24</v>
      </c>
      <c r="L30" s="67">
        <v>0.44400000000000001</v>
      </c>
      <c r="M30" s="67"/>
      <c r="N30" s="67"/>
      <c r="O30" s="109">
        <v>24</v>
      </c>
      <c r="P30" s="67">
        <v>0.92400000000000004</v>
      </c>
      <c r="Q30" s="109">
        <v>24</v>
      </c>
      <c r="R30" s="67">
        <v>0.44400000000000001</v>
      </c>
      <c r="S30" s="67"/>
      <c r="T30" s="67"/>
      <c r="U30" s="109">
        <v>24</v>
      </c>
      <c r="V30" s="67">
        <v>0.92400000000000004</v>
      </c>
      <c r="W30" s="109">
        <v>24</v>
      </c>
      <c r="X30" s="67">
        <v>0.44400000000000001</v>
      </c>
      <c r="Y30" s="67"/>
      <c r="Z30" s="67"/>
      <c r="AA30" s="109">
        <v>24</v>
      </c>
      <c r="AB30" s="67">
        <v>0.92400000000000004</v>
      </c>
      <c r="AC30" s="109">
        <v>24</v>
      </c>
      <c r="AD30" s="67">
        <v>0.44400000000000001</v>
      </c>
      <c r="AE30" s="67"/>
      <c r="AF30" s="67"/>
      <c r="AG30" s="109">
        <v>24</v>
      </c>
      <c r="AH30" s="67">
        <v>0.92400000000000004</v>
      </c>
      <c r="AI30" s="109">
        <v>24</v>
      </c>
      <c r="AJ30" s="67">
        <v>0.44400000000000001</v>
      </c>
      <c r="AK30" s="67"/>
      <c r="AL30" s="67"/>
      <c r="AM30" s="109">
        <v>24</v>
      </c>
      <c r="AN30" s="67">
        <v>0.92400000000000004</v>
      </c>
    </row>
    <row r="31" spans="1:40" x14ac:dyDescent="0.35">
      <c r="E31" s="109">
        <v>25</v>
      </c>
      <c r="F31" s="67">
        <v>0.46250000000000002</v>
      </c>
      <c r="G31" s="67"/>
      <c r="H31" s="67"/>
      <c r="I31" s="109">
        <v>25</v>
      </c>
      <c r="J31" s="67">
        <v>0.96250000000000002</v>
      </c>
      <c r="K31" s="109">
        <v>25</v>
      </c>
      <c r="L31" s="67">
        <v>0.46250000000000002</v>
      </c>
      <c r="M31" s="67"/>
      <c r="N31" s="67"/>
      <c r="O31" s="109">
        <v>25</v>
      </c>
      <c r="P31" s="67">
        <v>0.96250000000000002</v>
      </c>
      <c r="Q31" s="109">
        <v>25</v>
      </c>
      <c r="R31" s="67">
        <v>0.46250000000000002</v>
      </c>
      <c r="S31" s="67"/>
      <c r="T31" s="67"/>
      <c r="U31" s="109">
        <v>25</v>
      </c>
      <c r="V31" s="67">
        <v>0.96250000000000002</v>
      </c>
      <c r="W31" s="109">
        <v>25</v>
      </c>
      <c r="X31" s="67">
        <v>0.46250000000000002</v>
      </c>
      <c r="Y31" s="67"/>
      <c r="Z31" s="67"/>
      <c r="AA31" s="109">
        <v>25</v>
      </c>
      <c r="AB31" s="67">
        <v>0.96250000000000002</v>
      </c>
      <c r="AC31" s="109">
        <v>25</v>
      </c>
      <c r="AD31" s="67">
        <v>0.46250000000000002</v>
      </c>
      <c r="AE31" s="67"/>
      <c r="AF31" s="67"/>
      <c r="AG31" s="109">
        <v>25</v>
      </c>
      <c r="AH31" s="67">
        <v>0.96250000000000002</v>
      </c>
      <c r="AI31" s="109">
        <v>25</v>
      </c>
      <c r="AJ31" s="67">
        <v>0.46250000000000002</v>
      </c>
      <c r="AK31" s="67"/>
      <c r="AL31" s="67"/>
      <c r="AM31" s="109">
        <v>25</v>
      </c>
      <c r="AN31" s="67">
        <v>0.96250000000000002</v>
      </c>
    </row>
    <row r="32" spans="1:40" x14ac:dyDescent="0.35">
      <c r="E32" s="109">
        <v>26</v>
      </c>
      <c r="F32" s="67">
        <v>0.48099999999999998</v>
      </c>
      <c r="G32" s="67"/>
      <c r="H32" s="67"/>
      <c r="I32" s="109">
        <v>26</v>
      </c>
      <c r="J32" s="67">
        <v>1.0009999999999999</v>
      </c>
      <c r="K32" s="109">
        <v>26</v>
      </c>
      <c r="L32" s="67">
        <v>0.48099999999999998</v>
      </c>
      <c r="M32" s="67"/>
      <c r="N32" s="67"/>
      <c r="O32" s="109">
        <v>26</v>
      </c>
      <c r="P32" s="67">
        <v>1.0009999999999999</v>
      </c>
      <c r="Q32" s="109">
        <v>26</v>
      </c>
      <c r="R32" s="67">
        <v>0.48099999999999998</v>
      </c>
      <c r="S32" s="67"/>
      <c r="T32" s="67"/>
      <c r="U32" s="109">
        <v>26</v>
      </c>
      <c r="V32" s="67">
        <v>1.0009999999999999</v>
      </c>
      <c r="W32" s="109">
        <v>26</v>
      </c>
      <c r="X32" s="67">
        <v>0.48099999999999998</v>
      </c>
      <c r="Y32" s="67"/>
      <c r="Z32" s="67"/>
      <c r="AA32" s="109">
        <v>26</v>
      </c>
      <c r="AB32" s="67">
        <v>1.0009999999999999</v>
      </c>
      <c r="AC32" s="109">
        <v>26</v>
      </c>
      <c r="AD32" s="67">
        <v>0.48099999999999998</v>
      </c>
      <c r="AE32" s="67"/>
      <c r="AF32" s="67"/>
      <c r="AG32" s="109">
        <v>26</v>
      </c>
      <c r="AH32" s="67">
        <v>1.0009999999999999</v>
      </c>
      <c r="AI32" s="109">
        <v>26</v>
      </c>
      <c r="AJ32" s="67">
        <v>0.48099999999999998</v>
      </c>
      <c r="AK32" s="67"/>
      <c r="AL32" s="67"/>
      <c r="AM32" s="109">
        <v>26</v>
      </c>
      <c r="AN32" s="67">
        <v>1.0009999999999999</v>
      </c>
    </row>
    <row r="33" spans="5:40" x14ac:dyDescent="0.35">
      <c r="E33" s="109">
        <v>27</v>
      </c>
      <c r="F33" s="67">
        <v>0.4995</v>
      </c>
      <c r="G33" s="67"/>
      <c r="H33" s="67"/>
      <c r="I33" s="251" t="s">
        <v>309</v>
      </c>
      <c r="J33" s="252" t="s">
        <v>314</v>
      </c>
      <c r="K33" s="109">
        <v>27</v>
      </c>
      <c r="L33" s="67">
        <v>0.4995</v>
      </c>
      <c r="M33" s="67"/>
      <c r="N33" s="67"/>
      <c r="O33" s="251" t="s">
        <v>309</v>
      </c>
      <c r="P33" s="252" t="s">
        <v>314</v>
      </c>
      <c r="Q33" s="109">
        <v>27</v>
      </c>
      <c r="R33" s="67">
        <v>0.4995</v>
      </c>
      <c r="S33" s="67"/>
      <c r="T33" s="67"/>
      <c r="U33" s="251" t="s">
        <v>309</v>
      </c>
      <c r="V33" s="252" t="s">
        <v>314</v>
      </c>
      <c r="W33" s="109">
        <v>27</v>
      </c>
      <c r="X33" s="67">
        <v>0.4995</v>
      </c>
      <c r="Y33" s="67"/>
      <c r="Z33" s="67"/>
      <c r="AA33" s="251" t="s">
        <v>309</v>
      </c>
      <c r="AB33" s="252" t="s">
        <v>314</v>
      </c>
      <c r="AC33" s="109">
        <v>27</v>
      </c>
      <c r="AD33" s="67">
        <v>0.4995</v>
      </c>
      <c r="AE33" s="67"/>
      <c r="AF33" s="67"/>
      <c r="AG33" s="251" t="s">
        <v>309</v>
      </c>
      <c r="AH33" s="252" t="s">
        <v>314</v>
      </c>
      <c r="AI33" s="109">
        <v>27</v>
      </c>
      <c r="AJ33" s="67">
        <v>0.4995</v>
      </c>
      <c r="AK33" s="67"/>
      <c r="AL33" s="67"/>
      <c r="AM33" s="251" t="s">
        <v>309</v>
      </c>
      <c r="AN33" s="252" t="s">
        <v>314</v>
      </c>
    </row>
    <row r="34" spans="5:40" x14ac:dyDescent="0.35">
      <c r="E34" s="109">
        <v>28</v>
      </c>
      <c r="F34" s="67">
        <v>0.51800000000000002</v>
      </c>
      <c r="G34" s="67"/>
      <c r="H34" s="67"/>
      <c r="I34" s="67"/>
      <c r="J34" s="67"/>
      <c r="K34" s="109">
        <v>28</v>
      </c>
      <c r="L34" s="67">
        <v>0.51800000000000002</v>
      </c>
      <c r="M34" s="67"/>
      <c r="N34" s="67"/>
      <c r="O34" s="67"/>
      <c r="P34" s="67"/>
      <c r="Q34" s="109">
        <v>28</v>
      </c>
      <c r="R34" s="67">
        <v>0.51800000000000002</v>
      </c>
      <c r="S34" s="67"/>
      <c r="T34" s="67"/>
      <c r="U34" s="67"/>
      <c r="V34" s="67"/>
      <c r="W34" s="109">
        <v>28</v>
      </c>
      <c r="X34" s="67">
        <v>0.51800000000000002</v>
      </c>
      <c r="Y34" s="67"/>
      <c r="Z34" s="67"/>
      <c r="AA34" s="67"/>
      <c r="AB34" s="67"/>
      <c r="AC34" s="109">
        <v>28</v>
      </c>
      <c r="AD34" s="67">
        <v>0.51800000000000002</v>
      </c>
      <c r="AE34" s="67"/>
      <c r="AF34" s="67"/>
      <c r="AG34" s="67"/>
      <c r="AH34" s="67"/>
      <c r="AI34" s="109">
        <v>28</v>
      </c>
      <c r="AJ34" s="67">
        <v>0.51800000000000002</v>
      </c>
      <c r="AK34" s="67"/>
      <c r="AL34" s="67"/>
      <c r="AM34" s="67"/>
      <c r="AN34" s="67"/>
    </row>
    <row r="35" spans="5:40" x14ac:dyDescent="0.35">
      <c r="E35" s="109">
        <v>29</v>
      </c>
      <c r="F35" s="67">
        <v>0.53649999999999998</v>
      </c>
      <c r="G35" s="67"/>
      <c r="H35" s="67"/>
      <c r="I35" s="67"/>
      <c r="J35" s="67"/>
      <c r="K35" s="109">
        <v>29</v>
      </c>
      <c r="L35" s="67">
        <v>0.53649999999999998</v>
      </c>
      <c r="M35" s="67"/>
      <c r="N35" s="67"/>
      <c r="O35" s="67"/>
      <c r="P35" s="67"/>
      <c r="Q35" s="109">
        <v>29</v>
      </c>
      <c r="R35" s="67">
        <v>0.53649999999999998</v>
      </c>
      <c r="S35" s="67"/>
      <c r="T35" s="67"/>
      <c r="U35" s="67"/>
      <c r="V35" s="67"/>
      <c r="W35" s="109">
        <v>29</v>
      </c>
      <c r="X35" s="67">
        <v>0.53649999999999998</v>
      </c>
      <c r="Y35" s="67"/>
      <c r="Z35" s="67"/>
      <c r="AA35" s="67"/>
      <c r="AB35" s="67"/>
      <c r="AC35" s="109">
        <v>29</v>
      </c>
      <c r="AD35" s="67">
        <v>0.53649999999999998</v>
      </c>
      <c r="AE35" s="67"/>
      <c r="AF35" s="67"/>
      <c r="AG35" s="67"/>
      <c r="AH35" s="67"/>
      <c r="AI35" s="109">
        <v>29</v>
      </c>
      <c r="AJ35" s="67">
        <v>0.53649999999999998</v>
      </c>
      <c r="AK35" s="67"/>
      <c r="AL35" s="67"/>
      <c r="AM35" s="67"/>
      <c r="AN35" s="67"/>
    </row>
    <row r="36" spans="5:40" x14ac:dyDescent="0.35">
      <c r="E36" s="109">
        <v>30</v>
      </c>
      <c r="F36" s="67">
        <v>0.55500000000000005</v>
      </c>
      <c r="G36" s="67"/>
      <c r="H36" s="67"/>
      <c r="I36" s="67"/>
      <c r="J36" s="67"/>
      <c r="K36" s="109">
        <v>30</v>
      </c>
      <c r="L36" s="67">
        <v>0.55500000000000005</v>
      </c>
      <c r="M36" s="67"/>
      <c r="N36" s="67"/>
      <c r="O36" s="67"/>
      <c r="P36" s="67"/>
      <c r="Q36" s="109">
        <v>30</v>
      </c>
      <c r="R36" s="67">
        <v>0.55500000000000005</v>
      </c>
      <c r="S36" s="67"/>
      <c r="T36" s="67"/>
      <c r="U36" s="67"/>
      <c r="V36" s="67"/>
      <c r="W36" s="109">
        <v>30</v>
      </c>
      <c r="X36" s="67">
        <v>0.55500000000000005</v>
      </c>
      <c r="Y36" s="67"/>
      <c r="Z36" s="67"/>
      <c r="AA36" s="67"/>
      <c r="AB36" s="67"/>
      <c r="AC36" s="109">
        <v>30</v>
      </c>
      <c r="AD36" s="67">
        <v>0.55500000000000005</v>
      </c>
      <c r="AE36" s="67"/>
      <c r="AF36" s="67"/>
      <c r="AG36" s="67"/>
      <c r="AH36" s="67"/>
      <c r="AI36" s="109">
        <v>30</v>
      </c>
      <c r="AJ36" s="67">
        <v>0.55500000000000005</v>
      </c>
      <c r="AK36" s="67"/>
      <c r="AL36" s="67"/>
      <c r="AM36" s="67"/>
      <c r="AN36" s="67"/>
    </row>
    <row r="37" spans="5:40" x14ac:dyDescent="0.35">
      <c r="E37" s="109">
        <v>31</v>
      </c>
      <c r="F37" s="67">
        <v>0.57350000000000001</v>
      </c>
      <c r="G37" s="67"/>
      <c r="H37" s="67"/>
      <c r="I37" s="67"/>
      <c r="J37" s="67"/>
      <c r="K37" s="109">
        <v>31</v>
      </c>
      <c r="L37" s="67">
        <v>0.57350000000000001</v>
      </c>
      <c r="M37" s="67"/>
      <c r="N37" s="67"/>
      <c r="O37" s="67"/>
      <c r="P37" s="67"/>
      <c r="Q37" s="109">
        <v>31</v>
      </c>
      <c r="R37" s="67">
        <v>0.57350000000000001</v>
      </c>
      <c r="S37" s="67"/>
      <c r="T37" s="67"/>
      <c r="U37" s="67"/>
      <c r="V37" s="67"/>
      <c r="W37" s="109">
        <v>31</v>
      </c>
      <c r="X37" s="67">
        <v>0.57350000000000001</v>
      </c>
      <c r="Y37" s="67"/>
      <c r="Z37" s="67"/>
      <c r="AA37" s="67"/>
      <c r="AB37" s="67"/>
      <c r="AC37" s="109">
        <v>31</v>
      </c>
      <c r="AD37" s="67">
        <v>0.57350000000000001</v>
      </c>
      <c r="AE37" s="67"/>
      <c r="AF37" s="67"/>
      <c r="AG37" s="67"/>
      <c r="AH37" s="67"/>
      <c r="AI37" s="109">
        <v>31</v>
      </c>
      <c r="AJ37" s="67">
        <v>0.57350000000000001</v>
      </c>
      <c r="AK37" s="67"/>
      <c r="AL37" s="67"/>
      <c r="AM37" s="67"/>
      <c r="AN37" s="67"/>
    </row>
    <row r="38" spans="5:40" x14ac:dyDescent="0.35">
      <c r="E38" s="109">
        <v>32</v>
      </c>
      <c r="F38" s="67">
        <v>0.59199999999999997</v>
      </c>
      <c r="G38" s="67"/>
      <c r="H38" s="67"/>
      <c r="I38" s="67"/>
      <c r="J38" s="67"/>
      <c r="K38" s="109">
        <v>32</v>
      </c>
      <c r="L38" s="67">
        <v>0.59199999999999997</v>
      </c>
      <c r="M38" s="67"/>
      <c r="N38" s="67"/>
      <c r="O38" s="67"/>
      <c r="P38" s="67"/>
      <c r="Q38" s="109">
        <v>32</v>
      </c>
      <c r="R38" s="67">
        <v>0.59199999999999997</v>
      </c>
      <c r="S38" s="67"/>
      <c r="T38" s="67"/>
      <c r="U38" s="67"/>
      <c r="V38" s="67"/>
      <c r="W38" s="109">
        <v>32</v>
      </c>
      <c r="X38" s="67">
        <v>0.59199999999999997</v>
      </c>
      <c r="Y38" s="67"/>
      <c r="Z38" s="67"/>
      <c r="AA38" s="67"/>
      <c r="AB38" s="67"/>
      <c r="AC38" s="109">
        <v>32</v>
      </c>
      <c r="AD38" s="67">
        <v>0.59199999999999997</v>
      </c>
      <c r="AE38" s="67"/>
      <c r="AF38" s="67"/>
      <c r="AG38" s="67"/>
      <c r="AH38" s="67"/>
      <c r="AI38" s="109">
        <v>32</v>
      </c>
      <c r="AJ38" s="67">
        <v>0.59199999999999997</v>
      </c>
      <c r="AK38" s="67"/>
      <c r="AL38" s="67"/>
      <c r="AM38" s="67"/>
      <c r="AN38" s="67"/>
    </row>
    <row r="39" spans="5:40" x14ac:dyDescent="0.35">
      <c r="E39" s="109">
        <v>33</v>
      </c>
      <c r="F39" s="67">
        <v>0.61050000000000004</v>
      </c>
      <c r="G39" s="67"/>
      <c r="H39" s="67"/>
      <c r="I39" s="67"/>
      <c r="J39" s="67"/>
      <c r="K39" s="109">
        <v>33</v>
      </c>
      <c r="L39" s="67">
        <v>0.61050000000000004</v>
      </c>
      <c r="M39" s="67"/>
      <c r="N39" s="67"/>
      <c r="O39" s="67"/>
      <c r="P39" s="67"/>
      <c r="Q39" s="109">
        <v>33</v>
      </c>
      <c r="R39" s="67">
        <v>0.61050000000000004</v>
      </c>
      <c r="S39" s="67"/>
      <c r="T39" s="67"/>
      <c r="U39" s="67"/>
      <c r="V39" s="67"/>
      <c r="W39" s="109">
        <v>33</v>
      </c>
      <c r="X39" s="67">
        <v>0.61050000000000004</v>
      </c>
      <c r="Y39" s="67"/>
      <c r="Z39" s="67"/>
      <c r="AA39" s="67"/>
      <c r="AB39" s="67"/>
      <c r="AC39" s="109">
        <v>33</v>
      </c>
      <c r="AD39" s="67">
        <v>0.61050000000000004</v>
      </c>
      <c r="AE39" s="67"/>
      <c r="AF39" s="67"/>
      <c r="AG39" s="67"/>
      <c r="AH39" s="67"/>
      <c r="AI39" s="109">
        <v>33</v>
      </c>
      <c r="AJ39" s="67">
        <v>0.61050000000000004</v>
      </c>
      <c r="AK39" s="67"/>
      <c r="AL39" s="67"/>
      <c r="AM39" s="67"/>
      <c r="AN39" s="67"/>
    </row>
    <row r="40" spans="5:40" x14ac:dyDescent="0.35">
      <c r="E40" s="109">
        <v>34</v>
      </c>
      <c r="F40" s="67">
        <v>0.629</v>
      </c>
      <c r="G40" s="67"/>
      <c r="H40" s="67"/>
      <c r="I40" s="67"/>
      <c r="J40" s="67"/>
      <c r="K40" s="109">
        <v>34</v>
      </c>
      <c r="L40" s="67">
        <v>0.629</v>
      </c>
      <c r="M40" s="67"/>
      <c r="N40" s="67"/>
      <c r="O40" s="67"/>
      <c r="P40" s="67"/>
      <c r="Q40" s="109">
        <v>34</v>
      </c>
      <c r="R40" s="67">
        <v>0.629</v>
      </c>
      <c r="S40" s="67"/>
      <c r="T40" s="67"/>
      <c r="U40" s="67"/>
      <c r="V40" s="67"/>
      <c r="W40" s="109">
        <v>34</v>
      </c>
      <c r="X40" s="67">
        <v>0.629</v>
      </c>
      <c r="Y40" s="67"/>
      <c r="Z40" s="67"/>
      <c r="AA40" s="67"/>
      <c r="AB40" s="67"/>
      <c r="AC40" s="109">
        <v>34</v>
      </c>
      <c r="AD40" s="67">
        <v>0.629</v>
      </c>
      <c r="AE40" s="67"/>
      <c r="AF40" s="67"/>
      <c r="AG40" s="67"/>
      <c r="AH40" s="67"/>
      <c r="AI40" s="109">
        <v>34</v>
      </c>
      <c r="AJ40" s="67">
        <v>0.629</v>
      </c>
      <c r="AK40" s="67"/>
      <c r="AL40" s="67"/>
      <c r="AM40" s="67"/>
      <c r="AN40" s="67"/>
    </row>
    <row r="41" spans="5:40" x14ac:dyDescent="0.35">
      <c r="E41" s="109">
        <v>35</v>
      </c>
      <c r="F41" s="67">
        <v>0.64749999999999996</v>
      </c>
      <c r="G41" s="67"/>
      <c r="H41" s="67"/>
      <c r="I41" s="67"/>
      <c r="J41" s="67"/>
      <c r="K41" s="109">
        <v>35</v>
      </c>
      <c r="L41" s="67">
        <v>0.64749999999999996</v>
      </c>
      <c r="M41" s="67"/>
      <c r="N41" s="67"/>
      <c r="O41" s="67"/>
      <c r="P41" s="67"/>
      <c r="Q41" s="109">
        <v>35</v>
      </c>
      <c r="R41" s="67">
        <v>0.64749999999999996</v>
      </c>
      <c r="S41" s="67"/>
      <c r="T41" s="67"/>
      <c r="U41" s="67"/>
      <c r="V41" s="67"/>
      <c r="W41" s="109">
        <v>35</v>
      </c>
      <c r="X41" s="67">
        <v>0.64749999999999996</v>
      </c>
      <c r="Y41" s="67"/>
      <c r="Z41" s="67"/>
      <c r="AA41" s="67"/>
      <c r="AB41" s="67"/>
      <c r="AC41" s="109">
        <v>35</v>
      </c>
      <c r="AD41" s="67">
        <v>0.64749999999999996</v>
      </c>
      <c r="AE41" s="67"/>
      <c r="AF41" s="67"/>
      <c r="AG41" s="67"/>
      <c r="AH41" s="67"/>
      <c r="AI41" s="109">
        <v>35</v>
      </c>
      <c r="AJ41" s="67">
        <v>0.64749999999999996</v>
      </c>
      <c r="AK41" s="67"/>
      <c r="AL41" s="67"/>
      <c r="AM41" s="67"/>
      <c r="AN41" s="67"/>
    </row>
    <row r="42" spans="5:40" x14ac:dyDescent="0.35">
      <c r="E42" s="109">
        <v>36</v>
      </c>
      <c r="F42" s="67">
        <v>0.66600000000000004</v>
      </c>
      <c r="G42" s="67"/>
      <c r="H42" s="67"/>
      <c r="I42" s="67"/>
      <c r="J42" s="67"/>
      <c r="K42" s="109">
        <v>36</v>
      </c>
      <c r="L42" s="67">
        <v>0.66600000000000004</v>
      </c>
      <c r="M42" s="67"/>
      <c r="N42" s="67"/>
      <c r="O42" s="67"/>
      <c r="P42" s="67"/>
      <c r="Q42" s="109">
        <v>36</v>
      </c>
      <c r="R42" s="67">
        <v>0.66600000000000004</v>
      </c>
      <c r="S42" s="67"/>
      <c r="T42" s="67"/>
      <c r="U42" s="67"/>
      <c r="V42" s="67"/>
      <c r="W42" s="109">
        <v>36</v>
      </c>
      <c r="X42" s="67">
        <v>0.66600000000000004</v>
      </c>
      <c r="Y42" s="67"/>
      <c r="Z42" s="67"/>
      <c r="AA42" s="67"/>
      <c r="AB42" s="67"/>
      <c r="AC42" s="109">
        <v>36</v>
      </c>
      <c r="AD42" s="67">
        <v>0.66600000000000004</v>
      </c>
      <c r="AE42" s="67"/>
      <c r="AF42" s="67"/>
      <c r="AG42" s="67"/>
      <c r="AH42" s="67"/>
      <c r="AI42" s="109">
        <v>36</v>
      </c>
      <c r="AJ42" s="67">
        <v>0.66600000000000004</v>
      </c>
      <c r="AK42" s="67"/>
      <c r="AL42" s="67"/>
      <c r="AM42" s="67"/>
      <c r="AN42" s="67"/>
    </row>
    <row r="43" spans="5:40" x14ac:dyDescent="0.35">
      <c r="E43" s="109">
        <v>37</v>
      </c>
      <c r="F43" s="67">
        <v>0.6845</v>
      </c>
      <c r="G43" s="67"/>
      <c r="H43" s="67"/>
      <c r="I43" s="67"/>
      <c r="J43" s="67"/>
      <c r="K43" s="109">
        <v>37</v>
      </c>
      <c r="L43" s="67">
        <v>0.6845</v>
      </c>
      <c r="M43" s="67"/>
      <c r="N43" s="67"/>
      <c r="O43" s="67"/>
      <c r="P43" s="67"/>
      <c r="Q43" s="109">
        <v>37</v>
      </c>
      <c r="R43" s="67">
        <v>0.6845</v>
      </c>
      <c r="S43" s="67"/>
      <c r="T43" s="67"/>
      <c r="U43" s="67"/>
      <c r="V43" s="67"/>
      <c r="W43" s="109">
        <v>37</v>
      </c>
      <c r="X43" s="67">
        <v>0.6845</v>
      </c>
      <c r="Y43" s="67"/>
      <c r="Z43" s="67"/>
      <c r="AA43" s="67"/>
      <c r="AB43" s="67"/>
      <c r="AC43" s="109">
        <v>37</v>
      </c>
      <c r="AD43" s="67">
        <v>0.6845</v>
      </c>
      <c r="AE43" s="67"/>
      <c r="AF43" s="67"/>
      <c r="AG43" s="67"/>
      <c r="AH43" s="67"/>
      <c r="AI43" s="109">
        <v>37</v>
      </c>
      <c r="AJ43" s="67">
        <v>0.6845</v>
      </c>
      <c r="AK43" s="67"/>
      <c r="AL43" s="67"/>
      <c r="AM43" s="67"/>
      <c r="AN43" s="67"/>
    </row>
    <row r="44" spans="5:40" x14ac:dyDescent="0.35">
      <c r="E44" s="109">
        <v>38</v>
      </c>
      <c r="F44" s="67">
        <v>0.70299999999999996</v>
      </c>
      <c r="G44" s="67"/>
      <c r="H44" s="67"/>
      <c r="I44" s="67"/>
      <c r="J44" s="67"/>
      <c r="K44" s="109">
        <v>38</v>
      </c>
      <c r="L44" s="67">
        <v>0.70299999999999996</v>
      </c>
      <c r="M44" s="67"/>
      <c r="N44" s="67"/>
      <c r="O44" s="67"/>
      <c r="P44" s="67"/>
      <c r="Q44" s="109">
        <v>38</v>
      </c>
      <c r="R44" s="67">
        <v>0.70299999999999996</v>
      </c>
      <c r="S44" s="67"/>
      <c r="T44" s="67"/>
      <c r="U44" s="67"/>
      <c r="V44" s="67"/>
      <c r="W44" s="109">
        <v>38</v>
      </c>
      <c r="X44" s="67">
        <v>0.70299999999999996</v>
      </c>
      <c r="Y44" s="67"/>
      <c r="Z44" s="67"/>
      <c r="AA44" s="67"/>
      <c r="AB44" s="67"/>
      <c r="AC44" s="109">
        <v>38</v>
      </c>
      <c r="AD44" s="67">
        <v>0.70299999999999996</v>
      </c>
      <c r="AE44" s="67"/>
      <c r="AF44" s="67"/>
      <c r="AG44" s="67"/>
      <c r="AH44" s="67"/>
      <c r="AI44" s="109">
        <v>38</v>
      </c>
      <c r="AJ44" s="67">
        <v>0.70299999999999996</v>
      </c>
      <c r="AK44" s="67"/>
      <c r="AL44" s="67"/>
      <c r="AM44" s="67"/>
      <c r="AN44" s="67"/>
    </row>
    <row r="45" spans="5:40" x14ac:dyDescent="0.35">
      <c r="E45" s="109">
        <v>39</v>
      </c>
      <c r="F45" s="67">
        <v>0.72150000000000003</v>
      </c>
      <c r="G45" s="67"/>
      <c r="H45" s="67"/>
      <c r="I45" s="67"/>
      <c r="J45" s="67"/>
      <c r="K45" s="109">
        <v>39</v>
      </c>
      <c r="L45" s="67">
        <v>0.72150000000000003</v>
      </c>
      <c r="M45" s="67"/>
      <c r="N45" s="67"/>
      <c r="O45" s="67"/>
      <c r="P45" s="67"/>
      <c r="Q45" s="109">
        <v>39</v>
      </c>
      <c r="R45" s="67">
        <v>0.72150000000000003</v>
      </c>
      <c r="S45" s="67"/>
      <c r="T45" s="67"/>
      <c r="U45" s="67"/>
      <c r="V45" s="67"/>
      <c r="W45" s="109">
        <v>39</v>
      </c>
      <c r="X45" s="67">
        <v>0.72150000000000003</v>
      </c>
      <c r="Y45" s="67"/>
      <c r="Z45" s="67"/>
      <c r="AA45" s="67"/>
      <c r="AB45" s="67"/>
      <c r="AC45" s="109">
        <v>39</v>
      </c>
      <c r="AD45" s="67">
        <v>0.72150000000000003</v>
      </c>
      <c r="AE45" s="67"/>
      <c r="AF45" s="67"/>
      <c r="AG45" s="67"/>
      <c r="AH45" s="67"/>
      <c r="AI45" s="109">
        <v>39</v>
      </c>
      <c r="AJ45" s="67">
        <v>0.72150000000000003</v>
      </c>
      <c r="AK45" s="67"/>
      <c r="AL45" s="67"/>
      <c r="AM45" s="67"/>
      <c r="AN45" s="67"/>
    </row>
    <row r="46" spans="5:40" x14ac:dyDescent="0.35">
      <c r="E46" s="109">
        <v>40</v>
      </c>
      <c r="F46" s="67">
        <v>0.74</v>
      </c>
      <c r="G46" s="67"/>
      <c r="H46" s="67"/>
      <c r="I46" s="67"/>
      <c r="J46" s="67"/>
      <c r="K46" s="109">
        <v>40</v>
      </c>
      <c r="L46" s="67">
        <v>0.74</v>
      </c>
      <c r="M46" s="67"/>
      <c r="N46" s="67"/>
      <c r="O46" s="67"/>
      <c r="P46" s="67"/>
      <c r="Q46" s="109">
        <v>40</v>
      </c>
      <c r="R46" s="67">
        <v>0.74</v>
      </c>
      <c r="S46" s="67"/>
      <c r="T46" s="67"/>
      <c r="U46" s="67"/>
      <c r="V46" s="67"/>
      <c r="W46" s="109">
        <v>40</v>
      </c>
      <c r="X46" s="67">
        <v>0.74</v>
      </c>
      <c r="Y46" s="67"/>
      <c r="Z46" s="67"/>
      <c r="AA46" s="67"/>
      <c r="AB46" s="67"/>
      <c r="AC46" s="109">
        <v>40</v>
      </c>
      <c r="AD46" s="67">
        <v>0.74</v>
      </c>
      <c r="AE46" s="67"/>
      <c r="AF46" s="67"/>
      <c r="AG46" s="67"/>
      <c r="AH46" s="67"/>
      <c r="AI46" s="109">
        <v>40</v>
      </c>
      <c r="AJ46" s="67">
        <v>0.74</v>
      </c>
      <c r="AK46" s="67"/>
      <c r="AL46" s="67"/>
      <c r="AM46" s="67"/>
      <c r="AN46" s="67"/>
    </row>
    <row r="47" spans="5:40" x14ac:dyDescent="0.35">
      <c r="E47" s="109">
        <v>41</v>
      </c>
      <c r="F47" s="67">
        <v>0.75849999999999995</v>
      </c>
      <c r="G47" s="67"/>
      <c r="H47" s="67"/>
      <c r="I47" s="67"/>
      <c r="J47" s="67"/>
      <c r="K47" s="109">
        <v>41</v>
      </c>
      <c r="L47" s="67">
        <v>0.75849999999999995</v>
      </c>
      <c r="M47" s="67"/>
      <c r="N47" s="67"/>
      <c r="O47" s="67"/>
      <c r="P47" s="67"/>
      <c r="Q47" s="109">
        <v>41</v>
      </c>
      <c r="R47" s="67">
        <v>0.75849999999999995</v>
      </c>
      <c r="S47" s="67"/>
      <c r="T47" s="67"/>
      <c r="U47" s="67"/>
      <c r="V47" s="67"/>
      <c r="W47" s="109">
        <v>41</v>
      </c>
      <c r="X47" s="67">
        <v>0.75849999999999995</v>
      </c>
      <c r="Y47" s="67"/>
      <c r="Z47" s="67"/>
      <c r="AA47" s="67"/>
      <c r="AB47" s="67"/>
      <c r="AC47" s="109">
        <v>41</v>
      </c>
      <c r="AD47" s="67">
        <v>0.75849999999999995</v>
      </c>
      <c r="AE47" s="67"/>
      <c r="AF47" s="67"/>
      <c r="AG47" s="67"/>
      <c r="AH47" s="67"/>
      <c r="AI47" s="109">
        <v>41</v>
      </c>
      <c r="AJ47" s="67">
        <v>0.75849999999999995</v>
      </c>
      <c r="AK47" s="67"/>
      <c r="AL47" s="67"/>
      <c r="AM47" s="67"/>
      <c r="AN47" s="67"/>
    </row>
    <row r="48" spans="5:40" x14ac:dyDescent="0.35">
      <c r="E48" s="109">
        <v>42</v>
      </c>
      <c r="F48" s="67">
        <v>0.77700000000000002</v>
      </c>
      <c r="G48" s="67"/>
      <c r="H48" s="67"/>
      <c r="I48" s="67"/>
      <c r="J48" s="67"/>
      <c r="K48" s="109">
        <v>42</v>
      </c>
      <c r="L48" s="67">
        <v>0.77700000000000002</v>
      </c>
      <c r="M48" s="67"/>
      <c r="N48" s="67"/>
      <c r="O48" s="67"/>
      <c r="P48" s="67"/>
      <c r="Q48" s="109">
        <v>42</v>
      </c>
      <c r="R48" s="67">
        <v>0.77700000000000002</v>
      </c>
      <c r="S48" s="67"/>
      <c r="T48" s="67"/>
      <c r="U48" s="67"/>
      <c r="V48" s="67"/>
      <c r="W48" s="109">
        <v>42</v>
      </c>
      <c r="X48" s="67">
        <v>0.77700000000000002</v>
      </c>
      <c r="Y48" s="67"/>
      <c r="Z48" s="67"/>
      <c r="AA48" s="67"/>
      <c r="AB48" s="67"/>
      <c r="AC48" s="109">
        <v>42</v>
      </c>
      <c r="AD48" s="67">
        <v>0.77700000000000002</v>
      </c>
      <c r="AE48" s="67"/>
      <c r="AF48" s="67"/>
      <c r="AG48" s="67"/>
      <c r="AH48" s="67"/>
      <c r="AI48" s="109">
        <v>42</v>
      </c>
      <c r="AJ48" s="67">
        <v>0.77700000000000002</v>
      </c>
      <c r="AK48" s="67"/>
      <c r="AL48" s="67"/>
      <c r="AM48" s="67"/>
      <c r="AN48" s="67"/>
    </row>
    <row r="49" spans="5:40" x14ac:dyDescent="0.35">
      <c r="E49" s="109">
        <v>43</v>
      </c>
      <c r="F49" s="67">
        <v>0.79549999999999998</v>
      </c>
      <c r="G49" s="67"/>
      <c r="H49" s="67"/>
      <c r="I49" s="67"/>
      <c r="J49" s="67"/>
      <c r="K49" s="109">
        <v>43</v>
      </c>
      <c r="L49" s="67">
        <v>0.79549999999999998</v>
      </c>
      <c r="M49" s="67"/>
      <c r="N49" s="67"/>
      <c r="O49" s="67"/>
      <c r="P49" s="67"/>
      <c r="Q49" s="109">
        <v>43</v>
      </c>
      <c r="R49" s="67">
        <v>0.79549999999999998</v>
      </c>
      <c r="S49" s="67"/>
      <c r="T49" s="67"/>
      <c r="U49" s="67"/>
      <c r="V49" s="67"/>
      <c r="W49" s="109">
        <v>43</v>
      </c>
      <c r="X49" s="67">
        <v>0.79549999999999998</v>
      </c>
      <c r="Y49" s="67"/>
      <c r="Z49" s="67"/>
      <c r="AA49" s="67"/>
      <c r="AB49" s="67"/>
      <c r="AC49" s="109">
        <v>43</v>
      </c>
      <c r="AD49" s="67">
        <v>0.79549999999999998</v>
      </c>
      <c r="AE49" s="67"/>
      <c r="AF49" s="67"/>
      <c r="AG49" s="67"/>
      <c r="AH49" s="67"/>
      <c r="AI49" s="109">
        <v>43</v>
      </c>
      <c r="AJ49" s="67">
        <v>0.79549999999999998</v>
      </c>
      <c r="AK49" s="67"/>
      <c r="AL49" s="67"/>
      <c r="AM49" s="67"/>
      <c r="AN49" s="67"/>
    </row>
    <row r="50" spans="5:40" x14ac:dyDescent="0.35">
      <c r="E50" s="109">
        <v>44</v>
      </c>
      <c r="F50" s="67">
        <v>0.81399999999999995</v>
      </c>
      <c r="G50" s="67"/>
      <c r="H50" s="67"/>
      <c r="I50" s="67"/>
      <c r="J50" s="67"/>
      <c r="K50" s="109">
        <v>44</v>
      </c>
      <c r="L50" s="67">
        <v>0.81399999999999995</v>
      </c>
      <c r="M50" s="67"/>
      <c r="N50" s="67"/>
      <c r="O50" s="67"/>
      <c r="P50" s="67"/>
      <c r="Q50" s="109">
        <v>44</v>
      </c>
      <c r="R50" s="67">
        <v>0.81399999999999995</v>
      </c>
      <c r="S50" s="67"/>
      <c r="T50" s="67"/>
      <c r="U50" s="67"/>
      <c r="V50" s="67"/>
      <c r="W50" s="109">
        <v>44</v>
      </c>
      <c r="X50" s="67">
        <v>0.81399999999999995</v>
      </c>
      <c r="Y50" s="67"/>
      <c r="Z50" s="67"/>
      <c r="AA50" s="67"/>
      <c r="AB50" s="67"/>
      <c r="AC50" s="109">
        <v>44</v>
      </c>
      <c r="AD50" s="67">
        <v>0.81399999999999995</v>
      </c>
      <c r="AE50" s="67"/>
      <c r="AF50" s="67"/>
      <c r="AG50" s="67"/>
      <c r="AH50" s="67"/>
      <c r="AI50" s="109">
        <v>44</v>
      </c>
      <c r="AJ50" s="67">
        <v>0.81399999999999995</v>
      </c>
      <c r="AK50" s="67"/>
      <c r="AL50" s="67"/>
      <c r="AM50" s="67"/>
      <c r="AN50" s="67"/>
    </row>
    <row r="51" spans="5:40" x14ac:dyDescent="0.35">
      <c r="E51" s="109">
        <v>45</v>
      </c>
      <c r="F51" s="67">
        <v>0.83250000000000002</v>
      </c>
      <c r="G51" s="67"/>
      <c r="H51" s="67"/>
      <c r="I51" s="67"/>
      <c r="J51" s="67"/>
      <c r="K51" s="109">
        <v>45</v>
      </c>
      <c r="L51" s="67">
        <v>0.83250000000000002</v>
      </c>
      <c r="M51" s="67"/>
      <c r="N51" s="67"/>
      <c r="O51" s="67"/>
      <c r="P51" s="67"/>
      <c r="Q51" s="109">
        <v>45</v>
      </c>
      <c r="R51" s="67">
        <v>0.83250000000000002</v>
      </c>
      <c r="S51" s="67"/>
      <c r="T51" s="67"/>
      <c r="U51" s="67"/>
      <c r="V51" s="67"/>
      <c r="W51" s="109">
        <v>45</v>
      </c>
      <c r="X51" s="67">
        <v>0.83250000000000002</v>
      </c>
      <c r="Y51" s="67"/>
      <c r="Z51" s="67"/>
      <c r="AA51" s="67"/>
      <c r="AB51" s="67"/>
      <c r="AC51" s="109">
        <v>45</v>
      </c>
      <c r="AD51" s="67">
        <v>0.83250000000000002</v>
      </c>
      <c r="AE51" s="67"/>
      <c r="AF51" s="67"/>
      <c r="AG51" s="67"/>
      <c r="AH51" s="67"/>
      <c r="AI51" s="109">
        <v>45</v>
      </c>
      <c r="AJ51" s="67">
        <v>0.83250000000000002</v>
      </c>
      <c r="AK51" s="67"/>
      <c r="AL51" s="67"/>
      <c r="AM51" s="67"/>
      <c r="AN51" s="67"/>
    </row>
    <row r="52" spans="5:40" x14ac:dyDescent="0.35">
      <c r="E52" s="109">
        <v>46</v>
      </c>
      <c r="F52" s="67">
        <v>0.85099999999999998</v>
      </c>
      <c r="G52" s="67"/>
      <c r="H52" s="67"/>
      <c r="I52" s="67"/>
      <c r="J52" s="67"/>
      <c r="K52" s="109">
        <v>46</v>
      </c>
      <c r="L52" s="67">
        <v>0.85099999999999998</v>
      </c>
      <c r="M52" s="67"/>
      <c r="N52" s="67"/>
      <c r="O52" s="67"/>
      <c r="P52" s="67"/>
      <c r="Q52" s="109">
        <v>46</v>
      </c>
      <c r="R52" s="67">
        <v>0.85099999999999998</v>
      </c>
      <c r="S52" s="67"/>
      <c r="T52" s="67"/>
      <c r="U52" s="67"/>
      <c r="V52" s="67"/>
      <c r="W52" s="109">
        <v>46</v>
      </c>
      <c r="X52" s="67">
        <v>0.85099999999999998</v>
      </c>
      <c r="Y52" s="67"/>
      <c r="Z52" s="67"/>
      <c r="AA52" s="67"/>
      <c r="AB52" s="67"/>
      <c r="AC52" s="109">
        <v>46</v>
      </c>
      <c r="AD52" s="67">
        <v>0.85099999999999998</v>
      </c>
      <c r="AE52" s="67"/>
      <c r="AF52" s="67"/>
      <c r="AG52" s="67"/>
      <c r="AH52" s="67"/>
      <c r="AI52" s="109">
        <v>46</v>
      </c>
      <c r="AJ52" s="67">
        <v>0.85099999999999998</v>
      </c>
      <c r="AK52" s="67"/>
      <c r="AL52" s="67"/>
      <c r="AM52" s="67"/>
      <c r="AN52" s="67"/>
    </row>
    <row r="53" spans="5:40" x14ac:dyDescent="0.35">
      <c r="E53" s="109">
        <v>47</v>
      </c>
      <c r="F53" s="67">
        <v>0.86950000000000005</v>
      </c>
      <c r="G53" s="67"/>
      <c r="H53" s="67"/>
      <c r="I53" s="67"/>
      <c r="J53" s="67"/>
      <c r="K53" s="109">
        <v>47</v>
      </c>
      <c r="L53" s="67">
        <v>0.86950000000000005</v>
      </c>
      <c r="M53" s="67"/>
      <c r="N53" s="67"/>
      <c r="O53" s="67"/>
      <c r="P53" s="67"/>
      <c r="Q53" s="109">
        <v>47</v>
      </c>
      <c r="R53" s="67">
        <v>0.86950000000000005</v>
      </c>
      <c r="S53" s="67"/>
      <c r="T53" s="67"/>
      <c r="U53" s="67"/>
      <c r="V53" s="67"/>
      <c r="W53" s="109">
        <v>47</v>
      </c>
      <c r="X53" s="67">
        <v>0.86950000000000005</v>
      </c>
      <c r="Y53" s="67"/>
      <c r="Z53" s="67"/>
      <c r="AA53" s="67"/>
      <c r="AB53" s="67"/>
      <c r="AC53" s="109">
        <v>47</v>
      </c>
      <c r="AD53" s="67">
        <v>0.86950000000000005</v>
      </c>
      <c r="AE53" s="67"/>
      <c r="AF53" s="67"/>
      <c r="AG53" s="67"/>
      <c r="AH53" s="67"/>
      <c r="AI53" s="109">
        <v>47</v>
      </c>
      <c r="AJ53" s="67">
        <v>0.86950000000000005</v>
      </c>
      <c r="AK53" s="67"/>
      <c r="AL53" s="67"/>
      <c r="AM53" s="67"/>
      <c r="AN53" s="67"/>
    </row>
    <row r="54" spans="5:40" x14ac:dyDescent="0.35">
      <c r="E54" s="109">
        <v>48</v>
      </c>
      <c r="F54" s="67">
        <v>0.88800000000000001</v>
      </c>
      <c r="G54" s="67"/>
      <c r="H54" s="67"/>
      <c r="I54" s="67"/>
      <c r="J54" s="67"/>
      <c r="K54" s="109">
        <v>48</v>
      </c>
      <c r="L54" s="67">
        <v>0.88800000000000001</v>
      </c>
      <c r="M54" s="67"/>
      <c r="N54" s="67"/>
      <c r="O54" s="67"/>
      <c r="P54" s="67"/>
      <c r="Q54" s="109">
        <v>48</v>
      </c>
      <c r="R54" s="67">
        <v>0.88800000000000001</v>
      </c>
      <c r="S54" s="67"/>
      <c r="T54" s="67"/>
      <c r="U54" s="67"/>
      <c r="V54" s="67"/>
      <c r="W54" s="109">
        <v>48</v>
      </c>
      <c r="X54" s="67">
        <v>0.88800000000000001</v>
      </c>
      <c r="Y54" s="67"/>
      <c r="Z54" s="67"/>
      <c r="AA54" s="67"/>
      <c r="AB54" s="67"/>
      <c r="AC54" s="109">
        <v>48</v>
      </c>
      <c r="AD54" s="67">
        <v>0.88800000000000001</v>
      </c>
      <c r="AE54" s="67"/>
      <c r="AF54" s="67"/>
      <c r="AG54" s="67"/>
      <c r="AH54" s="67"/>
      <c r="AI54" s="109">
        <v>48</v>
      </c>
      <c r="AJ54" s="67">
        <v>0.88800000000000001</v>
      </c>
      <c r="AK54" s="67"/>
      <c r="AL54" s="67"/>
      <c r="AM54" s="67"/>
      <c r="AN54" s="67"/>
    </row>
    <row r="55" spans="5:40" x14ac:dyDescent="0.35">
      <c r="E55" s="109">
        <v>49</v>
      </c>
      <c r="F55" s="67">
        <v>0.90649999999999997</v>
      </c>
      <c r="G55" s="67"/>
      <c r="H55" s="67"/>
      <c r="I55" s="67"/>
      <c r="J55" s="67"/>
      <c r="K55" s="109">
        <v>49</v>
      </c>
      <c r="L55" s="67">
        <v>0.90649999999999997</v>
      </c>
      <c r="M55" s="67"/>
      <c r="N55" s="67"/>
      <c r="O55" s="67"/>
      <c r="P55" s="67"/>
      <c r="Q55" s="109">
        <v>49</v>
      </c>
      <c r="R55" s="67">
        <v>0.90649999999999997</v>
      </c>
      <c r="S55" s="67"/>
      <c r="T55" s="67"/>
      <c r="U55" s="67"/>
      <c r="V55" s="67"/>
      <c r="W55" s="109">
        <v>49</v>
      </c>
      <c r="X55" s="67">
        <v>0.90649999999999997</v>
      </c>
      <c r="Y55" s="67"/>
      <c r="Z55" s="67"/>
      <c r="AA55" s="67"/>
      <c r="AB55" s="67"/>
      <c r="AC55" s="109">
        <v>49</v>
      </c>
      <c r="AD55" s="67">
        <v>0.90649999999999997</v>
      </c>
      <c r="AE55" s="67"/>
      <c r="AF55" s="67"/>
      <c r="AG55" s="67"/>
      <c r="AH55" s="67"/>
      <c r="AI55" s="109">
        <v>49</v>
      </c>
      <c r="AJ55" s="67">
        <v>0.90649999999999997</v>
      </c>
      <c r="AK55" s="67"/>
      <c r="AL55" s="67"/>
      <c r="AM55" s="67"/>
      <c r="AN55" s="67"/>
    </row>
    <row r="56" spans="5:40" x14ac:dyDescent="0.35">
      <c r="E56" s="109">
        <v>50</v>
      </c>
      <c r="F56" s="67">
        <v>0.92500000000000004</v>
      </c>
      <c r="G56" s="67"/>
      <c r="H56" s="67"/>
      <c r="I56" s="67"/>
      <c r="J56" s="67"/>
      <c r="K56" s="109">
        <v>50</v>
      </c>
      <c r="L56" s="67">
        <v>0.92500000000000004</v>
      </c>
      <c r="M56" s="67"/>
      <c r="N56" s="67"/>
      <c r="O56" s="67"/>
      <c r="P56" s="67"/>
      <c r="Q56" s="109">
        <v>50</v>
      </c>
      <c r="R56" s="67">
        <v>0.92500000000000004</v>
      </c>
      <c r="S56" s="67"/>
      <c r="T56" s="67"/>
      <c r="U56" s="67"/>
      <c r="V56" s="67"/>
      <c r="W56" s="109">
        <v>50</v>
      </c>
      <c r="X56" s="67">
        <v>0.92500000000000004</v>
      </c>
      <c r="Y56" s="67"/>
      <c r="Z56" s="67"/>
      <c r="AA56" s="67"/>
      <c r="AB56" s="67"/>
      <c r="AC56" s="109">
        <v>50</v>
      </c>
      <c r="AD56" s="67">
        <v>0.92500000000000004</v>
      </c>
      <c r="AE56" s="67"/>
      <c r="AF56" s="67"/>
      <c r="AG56" s="67"/>
      <c r="AH56" s="67"/>
      <c r="AI56" s="109">
        <v>50</v>
      </c>
      <c r="AJ56" s="67">
        <v>0.92500000000000004</v>
      </c>
      <c r="AK56" s="67"/>
      <c r="AL56" s="67"/>
      <c r="AM56" s="67"/>
      <c r="AN56" s="67"/>
    </row>
    <row r="57" spans="5:40" x14ac:dyDescent="0.35">
      <c r="E57" s="109">
        <v>51</v>
      </c>
      <c r="F57" s="67">
        <v>0.94350000000000001</v>
      </c>
      <c r="G57" s="67"/>
      <c r="H57" s="67"/>
      <c r="I57" s="67"/>
      <c r="J57" s="67"/>
      <c r="K57" s="109">
        <v>51</v>
      </c>
      <c r="L57" s="67">
        <v>0.94350000000000001</v>
      </c>
      <c r="M57" s="67"/>
      <c r="N57" s="67"/>
      <c r="O57" s="67"/>
      <c r="P57" s="67"/>
      <c r="Q57" s="109">
        <v>51</v>
      </c>
      <c r="R57" s="67">
        <v>0.94350000000000001</v>
      </c>
      <c r="S57" s="67"/>
      <c r="T57" s="67"/>
      <c r="U57" s="67"/>
      <c r="V57" s="67"/>
      <c r="W57" s="109">
        <v>51</v>
      </c>
      <c r="X57" s="67">
        <v>0.94350000000000001</v>
      </c>
      <c r="Y57" s="67"/>
      <c r="Z57" s="67"/>
      <c r="AA57" s="67"/>
      <c r="AB57" s="67"/>
      <c r="AC57" s="109">
        <v>51</v>
      </c>
      <c r="AD57" s="67">
        <v>0.94350000000000001</v>
      </c>
      <c r="AE57" s="67"/>
      <c r="AF57" s="67"/>
      <c r="AG57" s="67"/>
      <c r="AH57" s="67"/>
      <c r="AI57" s="109">
        <v>51</v>
      </c>
      <c r="AJ57" s="67">
        <v>0.94350000000000001</v>
      </c>
      <c r="AK57" s="67"/>
      <c r="AL57" s="67"/>
      <c r="AM57" s="67"/>
      <c r="AN57" s="67"/>
    </row>
    <row r="58" spans="5:40" x14ac:dyDescent="0.35">
      <c r="E58" s="109">
        <v>52</v>
      </c>
      <c r="F58" s="67">
        <v>0.96199999999999997</v>
      </c>
      <c r="G58" s="67"/>
      <c r="H58" s="67"/>
      <c r="I58" s="67"/>
      <c r="J58" s="67"/>
      <c r="K58" s="109">
        <v>52</v>
      </c>
      <c r="L58" s="67">
        <v>0.96199999999999997</v>
      </c>
      <c r="M58" s="67"/>
      <c r="N58" s="67"/>
      <c r="O58" s="67"/>
      <c r="P58" s="67"/>
      <c r="Q58" s="109">
        <v>52</v>
      </c>
      <c r="R58" s="67">
        <v>0.96199999999999997</v>
      </c>
      <c r="S58" s="67"/>
      <c r="T58" s="67"/>
      <c r="U58" s="67"/>
      <c r="V58" s="67"/>
      <c r="W58" s="109">
        <v>52</v>
      </c>
      <c r="X58" s="67">
        <v>0.96199999999999997</v>
      </c>
      <c r="Y58" s="67"/>
      <c r="Z58" s="67"/>
      <c r="AA58" s="67"/>
      <c r="AB58" s="67"/>
      <c r="AC58" s="109">
        <v>52</v>
      </c>
      <c r="AD58" s="67">
        <v>0.96199999999999997</v>
      </c>
      <c r="AE58" s="67"/>
      <c r="AF58" s="67"/>
      <c r="AG58" s="67"/>
      <c r="AH58" s="67"/>
      <c r="AI58" s="109">
        <v>52</v>
      </c>
      <c r="AJ58" s="67">
        <v>0.96199999999999997</v>
      </c>
      <c r="AK58" s="67"/>
      <c r="AL58" s="67"/>
      <c r="AM58" s="67"/>
      <c r="AN58" s="67"/>
    </row>
    <row r="59" spans="5:40" x14ac:dyDescent="0.35">
      <c r="E59" s="109">
        <v>53</v>
      </c>
      <c r="F59" s="67">
        <v>0.98050000000000004</v>
      </c>
      <c r="G59" s="67"/>
      <c r="H59" s="67"/>
      <c r="I59" s="67"/>
      <c r="J59" s="67"/>
      <c r="K59" s="109">
        <v>53</v>
      </c>
      <c r="L59" s="67">
        <v>0.98050000000000004</v>
      </c>
      <c r="M59" s="67"/>
      <c r="N59" s="67"/>
      <c r="O59" s="67"/>
      <c r="P59" s="67"/>
      <c r="Q59" s="109">
        <v>53</v>
      </c>
      <c r="R59" s="67">
        <v>0.98050000000000004</v>
      </c>
      <c r="S59" s="67"/>
      <c r="T59" s="67"/>
      <c r="U59" s="67"/>
      <c r="V59" s="67"/>
      <c r="W59" s="109">
        <v>53</v>
      </c>
      <c r="X59" s="67">
        <v>0.98050000000000004</v>
      </c>
      <c r="Y59" s="67"/>
      <c r="Z59" s="67"/>
      <c r="AA59" s="67"/>
      <c r="AB59" s="67"/>
      <c r="AC59" s="109">
        <v>53</v>
      </c>
      <c r="AD59" s="67">
        <v>0.98050000000000004</v>
      </c>
      <c r="AE59" s="67"/>
      <c r="AF59" s="67"/>
      <c r="AG59" s="67"/>
      <c r="AH59" s="67"/>
      <c r="AI59" s="109">
        <v>53</v>
      </c>
      <c r="AJ59" s="67">
        <v>0.98050000000000004</v>
      </c>
      <c r="AK59" s="67"/>
      <c r="AL59" s="67"/>
      <c r="AM59" s="67"/>
      <c r="AN59" s="67"/>
    </row>
    <row r="60" spans="5:40" x14ac:dyDescent="0.35">
      <c r="E60" s="109">
        <v>54</v>
      </c>
      <c r="F60" s="67">
        <v>0.999</v>
      </c>
      <c r="G60" s="67"/>
      <c r="H60" s="67"/>
      <c r="I60" s="67"/>
      <c r="J60" s="67"/>
      <c r="K60" s="109">
        <v>54</v>
      </c>
      <c r="L60" s="67">
        <v>0.999</v>
      </c>
      <c r="M60" s="67"/>
      <c r="N60" s="67"/>
      <c r="O60" s="67"/>
      <c r="P60" s="67"/>
      <c r="Q60" s="109">
        <v>54</v>
      </c>
      <c r="R60" s="67">
        <v>0.999</v>
      </c>
      <c r="S60" s="67"/>
      <c r="T60" s="67"/>
      <c r="U60" s="67"/>
      <c r="V60" s="67"/>
      <c r="W60" s="109">
        <v>54</v>
      </c>
      <c r="X60" s="67">
        <v>0.999</v>
      </c>
      <c r="Y60" s="67"/>
      <c r="Z60" s="67"/>
      <c r="AA60" s="67"/>
      <c r="AB60" s="67"/>
      <c r="AC60" s="109">
        <v>54</v>
      </c>
      <c r="AD60" s="67">
        <v>0.999</v>
      </c>
      <c r="AE60" s="67"/>
      <c r="AF60" s="67"/>
      <c r="AG60" s="67"/>
      <c r="AH60" s="67"/>
      <c r="AI60" s="109">
        <v>54</v>
      </c>
      <c r="AJ60" s="67">
        <v>0.999</v>
      </c>
      <c r="AK60" s="67"/>
      <c r="AL60" s="67"/>
      <c r="AM60" s="67"/>
      <c r="AN60" s="67"/>
    </row>
    <row r="61" spans="5:40" x14ac:dyDescent="0.35">
      <c r="E61" s="251" t="s">
        <v>310</v>
      </c>
      <c r="F61" s="252" t="s">
        <v>314</v>
      </c>
      <c r="G61" s="252"/>
      <c r="H61" s="252"/>
      <c r="I61" s="252"/>
      <c r="J61" s="252"/>
      <c r="K61" s="251" t="s">
        <v>310</v>
      </c>
      <c r="L61" s="252" t="s">
        <v>314</v>
      </c>
      <c r="M61" s="252"/>
      <c r="N61" s="252"/>
      <c r="O61" s="252"/>
      <c r="P61" s="252"/>
      <c r="Q61" s="251" t="s">
        <v>310</v>
      </c>
      <c r="R61" s="252" t="s">
        <v>314</v>
      </c>
      <c r="S61" s="252"/>
      <c r="T61" s="252"/>
      <c r="U61" s="252"/>
      <c r="V61" s="252"/>
      <c r="W61" s="251" t="s">
        <v>310</v>
      </c>
      <c r="X61" s="252" t="s">
        <v>314</v>
      </c>
      <c r="Y61" s="252"/>
      <c r="Z61" s="252"/>
      <c r="AA61" s="252"/>
      <c r="AB61" s="252"/>
      <c r="AC61" s="251" t="s">
        <v>310</v>
      </c>
      <c r="AD61" s="252" t="s">
        <v>314</v>
      </c>
      <c r="AE61" s="252"/>
      <c r="AF61" s="252"/>
      <c r="AG61" s="252"/>
      <c r="AH61" s="252"/>
      <c r="AI61" s="251" t="s">
        <v>310</v>
      </c>
      <c r="AJ61" s="252" t="s">
        <v>314</v>
      </c>
      <c r="AK61" s="252"/>
      <c r="AL61" s="252"/>
      <c r="AM61" s="252"/>
      <c r="AN61" s="252"/>
    </row>
  </sheetData>
  <mergeCells count="4">
    <mergeCell ref="E4:J4"/>
    <mergeCell ref="K4:P4"/>
    <mergeCell ref="W4:AB4"/>
    <mergeCell ref="AI4:AN4"/>
  </mergeCells>
  <dataValidations count="2">
    <dataValidation type="whole" allowBlank="1" showInputMessage="1" showErrorMessage="1" errorTitle="Achtung Eingabebereich" error="0-250 [Ganzzahl]" sqref="C9" xr:uid="{1B5A4523-6EC7-4830-8A22-6B8644AE6F9E}">
      <formula1>0</formula1>
      <formula2>250</formula2>
    </dataValidation>
    <dataValidation type="whole" allowBlank="1" showInputMessage="1" showErrorMessage="1" errorTitle="Achtung Eingabebereich" error="0-4999 [Ganzzahl]" sqref="C10" xr:uid="{C33C33CA-8000-4A13-A3C9-92E3A98AF488}">
      <formula1>0</formula1>
      <formula2>4999</formula2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10</vt:i4>
      </vt:variant>
    </vt:vector>
  </HeadingPairs>
  <TitlesOfParts>
    <vt:vector size="10" baseType="lpstr">
      <vt:lpstr>Indicateur 1.1</vt:lpstr>
      <vt:lpstr>Indicateur 1.2</vt:lpstr>
      <vt:lpstr>Indicateurs 1.3 + 1.4</vt:lpstr>
      <vt:lpstr>Indicateur 1.5</vt:lpstr>
      <vt:lpstr>Indicateur 1.6</vt:lpstr>
      <vt:lpstr>Indicateur 8.1</vt:lpstr>
      <vt:lpstr>Indicateur 8.2</vt:lpstr>
      <vt:lpstr>Indicateur 8.3</vt:lpstr>
      <vt:lpstr>Indicateur 9.1</vt:lpstr>
      <vt:lpstr>Repertoire_modifications</vt:lpstr>
    </vt:vector>
  </TitlesOfParts>
  <Company>ETH Zuerich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Weber, Christine</dc:creator>
  <cp:lastModifiedBy>Sprecher, Lucie</cp:lastModifiedBy>
  <dcterms:created xsi:type="dcterms:W3CDTF">2021-05-24T13:49:09Z</dcterms:created>
  <dcterms:modified xsi:type="dcterms:W3CDTF">2025-01-06T16:16:36Z</dcterms:modified>
</cp:coreProperties>
</file>